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ate1904="1" codeName="ThisWorkbook" hidePivotFieldList="1"/>
  <mc:AlternateContent xmlns:mc="http://schemas.openxmlformats.org/markup-compatibility/2006">
    <mc:Choice Requires="x15">
      <x15ac:absPath xmlns:x15ac="http://schemas.microsoft.com/office/spreadsheetml/2010/11/ac" url="Q:\Finances Communales\1. Péréquations\2024\1. Acomptes\Définitif\"/>
    </mc:Choice>
  </mc:AlternateContent>
  <xr:revisionPtr revIDLastSave="0" documentId="13_ncr:1_{0A093C82-4F3D-4380-A182-3516921D24C7}" xr6:coauthVersionLast="47" xr6:coauthVersionMax="47" xr10:uidLastSave="{00000000-0000-0000-0000-000000000000}"/>
  <bookViews>
    <workbookView xWindow="-120" yWindow="-120" windowWidth="29040" windowHeight="15840" tabRatio="923" activeTab="2" xr2:uid="{00000000-000D-0000-FFFF-FFFF00000000}"/>
  </bookViews>
  <sheets>
    <sheet name="Table des matières" sheetId="56" r:id="rId1"/>
    <sheet name="Paramètres" sheetId="40" r:id="rId2"/>
    <sheet name="Recherche" sheetId="48" r:id="rId3"/>
    <sheet name="Données" sheetId="42" r:id="rId4"/>
    <sheet name="VPI" sheetId="19" r:id="rId5"/>
    <sheet name="PCS" sheetId="9" r:id="rId6"/>
    <sheet name="Ecrêtage" sheetId="33" r:id="rId7"/>
    <sheet name="Péréquation directe" sheetId="34" r:id="rId8"/>
    <sheet name="Population" sheetId="36" r:id="rId9"/>
    <sheet name="Solidarité" sheetId="37" r:id="rId10"/>
    <sheet name="DT" sheetId="11" r:id="rId11"/>
    <sheet name="Effort" sheetId="12" r:id="rId12"/>
    <sheet name="Aide" sheetId="39" r:id="rId13"/>
    <sheet name="Taux" sheetId="13" r:id="rId14"/>
    <sheet name="Police" sheetId="49" r:id="rId15"/>
    <sheet name="Synthèse" sheetId="25" r:id="rId16"/>
    <sheet name="Décompte vs acomptes" sheetId="54" r:id="rId17"/>
  </sheets>
  <definedNames>
    <definedName name="_xlnm._FilterDatabase" localSheetId="5" hidden="1">PCS!$A$10:$I$312</definedName>
    <definedName name="_xlnm._FilterDatabase" localSheetId="7" hidden="1">'Péréquation directe'!$A$10:$J$312</definedName>
    <definedName name="_xlnm._FilterDatabase" localSheetId="15" hidden="1">Synthèse!$A$4:$G$307</definedName>
    <definedName name="_xlnm.Database" localSheetId="16">#REF!</definedName>
    <definedName name="_xlnm.Database">#REF!</definedName>
    <definedName name="_xlnm.Print_Titles" localSheetId="10">DT!$4:$5</definedName>
    <definedName name="_xlnm.Print_Titles" localSheetId="11">Effort!$4:$5</definedName>
    <definedName name="_xlnm.Print_Titles" localSheetId="5">PCS!$10:$11</definedName>
    <definedName name="_xlnm.Print_Titles" localSheetId="14">Police!$4:$4</definedName>
    <definedName name="_xlnm.Print_Titles" localSheetId="15">Synthèse!$4:$4</definedName>
    <definedName name="_xlnm.Print_Titles" localSheetId="13">Taux!$4:$5</definedName>
    <definedName name="ind">2</definedName>
    <definedName name="_xlnm.Print_Area" localSheetId="3">Données!#REF!</definedName>
    <definedName name="_xlnm.Print_Area" localSheetId="7">'Péréquation directe'!$303:$334</definedName>
    <definedName name="_xlnm.Print_Area" localSheetId="14">Police!$A$1:$M$306</definedName>
    <definedName name="_xlnm.Print_Area" localSheetId="2">Recherche!$B$6:$F$68</definedName>
    <definedName name="_xlnm.Print_Area" localSheetId="15">Synthèse!$A$1:$J$305</definedName>
    <definedName name="_xlnm.Print_Area" localSheetId="13">Taux!$A$1:$P$307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3" i="42" l="1"/>
  <c r="G148" i="42"/>
  <c r="C217" i="49"/>
  <c r="C218" i="49"/>
  <c r="D7" i="13" l="1"/>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6" i="13"/>
  <c r="T264" i="42" l="1"/>
  <c r="T265" i="42"/>
  <c r="T266" i="42"/>
  <c r="C7" i="49" l="1"/>
  <c r="O146" i="42" l="1"/>
  <c r="C167" i="42"/>
  <c r="P125" i="42" l="1"/>
  <c r="C15" i="40"/>
  <c r="C16" i="40" s="1"/>
  <c r="O247" i="42"/>
  <c r="R188" i="42" l="1"/>
  <c r="R175" i="42"/>
  <c r="P175" i="42"/>
  <c r="O175" i="42" l="1"/>
  <c r="O142" i="42"/>
  <c r="R125" i="42"/>
  <c r="O61" i="42"/>
  <c r="G261" i="42"/>
  <c r="G129" i="42"/>
  <c r="C110" i="42"/>
  <c r="G120" i="42"/>
  <c r="C177" i="42"/>
  <c r="C301" i="42"/>
  <c r="G102" i="42"/>
  <c r="H102" i="42"/>
  <c r="AG268" i="42" l="1"/>
  <c r="AG153" i="42"/>
  <c r="AG144" i="42"/>
  <c r="AG143" i="42"/>
  <c r="AG142" i="42"/>
  <c r="AG140" i="42"/>
  <c r="AG136" i="42"/>
  <c r="AG135" i="42"/>
  <c r="AG134" i="42"/>
  <c r="AG14" i="42"/>
  <c r="P104" i="42"/>
  <c r="B7" i="48" l="1"/>
  <c r="B16" i="40" l="1"/>
  <c r="F61" i="48"/>
  <c r="E61" i="48"/>
  <c r="D61" i="48"/>
  <c r="D60" i="48"/>
  <c r="F60" i="48"/>
  <c r="E60" i="48"/>
  <c r="A7" i="11"/>
  <c r="B7" i="11"/>
  <c r="E7" i="11"/>
  <c r="J7" i="11"/>
  <c r="A8" i="11"/>
  <c r="B8" i="11"/>
  <c r="E8" i="11"/>
  <c r="J8" i="11"/>
  <c r="A9" i="11"/>
  <c r="B9" i="11"/>
  <c r="E9" i="11"/>
  <c r="J9" i="11"/>
  <c r="A10" i="11"/>
  <c r="B10" i="11"/>
  <c r="E10" i="11"/>
  <c r="J10" i="11"/>
  <c r="A11" i="11"/>
  <c r="B11" i="11"/>
  <c r="E11" i="11"/>
  <c r="J11" i="11"/>
  <c r="A12" i="11"/>
  <c r="B12" i="11"/>
  <c r="E12" i="11"/>
  <c r="J12" i="11"/>
  <c r="A13" i="11"/>
  <c r="B13" i="11"/>
  <c r="E13" i="11"/>
  <c r="J13" i="11"/>
  <c r="A14" i="11"/>
  <c r="B14" i="11"/>
  <c r="E14" i="11"/>
  <c r="J14" i="11"/>
  <c r="A15" i="11"/>
  <c r="B15" i="11"/>
  <c r="E15" i="11"/>
  <c r="J15" i="11"/>
  <c r="A16" i="11"/>
  <c r="B16" i="11"/>
  <c r="E16" i="11"/>
  <c r="J16" i="11"/>
  <c r="A17" i="11"/>
  <c r="B17" i="11"/>
  <c r="E17" i="11"/>
  <c r="J17" i="11"/>
  <c r="A18" i="11"/>
  <c r="B18" i="11"/>
  <c r="E18" i="11"/>
  <c r="J18" i="11"/>
  <c r="A19" i="11"/>
  <c r="B19" i="11"/>
  <c r="E19" i="11"/>
  <c r="J19" i="11"/>
  <c r="A20" i="11"/>
  <c r="B20" i="11"/>
  <c r="E20" i="11"/>
  <c r="J20" i="11"/>
  <c r="A21" i="11"/>
  <c r="B21" i="11"/>
  <c r="E21" i="11"/>
  <c r="J21" i="11"/>
  <c r="A22" i="11"/>
  <c r="B22" i="11"/>
  <c r="E22" i="11"/>
  <c r="J22" i="11"/>
  <c r="A23" i="11"/>
  <c r="B23" i="11"/>
  <c r="E23" i="11"/>
  <c r="J23" i="11"/>
  <c r="A24" i="11"/>
  <c r="B24" i="11"/>
  <c r="E24" i="11"/>
  <c r="J24" i="11"/>
  <c r="A25" i="11"/>
  <c r="B25" i="11"/>
  <c r="E25" i="11"/>
  <c r="J25" i="11"/>
  <c r="A26" i="11"/>
  <c r="B26" i="11"/>
  <c r="E26" i="11"/>
  <c r="J26" i="11"/>
  <c r="A27" i="11"/>
  <c r="B27" i="11"/>
  <c r="E27" i="11"/>
  <c r="J27" i="11"/>
  <c r="A28" i="11"/>
  <c r="B28" i="11"/>
  <c r="E28" i="11"/>
  <c r="J28" i="11"/>
  <c r="A29" i="11"/>
  <c r="B29" i="11"/>
  <c r="J29" i="11"/>
  <c r="A30" i="11"/>
  <c r="B30" i="11"/>
  <c r="E30" i="11"/>
  <c r="J30" i="11"/>
  <c r="A31" i="11"/>
  <c r="B31" i="11"/>
  <c r="E31" i="11"/>
  <c r="J31" i="11"/>
  <c r="A32" i="11"/>
  <c r="B32" i="11"/>
  <c r="E32" i="11"/>
  <c r="J32" i="11"/>
  <c r="A33" i="11"/>
  <c r="B33" i="11"/>
  <c r="E33" i="11"/>
  <c r="J33" i="11"/>
  <c r="A34" i="11"/>
  <c r="B34" i="11"/>
  <c r="E34" i="11"/>
  <c r="J34" i="11"/>
  <c r="A35" i="11"/>
  <c r="B35" i="11"/>
  <c r="E35" i="11"/>
  <c r="J35" i="11"/>
  <c r="A36" i="11"/>
  <c r="B36" i="11"/>
  <c r="E36" i="11"/>
  <c r="J36" i="11"/>
  <c r="A37" i="11"/>
  <c r="B37" i="11"/>
  <c r="E37" i="11"/>
  <c r="J37" i="11"/>
  <c r="A38" i="11"/>
  <c r="B38" i="11"/>
  <c r="E38" i="11"/>
  <c r="J38" i="11"/>
  <c r="A39" i="11"/>
  <c r="B39" i="11"/>
  <c r="E39" i="11"/>
  <c r="J39" i="11"/>
  <c r="A40" i="11"/>
  <c r="B40" i="11"/>
  <c r="E40" i="11"/>
  <c r="J40" i="11"/>
  <c r="A41" i="11"/>
  <c r="B41" i="11"/>
  <c r="E41" i="11"/>
  <c r="J41" i="11"/>
  <c r="A42" i="11"/>
  <c r="B42" i="11"/>
  <c r="E42" i="11"/>
  <c r="J42" i="11"/>
  <c r="A43" i="11"/>
  <c r="B43" i="11"/>
  <c r="E43" i="11"/>
  <c r="J43" i="11"/>
  <c r="A44" i="11"/>
  <c r="B44" i="11"/>
  <c r="E44" i="11"/>
  <c r="J44" i="11"/>
  <c r="A45" i="11"/>
  <c r="B45" i="11"/>
  <c r="E45" i="11"/>
  <c r="J45" i="11"/>
  <c r="A46" i="11"/>
  <c r="B46" i="11"/>
  <c r="E46" i="11"/>
  <c r="J46" i="11"/>
  <c r="A47" i="11"/>
  <c r="B47" i="11"/>
  <c r="E47" i="11"/>
  <c r="J47" i="11"/>
  <c r="A48" i="11"/>
  <c r="B48" i="11"/>
  <c r="E48" i="11"/>
  <c r="J48" i="11"/>
  <c r="A49" i="11"/>
  <c r="B49" i="11"/>
  <c r="E49" i="11"/>
  <c r="J49" i="11"/>
  <c r="A50" i="11"/>
  <c r="B50" i="11"/>
  <c r="E50" i="11"/>
  <c r="J50" i="11"/>
  <c r="A51" i="11"/>
  <c r="B51" i="11"/>
  <c r="E51" i="11"/>
  <c r="J51" i="11"/>
  <c r="A52" i="11"/>
  <c r="B52" i="11"/>
  <c r="E52" i="11"/>
  <c r="J52" i="11"/>
  <c r="A53" i="11"/>
  <c r="B53" i="11"/>
  <c r="E53" i="11"/>
  <c r="J53" i="11"/>
  <c r="A54" i="11"/>
  <c r="B54" i="11"/>
  <c r="E54" i="11"/>
  <c r="J54" i="11"/>
  <c r="A55" i="11"/>
  <c r="B55" i="11"/>
  <c r="E55" i="11"/>
  <c r="J55" i="11"/>
  <c r="A56" i="11"/>
  <c r="B56" i="11"/>
  <c r="E56" i="11"/>
  <c r="J56" i="11"/>
  <c r="A57" i="11"/>
  <c r="B57" i="11"/>
  <c r="E57" i="11"/>
  <c r="J57" i="11"/>
  <c r="A58" i="11"/>
  <c r="B58" i="11"/>
  <c r="E58" i="11"/>
  <c r="J58" i="11"/>
  <c r="A59" i="11"/>
  <c r="B59" i="11"/>
  <c r="E59" i="11"/>
  <c r="J59" i="11"/>
  <c r="A60" i="11"/>
  <c r="B60" i="11"/>
  <c r="E60" i="11"/>
  <c r="J60" i="11"/>
  <c r="A61" i="11"/>
  <c r="B61" i="11"/>
  <c r="E61" i="11"/>
  <c r="J61" i="11"/>
  <c r="A62" i="11"/>
  <c r="B62" i="11"/>
  <c r="E62" i="11"/>
  <c r="J62" i="11"/>
  <c r="A63" i="11"/>
  <c r="B63" i="11"/>
  <c r="E63" i="11"/>
  <c r="J63" i="11"/>
  <c r="A64" i="11"/>
  <c r="B64" i="11"/>
  <c r="E64" i="11"/>
  <c r="J64" i="11"/>
  <c r="A65" i="11"/>
  <c r="B65" i="11"/>
  <c r="E65" i="11"/>
  <c r="J65" i="11"/>
  <c r="A66" i="11"/>
  <c r="B66" i="11"/>
  <c r="E66" i="11"/>
  <c r="J66" i="11"/>
  <c r="A67" i="11"/>
  <c r="B67" i="11"/>
  <c r="E67" i="11"/>
  <c r="J67" i="11"/>
  <c r="A68" i="11"/>
  <c r="B68" i="11"/>
  <c r="E68" i="11"/>
  <c r="J68" i="11"/>
  <c r="A69" i="11"/>
  <c r="B69" i="11"/>
  <c r="E69" i="11"/>
  <c r="J69" i="11"/>
  <c r="A70" i="11"/>
  <c r="B70" i="11"/>
  <c r="E70" i="11"/>
  <c r="J70" i="11"/>
  <c r="A71" i="11"/>
  <c r="B71" i="11"/>
  <c r="E71" i="11"/>
  <c r="J71" i="11"/>
  <c r="A72" i="11"/>
  <c r="B72" i="11"/>
  <c r="E72" i="11"/>
  <c r="J72" i="11"/>
  <c r="A73" i="11"/>
  <c r="B73" i="11"/>
  <c r="E73" i="11"/>
  <c r="J73" i="11"/>
  <c r="A74" i="11"/>
  <c r="B74" i="11"/>
  <c r="E74" i="11"/>
  <c r="J74" i="11"/>
  <c r="A75" i="11"/>
  <c r="B75" i="11"/>
  <c r="E75" i="11"/>
  <c r="J75" i="11"/>
  <c r="A76" i="11"/>
  <c r="B76" i="11"/>
  <c r="E76" i="11"/>
  <c r="J76" i="11"/>
  <c r="A77" i="11"/>
  <c r="B77" i="11"/>
  <c r="E77" i="11"/>
  <c r="J77" i="11"/>
  <c r="A78" i="11"/>
  <c r="B78" i="11"/>
  <c r="E78" i="11"/>
  <c r="J78" i="11"/>
  <c r="A79" i="11"/>
  <c r="B79" i="11"/>
  <c r="E79" i="11"/>
  <c r="J79" i="11"/>
  <c r="A80" i="11"/>
  <c r="B80" i="11"/>
  <c r="E80" i="11"/>
  <c r="J80" i="11"/>
  <c r="A81" i="11"/>
  <c r="B81" i="11"/>
  <c r="E81" i="11"/>
  <c r="J81" i="11"/>
  <c r="A82" i="11"/>
  <c r="B82" i="11"/>
  <c r="E82" i="11"/>
  <c r="J82" i="11"/>
  <c r="A83" i="11"/>
  <c r="B83" i="11"/>
  <c r="E83" i="11"/>
  <c r="J83" i="11"/>
  <c r="A84" i="11"/>
  <c r="B84" i="11"/>
  <c r="E84" i="11"/>
  <c r="J84" i="11"/>
  <c r="A85" i="11"/>
  <c r="B85" i="11"/>
  <c r="E85" i="11"/>
  <c r="J85" i="11"/>
  <c r="A86" i="11"/>
  <c r="B86" i="11"/>
  <c r="E86" i="11"/>
  <c r="J86" i="11"/>
  <c r="A87" i="11"/>
  <c r="B87" i="11"/>
  <c r="E87" i="11"/>
  <c r="J87" i="11"/>
  <c r="A88" i="11"/>
  <c r="B88" i="11"/>
  <c r="E88" i="11"/>
  <c r="J88" i="11"/>
  <c r="A89" i="11"/>
  <c r="B89" i="11"/>
  <c r="E89" i="11"/>
  <c r="J89" i="11"/>
  <c r="A90" i="11"/>
  <c r="B90" i="11"/>
  <c r="E90" i="11"/>
  <c r="J90" i="11"/>
  <c r="A91" i="11"/>
  <c r="B91" i="11"/>
  <c r="E91" i="11"/>
  <c r="J91" i="11"/>
  <c r="A92" i="11"/>
  <c r="B92" i="11"/>
  <c r="E92" i="11"/>
  <c r="J92" i="11"/>
  <c r="A93" i="11"/>
  <c r="B93" i="11"/>
  <c r="E93" i="11"/>
  <c r="J93" i="11"/>
  <c r="A94" i="11"/>
  <c r="B94" i="11"/>
  <c r="E94" i="11"/>
  <c r="J94" i="11"/>
  <c r="A95" i="11"/>
  <c r="B95" i="11"/>
  <c r="E95" i="11"/>
  <c r="J95" i="11"/>
  <c r="A96" i="11"/>
  <c r="B96" i="11"/>
  <c r="E96" i="11"/>
  <c r="J96" i="11"/>
  <c r="A97" i="11"/>
  <c r="B97" i="11"/>
  <c r="E97" i="11"/>
  <c r="J97" i="11"/>
  <c r="A98" i="11"/>
  <c r="B98" i="11"/>
  <c r="E98" i="11"/>
  <c r="J98" i="11"/>
  <c r="A99" i="11"/>
  <c r="B99" i="11"/>
  <c r="E99" i="11"/>
  <c r="J99" i="11"/>
  <c r="A100" i="11"/>
  <c r="B100" i="11"/>
  <c r="E100" i="11"/>
  <c r="J100" i="11"/>
  <c r="A101" i="11"/>
  <c r="B101" i="11"/>
  <c r="E101" i="11"/>
  <c r="J101" i="11"/>
  <c r="A102" i="11"/>
  <c r="B102" i="11"/>
  <c r="E102" i="11"/>
  <c r="J102" i="11"/>
  <c r="A103" i="11"/>
  <c r="B103" i="11"/>
  <c r="E103" i="11"/>
  <c r="J103" i="11"/>
  <c r="A104" i="11"/>
  <c r="B104" i="11"/>
  <c r="E104" i="11"/>
  <c r="J104" i="11"/>
  <c r="A105" i="11"/>
  <c r="B105" i="11"/>
  <c r="E105" i="11"/>
  <c r="J105" i="11"/>
  <c r="A106" i="11"/>
  <c r="B106" i="11"/>
  <c r="E106" i="11"/>
  <c r="J106" i="11"/>
  <c r="A107" i="11"/>
  <c r="B107" i="11"/>
  <c r="E107" i="11"/>
  <c r="J107" i="11"/>
  <c r="A108" i="11"/>
  <c r="B108" i="11"/>
  <c r="E108" i="11"/>
  <c r="J108" i="11"/>
  <c r="A109" i="11"/>
  <c r="B109" i="11"/>
  <c r="E109" i="11"/>
  <c r="J109" i="11"/>
  <c r="A110" i="11"/>
  <c r="B110" i="11"/>
  <c r="E110" i="11"/>
  <c r="J110" i="11"/>
  <c r="A111" i="11"/>
  <c r="B111" i="11"/>
  <c r="E111" i="11"/>
  <c r="J111" i="11"/>
  <c r="A112" i="11"/>
  <c r="B112" i="11"/>
  <c r="E112" i="11"/>
  <c r="J112" i="11"/>
  <c r="A113" i="11"/>
  <c r="B113" i="11"/>
  <c r="E113" i="11"/>
  <c r="J113" i="11"/>
  <c r="A114" i="11"/>
  <c r="B114" i="11"/>
  <c r="E114" i="11"/>
  <c r="J114" i="11"/>
  <c r="A115" i="11"/>
  <c r="B115" i="11"/>
  <c r="E115" i="11"/>
  <c r="J115" i="11"/>
  <c r="A116" i="11"/>
  <c r="B116" i="11"/>
  <c r="E116" i="11"/>
  <c r="J116" i="11"/>
  <c r="A117" i="11"/>
  <c r="B117" i="11"/>
  <c r="E117" i="11"/>
  <c r="J117" i="11"/>
  <c r="A118" i="11"/>
  <c r="B118" i="11"/>
  <c r="E118" i="11"/>
  <c r="J118" i="11"/>
  <c r="A119" i="11"/>
  <c r="B119" i="11"/>
  <c r="E119" i="11"/>
  <c r="J119" i="11"/>
  <c r="A120" i="11"/>
  <c r="B120" i="11"/>
  <c r="E120" i="11"/>
  <c r="J120" i="11"/>
  <c r="A121" i="11"/>
  <c r="B121" i="11"/>
  <c r="E121" i="11"/>
  <c r="J121" i="11"/>
  <c r="A122" i="11"/>
  <c r="B122" i="11"/>
  <c r="E122" i="11"/>
  <c r="J122" i="11"/>
  <c r="A123" i="11"/>
  <c r="B123" i="11"/>
  <c r="E123" i="11"/>
  <c r="J123" i="11"/>
  <c r="A124" i="11"/>
  <c r="B124" i="11"/>
  <c r="E124" i="11"/>
  <c r="J124" i="11"/>
  <c r="A125" i="11"/>
  <c r="B125" i="11"/>
  <c r="E125" i="11"/>
  <c r="J125" i="11"/>
  <c r="A126" i="11"/>
  <c r="B126" i="11"/>
  <c r="E126" i="11"/>
  <c r="J126" i="11"/>
  <c r="A127" i="11"/>
  <c r="B127" i="11"/>
  <c r="E127" i="11"/>
  <c r="J127" i="11"/>
  <c r="A128" i="11"/>
  <c r="B128" i="11"/>
  <c r="E128" i="11"/>
  <c r="J128" i="11"/>
  <c r="A129" i="11"/>
  <c r="B129" i="11"/>
  <c r="E129" i="11"/>
  <c r="J129" i="11"/>
  <c r="A130" i="11"/>
  <c r="B130" i="11"/>
  <c r="E130" i="11"/>
  <c r="J130" i="11"/>
  <c r="A131" i="11"/>
  <c r="B131" i="11"/>
  <c r="E131" i="11"/>
  <c r="J131" i="11"/>
  <c r="A132" i="11"/>
  <c r="B132" i="11"/>
  <c r="E132" i="11"/>
  <c r="J132" i="11"/>
  <c r="A133" i="11"/>
  <c r="B133" i="11"/>
  <c r="E133" i="11"/>
  <c r="J133" i="11"/>
  <c r="A134" i="11"/>
  <c r="B134" i="11"/>
  <c r="E134" i="11"/>
  <c r="J134" i="11"/>
  <c r="A135" i="11"/>
  <c r="B135" i="11"/>
  <c r="E135" i="11"/>
  <c r="J135" i="11"/>
  <c r="A136" i="11"/>
  <c r="B136" i="11"/>
  <c r="E136" i="11"/>
  <c r="J136" i="11"/>
  <c r="A137" i="11"/>
  <c r="B137" i="11"/>
  <c r="E137" i="11"/>
  <c r="J137" i="11"/>
  <c r="A138" i="11"/>
  <c r="B138" i="11"/>
  <c r="E138" i="11"/>
  <c r="J138" i="11"/>
  <c r="A139" i="11"/>
  <c r="B139" i="11"/>
  <c r="E139" i="11"/>
  <c r="J139" i="11"/>
  <c r="A140" i="11"/>
  <c r="B140" i="11"/>
  <c r="E140" i="11"/>
  <c r="J140" i="11"/>
  <c r="A141" i="11"/>
  <c r="B141" i="11"/>
  <c r="E141" i="11"/>
  <c r="J141" i="11"/>
  <c r="A142" i="11"/>
  <c r="B142" i="11"/>
  <c r="E142" i="11"/>
  <c r="J142" i="11"/>
  <c r="A143" i="11"/>
  <c r="B143" i="11"/>
  <c r="E143" i="11"/>
  <c r="J143" i="11"/>
  <c r="A144" i="11"/>
  <c r="B144" i="11"/>
  <c r="E144" i="11"/>
  <c r="J144" i="11"/>
  <c r="A145" i="11"/>
  <c r="B145" i="11"/>
  <c r="E145" i="11"/>
  <c r="J145" i="11"/>
  <c r="A146" i="11"/>
  <c r="B146" i="11"/>
  <c r="E146" i="11"/>
  <c r="J146" i="11"/>
  <c r="A147" i="11"/>
  <c r="B147" i="11"/>
  <c r="E147" i="11"/>
  <c r="J147" i="11"/>
  <c r="A148" i="11"/>
  <c r="B148" i="11"/>
  <c r="E148" i="11"/>
  <c r="J148" i="11"/>
  <c r="A149" i="11"/>
  <c r="B149" i="11"/>
  <c r="E149" i="11"/>
  <c r="J149" i="11"/>
  <c r="A150" i="11"/>
  <c r="B150" i="11"/>
  <c r="E150" i="11"/>
  <c r="J150" i="11"/>
  <c r="A151" i="11"/>
  <c r="B151" i="11"/>
  <c r="E151" i="11"/>
  <c r="J151" i="11"/>
  <c r="A152" i="11"/>
  <c r="B152" i="11"/>
  <c r="E152" i="11"/>
  <c r="J152" i="11"/>
  <c r="A153" i="11"/>
  <c r="B153" i="11"/>
  <c r="E153" i="11"/>
  <c r="J153" i="11"/>
  <c r="A154" i="11"/>
  <c r="B154" i="11"/>
  <c r="E154" i="11"/>
  <c r="J154" i="11"/>
  <c r="A155" i="11"/>
  <c r="B155" i="11"/>
  <c r="E155" i="11"/>
  <c r="J155" i="11"/>
  <c r="A156" i="11"/>
  <c r="B156" i="11"/>
  <c r="E156" i="11"/>
  <c r="J156" i="11"/>
  <c r="A157" i="11"/>
  <c r="B157" i="11"/>
  <c r="E157" i="11"/>
  <c r="J157" i="11"/>
  <c r="A158" i="11"/>
  <c r="B158" i="11"/>
  <c r="E158" i="11"/>
  <c r="J158" i="11"/>
  <c r="A159" i="11"/>
  <c r="B159" i="11"/>
  <c r="E159" i="11"/>
  <c r="J159" i="11"/>
  <c r="A160" i="11"/>
  <c r="B160" i="11"/>
  <c r="E160" i="11"/>
  <c r="J160" i="11"/>
  <c r="A161" i="11"/>
  <c r="B161" i="11"/>
  <c r="E161" i="11"/>
  <c r="J161" i="11"/>
  <c r="A162" i="11"/>
  <c r="B162" i="11"/>
  <c r="E162" i="11"/>
  <c r="J162" i="11"/>
  <c r="A163" i="11"/>
  <c r="B163" i="11"/>
  <c r="E163" i="11"/>
  <c r="J163" i="11"/>
  <c r="A164" i="11"/>
  <c r="B164" i="11"/>
  <c r="E164" i="11"/>
  <c r="J164" i="11"/>
  <c r="A165" i="11"/>
  <c r="B165" i="11"/>
  <c r="E165" i="11"/>
  <c r="J165" i="11"/>
  <c r="A166" i="11"/>
  <c r="B166" i="11"/>
  <c r="E166" i="11"/>
  <c r="J166" i="11"/>
  <c r="A167" i="11"/>
  <c r="B167" i="11"/>
  <c r="E167" i="11"/>
  <c r="J167" i="11"/>
  <c r="A168" i="11"/>
  <c r="B168" i="11"/>
  <c r="E168" i="11"/>
  <c r="J168" i="11"/>
  <c r="A169" i="11"/>
  <c r="B169" i="11"/>
  <c r="E169" i="11"/>
  <c r="J169" i="11"/>
  <c r="A170" i="11"/>
  <c r="B170" i="11"/>
  <c r="E170" i="11"/>
  <c r="J170" i="11"/>
  <c r="A171" i="11"/>
  <c r="B171" i="11"/>
  <c r="E171" i="11"/>
  <c r="J171" i="11"/>
  <c r="A172" i="11"/>
  <c r="B172" i="11"/>
  <c r="E172" i="11"/>
  <c r="J172" i="11"/>
  <c r="A173" i="11"/>
  <c r="B173" i="11"/>
  <c r="E173" i="11"/>
  <c r="J173" i="11"/>
  <c r="A174" i="11"/>
  <c r="B174" i="11"/>
  <c r="E174" i="11"/>
  <c r="J174" i="11"/>
  <c r="A175" i="11"/>
  <c r="B175" i="11"/>
  <c r="E175" i="11"/>
  <c r="J175" i="11"/>
  <c r="A176" i="11"/>
  <c r="B176" i="11"/>
  <c r="E176" i="11"/>
  <c r="J176" i="11"/>
  <c r="A177" i="11"/>
  <c r="B177" i="11"/>
  <c r="E177" i="11"/>
  <c r="J177" i="11"/>
  <c r="A178" i="11"/>
  <c r="B178" i="11"/>
  <c r="E178" i="11"/>
  <c r="J178" i="11"/>
  <c r="A179" i="11"/>
  <c r="B179" i="11"/>
  <c r="E179" i="11"/>
  <c r="J179" i="11"/>
  <c r="A180" i="11"/>
  <c r="B180" i="11"/>
  <c r="E180" i="11"/>
  <c r="J180" i="11"/>
  <c r="A181" i="11"/>
  <c r="B181" i="11"/>
  <c r="E181" i="11"/>
  <c r="J181" i="11"/>
  <c r="A182" i="11"/>
  <c r="B182" i="11"/>
  <c r="E182" i="11"/>
  <c r="J182" i="11"/>
  <c r="A183" i="11"/>
  <c r="B183" i="11"/>
  <c r="E183" i="11"/>
  <c r="J183" i="11"/>
  <c r="A184" i="11"/>
  <c r="B184" i="11"/>
  <c r="E184" i="11"/>
  <c r="J184" i="11"/>
  <c r="A185" i="11"/>
  <c r="B185" i="11"/>
  <c r="E185" i="11"/>
  <c r="J185" i="11"/>
  <c r="A186" i="11"/>
  <c r="B186" i="11"/>
  <c r="E186" i="11"/>
  <c r="J186" i="11"/>
  <c r="A187" i="11"/>
  <c r="B187" i="11"/>
  <c r="E187" i="11"/>
  <c r="J187" i="11"/>
  <c r="A188" i="11"/>
  <c r="B188" i="11"/>
  <c r="E188" i="11"/>
  <c r="J188" i="11"/>
  <c r="A189" i="11"/>
  <c r="B189" i="11"/>
  <c r="E189" i="11"/>
  <c r="J189" i="11"/>
  <c r="A190" i="11"/>
  <c r="B190" i="11"/>
  <c r="E190" i="11"/>
  <c r="J190" i="11"/>
  <c r="A191" i="11"/>
  <c r="B191" i="11"/>
  <c r="E191" i="11"/>
  <c r="J191" i="11"/>
  <c r="A192" i="11"/>
  <c r="B192" i="11"/>
  <c r="E192" i="11"/>
  <c r="J192" i="11"/>
  <c r="A193" i="11"/>
  <c r="B193" i="11"/>
  <c r="E193" i="11"/>
  <c r="J193" i="11"/>
  <c r="A194" i="11"/>
  <c r="B194" i="11"/>
  <c r="E194" i="11"/>
  <c r="J194" i="11"/>
  <c r="A195" i="11"/>
  <c r="B195" i="11"/>
  <c r="E195" i="11"/>
  <c r="J195" i="11"/>
  <c r="A196" i="11"/>
  <c r="B196" i="11"/>
  <c r="E196" i="11"/>
  <c r="J196" i="11"/>
  <c r="A197" i="11"/>
  <c r="B197" i="11"/>
  <c r="E197" i="11"/>
  <c r="J197" i="11"/>
  <c r="A198" i="11"/>
  <c r="B198" i="11"/>
  <c r="E198" i="11"/>
  <c r="J198" i="11"/>
  <c r="A199" i="11"/>
  <c r="B199" i="11"/>
  <c r="E199" i="11"/>
  <c r="J199" i="11"/>
  <c r="A200" i="11"/>
  <c r="B200" i="11"/>
  <c r="E200" i="11"/>
  <c r="J200" i="11"/>
  <c r="A201" i="11"/>
  <c r="B201" i="11"/>
  <c r="E201" i="11"/>
  <c r="J201" i="11"/>
  <c r="A202" i="11"/>
  <c r="B202" i="11"/>
  <c r="E202" i="11"/>
  <c r="J202" i="11"/>
  <c r="A203" i="11"/>
  <c r="B203" i="11"/>
  <c r="E203" i="11"/>
  <c r="J203" i="11"/>
  <c r="A204" i="11"/>
  <c r="B204" i="11"/>
  <c r="E204" i="11"/>
  <c r="J204" i="11"/>
  <c r="A205" i="11"/>
  <c r="B205" i="11"/>
  <c r="E205" i="11"/>
  <c r="J205" i="11"/>
  <c r="A206" i="11"/>
  <c r="B206" i="11"/>
  <c r="E206" i="11"/>
  <c r="J206" i="11"/>
  <c r="A207" i="11"/>
  <c r="B207" i="11"/>
  <c r="E207" i="11"/>
  <c r="J207" i="11"/>
  <c r="A208" i="11"/>
  <c r="B208" i="11"/>
  <c r="E208" i="11"/>
  <c r="J208" i="11"/>
  <c r="A209" i="11"/>
  <c r="B209" i="11"/>
  <c r="E209" i="11"/>
  <c r="J209" i="11"/>
  <c r="A210" i="11"/>
  <c r="B210" i="11"/>
  <c r="E210" i="11"/>
  <c r="J210" i="11"/>
  <c r="A211" i="11"/>
  <c r="B211" i="11"/>
  <c r="E211" i="11"/>
  <c r="J211" i="11"/>
  <c r="A212" i="11"/>
  <c r="B212" i="11"/>
  <c r="E212" i="11"/>
  <c r="J212" i="11"/>
  <c r="A213" i="11"/>
  <c r="B213" i="11"/>
  <c r="E213" i="11"/>
  <c r="J213" i="11"/>
  <c r="A214" i="11"/>
  <c r="B214" i="11"/>
  <c r="E214" i="11"/>
  <c r="J214" i="11"/>
  <c r="A215" i="11"/>
  <c r="B215" i="11"/>
  <c r="E215" i="11"/>
  <c r="J215" i="11"/>
  <c r="A216" i="11"/>
  <c r="B216" i="11"/>
  <c r="E216" i="11"/>
  <c r="J216" i="11"/>
  <c r="A217" i="11"/>
  <c r="B217" i="11"/>
  <c r="E217" i="11"/>
  <c r="J217" i="11"/>
  <c r="A218" i="11"/>
  <c r="B218" i="11"/>
  <c r="E218" i="11"/>
  <c r="J218" i="11"/>
  <c r="A219" i="11"/>
  <c r="B219" i="11"/>
  <c r="E219" i="11"/>
  <c r="J219" i="11"/>
  <c r="A220" i="11"/>
  <c r="B220" i="11"/>
  <c r="E220" i="11"/>
  <c r="J220" i="11"/>
  <c r="A221" i="11"/>
  <c r="B221" i="11"/>
  <c r="E221" i="11"/>
  <c r="J221" i="11"/>
  <c r="A222" i="11"/>
  <c r="B222" i="11"/>
  <c r="E222" i="11"/>
  <c r="J222" i="11"/>
  <c r="A223" i="11"/>
  <c r="B223" i="11"/>
  <c r="E223" i="11"/>
  <c r="J223" i="11"/>
  <c r="A224" i="11"/>
  <c r="B224" i="11"/>
  <c r="E224" i="11"/>
  <c r="J224" i="11"/>
  <c r="A225" i="11"/>
  <c r="B225" i="11"/>
  <c r="E225" i="11"/>
  <c r="J225" i="11"/>
  <c r="A226" i="11"/>
  <c r="B226" i="11"/>
  <c r="E226" i="11"/>
  <c r="J226" i="11"/>
  <c r="A227" i="11"/>
  <c r="B227" i="11"/>
  <c r="E227" i="11"/>
  <c r="J227" i="11"/>
  <c r="A228" i="11"/>
  <c r="B228" i="11"/>
  <c r="E228" i="11"/>
  <c r="J228" i="11"/>
  <c r="A229" i="11"/>
  <c r="B229" i="11"/>
  <c r="E229" i="11"/>
  <c r="J229" i="11"/>
  <c r="A230" i="11"/>
  <c r="B230" i="11"/>
  <c r="E230" i="11"/>
  <c r="J230" i="11"/>
  <c r="A231" i="11"/>
  <c r="B231" i="11"/>
  <c r="E231" i="11"/>
  <c r="J231" i="11"/>
  <c r="A232" i="11"/>
  <c r="B232" i="11"/>
  <c r="E232" i="11"/>
  <c r="J232" i="11"/>
  <c r="A233" i="11"/>
  <c r="B233" i="11"/>
  <c r="E233" i="11"/>
  <c r="J233" i="11"/>
  <c r="A234" i="11"/>
  <c r="B234" i="11"/>
  <c r="E234" i="11"/>
  <c r="J234" i="11"/>
  <c r="A235" i="11"/>
  <c r="B235" i="11"/>
  <c r="E235" i="11"/>
  <c r="J235" i="11"/>
  <c r="A236" i="11"/>
  <c r="B236" i="11"/>
  <c r="E236" i="11"/>
  <c r="J236" i="11"/>
  <c r="A237" i="11"/>
  <c r="B237" i="11"/>
  <c r="E237" i="11"/>
  <c r="J237" i="11"/>
  <c r="A238" i="11"/>
  <c r="B238" i="11"/>
  <c r="E238" i="11"/>
  <c r="J238" i="11"/>
  <c r="A239" i="11"/>
  <c r="B239" i="11"/>
  <c r="E239" i="11"/>
  <c r="J239" i="11"/>
  <c r="A240" i="11"/>
  <c r="B240" i="11"/>
  <c r="E240" i="11"/>
  <c r="J240" i="11"/>
  <c r="A241" i="11"/>
  <c r="B241" i="11"/>
  <c r="E241" i="11"/>
  <c r="J241" i="11"/>
  <c r="A242" i="11"/>
  <c r="B242" i="11"/>
  <c r="E242" i="11"/>
  <c r="J242" i="11"/>
  <c r="A243" i="11"/>
  <c r="B243" i="11"/>
  <c r="E243" i="11"/>
  <c r="J243" i="11"/>
  <c r="A244" i="11"/>
  <c r="B244" i="11"/>
  <c r="E244" i="11"/>
  <c r="J244" i="11"/>
  <c r="A245" i="11"/>
  <c r="B245" i="11"/>
  <c r="E245" i="11"/>
  <c r="J245" i="11"/>
  <c r="A246" i="11"/>
  <c r="B246" i="11"/>
  <c r="E246" i="11"/>
  <c r="J246" i="11"/>
  <c r="A247" i="11"/>
  <c r="B247" i="11"/>
  <c r="E247" i="11"/>
  <c r="J247" i="11"/>
  <c r="A248" i="11"/>
  <c r="B248" i="11"/>
  <c r="E248" i="11"/>
  <c r="J248" i="11"/>
  <c r="A249" i="11"/>
  <c r="B249" i="11"/>
  <c r="E249" i="11"/>
  <c r="J249" i="11"/>
  <c r="A250" i="11"/>
  <c r="B250" i="11"/>
  <c r="E250" i="11"/>
  <c r="J250" i="11"/>
  <c r="A251" i="11"/>
  <c r="B251" i="11"/>
  <c r="E251" i="11"/>
  <c r="J251" i="11"/>
  <c r="A252" i="11"/>
  <c r="B252" i="11"/>
  <c r="E252" i="11"/>
  <c r="J252" i="11"/>
  <c r="A253" i="11"/>
  <c r="B253" i="11"/>
  <c r="E253" i="11"/>
  <c r="J253" i="11"/>
  <c r="A254" i="11"/>
  <c r="B254" i="11"/>
  <c r="E254" i="11"/>
  <c r="J254" i="11"/>
  <c r="A255" i="11"/>
  <c r="B255" i="11"/>
  <c r="E255" i="11"/>
  <c r="J255" i="11"/>
  <c r="A256" i="11"/>
  <c r="B256" i="11"/>
  <c r="E256" i="11"/>
  <c r="J256" i="11"/>
  <c r="A257" i="11"/>
  <c r="B257" i="11"/>
  <c r="E257" i="11"/>
  <c r="J257" i="11"/>
  <c r="A258" i="11"/>
  <c r="B258" i="11"/>
  <c r="E258" i="11"/>
  <c r="J258" i="11"/>
  <c r="A259" i="11"/>
  <c r="B259" i="11"/>
  <c r="E259" i="11"/>
  <c r="J259" i="11"/>
  <c r="A260" i="11"/>
  <c r="B260" i="11"/>
  <c r="E260" i="11"/>
  <c r="J260" i="11"/>
  <c r="A261" i="11"/>
  <c r="B261" i="11"/>
  <c r="E261" i="11"/>
  <c r="J261" i="11"/>
  <c r="A262" i="11"/>
  <c r="B262" i="11"/>
  <c r="E262" i="11"/>
  <c r="J262" i="11"/>
  <c r="A263" i="11"/>
  <c r="B263" i="11"/>
  <c r="E263" i="11"/>
  <c r="J263" i="11"/>
  <c r="A264" i="11"/>
  <c r="B264" i="11"/>
  <c r="E264" i="11"/>
  <c r="J264" i="11"/>
  <c r="A265" i="11"/>
  <c r="B265" i="11"/>
  <c r="E265" i="11"/>
  <c r="J265" i="11"/>
  <c r="A266" i="11"/>
  <c r="B266" i="11"/>
  <c r="E266" i="11"/>
  <c r="J266" i="11"/>
  <c r="A267" i="11"/>
  <c r="B267" i="11"/>
  <c r="E267" i="11"/>
  <c r="J267" i="11"/>
  <c r="A268" i="11"/>
  <c r="B268" i="11"/>
  <c r="E268" i="11"/>
  <c r="J268" i="11"/>
  <c r="A269" i="11"/>
  <c r="B269" i="11"/>
  <c r="E269" i="11"/>
  <c r="J269" i="11"/>
  <c r="A270" i="11"/>
  <c r="B270" i="11"/>
  <c r="E270" i="11"/>
  <c r="J270" i="11"/>
  <c r="A271" i="11"/>
  <c r="B271" i="11"/>
  <c r="E271" i="11"/>
  <c r="J271" i="11"/>
  <c r="A272" i="11"/>
  <c r="B272" i="11"/>
  <c r="E272" i="11"/>
  <c r="J272" i="11"/>
  <c r="A273" i="11"/>
  <c r="B273" i="11"/>
  <c r="E273" i="11"/>
  <c r="J273" i="11"/>
  <c r="A274" i="11"/>
  <c r="B274" i="11"/>
  <c r="E274" i="11"/>
  <c r="J274" i="11"/>
  <c r="A275" i="11"/>
  <c r="B275" i="11"/>
  <c r="E275" i="11"/>
  <c r="J275" i="11"/>
  <c r="A276" i="11"/>
  <c r="B276" i="11"/>
  <c r="E276" i="11"/>
  <c r="J276" i="11"/>
  <c r="A277" i="11"/>
  <c r="B277" i="11"/>
  <c r="E277" i="11"/>
  <c r="J277" i="11"/>
  <c r="A278" i="11"/>
  <c r="B278" i="11"/>
  <c r="E278" i="11"/>
  <c r="J278" i="11"/>
  <c r="A279" i="11"/>
  <c r="B279" i="11"/>
  <c r="E279" i="11"/>
  <c r="J279" i="11"/>
  <c r="A280" i="11"/>
  <c r="B280" i="11"/>
  <c r="E280" i="11"/>
  <c r="J280" i="11"/>
  <c r="A281" i="11"/>
  <c r="B281" i="11"/>
  <c r="E281" i="11"/>
  <c r="J281" i="11"/>
  <c r="A282" i="11"/>
  <c r="B282" i="11"/>
  <c r="E282" i="11"/>
  <c r="J282" i="11"/>
  <c r="A283" i="11"/>
  <c r="B283" i="11"/>
  <c r="E283" i="11"/>
  <c r="J283" i="11"/>
  <c r="A284" i="11"/>
  <c r="B284" i="11"/>
  <c r="E284" i="11"/>
  <c r="J284" i="11"/>
  <c r="A285" i="11"/>
  <c r="B285" i="11"/>
  <c r="E285" i="11"/>
  <c r="J285" i="11"/>
  <c r="A286" i="11"/>
  <c r="B286" i="11"/>
  <c r="E286" i="11"/>
  <c r="J286" i="11"/>
  <c r="A287" i="11"/>
  <c r="B287" i="11"/>
  <c r="E287" i="11"/>
  <c r="J287" i="11"/>
  <c r="A288" i="11"/>
  <c r="B288" i="11"/>
  <c r="E288" i="11"/>
  <c r="J288" i="11"/>
  <c r="A289" i="11"/>
  <c r="B289" i="11"/>
  <c r="E289" i="11"/>
  <c r="J289" i="11"/>
  <c r="A290" i="11"/>
  <c r="B290" i="11"/>
  <c r="E290" i="11"/>
  <c r="J290" i="11"/>
  <c r="A291" i="11"/>
  <c r="B291" i="11"/>
  <c r="E291" i="11"/>
  <c r="J291" i="11"/>
  <c r="A292" i="11"/>
  <c r="B292" i="11"/>
  <c r="E292" i="11"/>
  <c r="J292" i="11"/>
  <c r="A293" i="11"/>
  <c r="B293" i="11"/>
  <c r="E293" i="11"/>
  <c r="J293" i="11"/>
  <c r="A294" i="11"/>
  <c r="B294" i="11"/>
  <c r="E294" i="11"/>
  <c r="J294" i="11"/>
  <c r="A295" i="11"/>
  <c r="B295" i="11"/>
  <c r="E295" i="11"/>
  <c r="J295" i="11"/>
  <c r="A296" i="11"/>
  <c r="B296" i="11"/>
  <c r="E296" i="11"/>
  <c r="J296" i="11"/>
  <c r="A297" i="11"/>
  <c r="B297" i="11"/>
  <c r="E297" i="11"/>
  <c r="J297" i="11"/>
  <c r="A298" i="11"/>
  <c r="B298" i="11"/>
  <c r="E298" i="11"/>
  <c r="J298" i="11"/>
  <c r="A299" i="11"/>
  <c r="B299" i="11"/>
  <c r="E299" i="11"/>
  <c r="J299" i="11"/>
  <c r="A300" i="11"/>
  <c r="B300" i="11"/>
  <c r="E300" i="11"/>
  <c r="J300" i="11"/>
  <c r="A301" i="11"/>
  <c r="B301" i="11"/>
  <c r="E301" i="11"/>
  <c r="J301" i="11"/>
  <c r="A302" i="11"/>
  <c r="B302" i="11"/>
  <c r="E302" i="11"/>
  <c r="J302" i="11"/>
  <c r="A303" i="11"/>
  <c r="B303" i="11"/>
  <c r="E303" i="11"/>
  <c r="J303" i="11"/>
  <c r="A304" i="11"/>
  <c r="B304" i="11"/>
  <c r="E304" i="11"/>
  <c r="J304" i="11"/>
  <c r="A305" i="11"/>
  <c r="B305" i="11"/>
  <c r="E305" i="11"/>
  <c r="J305" i="11"/>
  <c r="M68" i="42"/>
  <c r="T68" i="42" s="1"/>
  <c r="M155" i="42"/>
  <c r="T155" i="42" s="1"/>
  <c r="M235" i="42"/>
  <c r="T235" i="42" s="1"/>
  <c r="M275" i="42"/>
  <c r="T275" i="42" s="1"/>
  <c r="C61" i="48" l="1"/>
  <c r="C60" i="48"/>
  <c r="K45" i="40"/>
  <c r="C5" i="9"/>
  <c r="A6" i="25"/>
  <c r="B6" i="25"/>
  <c r="D6" i="25"/>
  <c r="A7" i="25"/>
  <c r="B7" i="25"/>
  <c r="D7" i="25"/>
  <c r="A8" i="25"/>
  <c r="B8" i="25"/>
  <c r="D8" i="25"/>
  <c r="A9" i="25"/>
  <c r="B9" i="25"/>
  <c r="D9" i="25"/>
  <c r="A10" i="25"/>
  <c r="B10" i="25"/>
  <c r="D10" i="25"/>
  <c r="A11" i="25"/>
  <c r="B11" i="25"/>
  <c r="D11" i="25"/>
  <c r="A12" i="25"/>
  <c r="B12" i="25"/>
  <c r="D12" i="25"/>
  <c r="A13" i="25"/>
  <c r="B13" i="25"/>
  <c r="D13" i="25"/>
  <c r="A14" i="25"/>
  <c r="B14" i="25"/>
  <c r="D14" i="25"/>
  <c r="A15" i="25"/>
  <c r="B15" i="25"/>
  <c r="D15" i="25"/>
  <c r="A16" i="25"/>
  <c r="B16" i="25"/>
  <c r="D16" i="25"/>
  <c r="A17" i="25"/>
  <c r="B17" i="25"/>
  <c r="D17" i="25"/>
  <c r="A18" i="25"/>
  <c r="B18" i="25"/>
  <c r="D18" i="25"/>
  <c r="A19" i="25"/>
  <c r="B19" i="25"/>
  <c r="D19" i="25"/>
  <c r="A20" i="25"/>
  <c r="B20" i="25"/>
  <c r="D20" i="25"/>
  <c r="A21" i="25"/>
  <c r="B21" i="25"/>
  <c r="D21" i="25"/>
  <c r="A22" i="25"/>
  <c r="B22" i="25"/>
  <c r="D22" i="25"/>
  <c r="A23" i="25"/>
  <c r="B23" i="25"/>
  <c r="D23" i="25"/>
  <c r="A24" i="25"/>
  <c r="B24" i="25"/>
  <c r="D24" i="25"/>
  <c r="A25" i="25"/>
  <c r="B25" i="25"/>
  <c r="D25" i="25"/>
  <c r="A26" i="25"/>
  <c r="B26" i="25"/>
  <c r="D26" i="25"/>
  <c r="A27" i="25"/>
  <c r="B27" i="25"/>
  <c r="D27" i="25"/>
  <c r="A28" i="25"/>
  <c r="B28" i="25"/>
  <c r="D28" i="25"/>
  <c r="A29" i="25"/>
  <c r="B29" i="25"/>
  <c r="D29" i="25"/>
  <c r="A30" i="25"/>
  <c r="B30" i="25"/>
  <c r="D30" i="25"/>
  <c r="A31" i="25"/>
  <c r="B31" i="25"/>
  <c r="D31" i="25"/>
  <c r="A32" i="25"/>
  <c r="B32" i="25"/>
  <c r="D32" i="25"/>
  <c r="A33" i="25"/>
  <c r="B33" i="25"/>
  <c r="D33" i="25"/>
  <c r="A34" i="25"/>
  <c r="B34" i="25"/>
  <c r="D34" i="25"/>
  <c r="A35" i="25"/>
  <c r="B35" i="25"/>
  <c r="D35" i="25"/>
  <c r="A36" i="25"/>
  <c r="B36" i="25"/>
  <c r="D36" i="25"/>
  <c r="A37" i="25"/>
  <c r="B37" i="25"/>
  <c r="D37" i="25"/>
  <c r="A38" i="25"/>
  <c r="B38" i="25"/>
  <c r="D38" i="25"/>
  <c r="A39" i="25"/>
  <c r="B39" i="25"/>
  <c r="D39" i="25"/>
  <c r="A40" i="25"/>
  <c r="B40" i="25"/>
  <c r="D40" i="25"/>
  <c r="A41" i="25"/>
  <c r="B41" i="25"/>
  <c r="D41" i="25"/>
  <c r="A42" i="25"/>
  <c r="B42" i="25"/>
  <c r="D42" i="25"/>
  <c r="A43" i="25"/>
  <c r="B43" i="25"/>
  <c r="D43" i="25"/>
  <c r="A44" i="25"/>
  <c r="B44" i="25"/>
  <c r="D44" i="25"/>
  <c r="A45" i="25"/>
  <c r="B45" i="25"/>
  <c r="D45" i="25"/>
  <c r="A46" i="25"/>
  <c r="B46" i="25"/>
  <c r="D46" i="25"/>
  <c r="A47" i="25"/>
  <c r="B47" i="25"/>
  <c r="D47" i="25"/>
  <c r="A48" i="25"/>
  <c r="B48" i="25"/>
  <c r="D48" i="25"/>
  <c r="A49" i="25"/>
  <c r="B49" i="25"/>
  <c r="D49" i="25"/>
  <c r="A50" i="25"/>
  <c r="B50" i="25"/>
  <c r="D50" i="25"/>
  <c r="A51" i="25"/>
  <c r="B51" i="25"/>
  <c r="D51" i="25"/>
  <c r="A52" i="25"/>
  <c r="B52" i="25"/>
  <c r="D52" i="25"/>
  <c r="A53" i="25"/>
  <c r="B53" i="25"/>
  <c r="D53" i="25"/>
  <c r="A54" i="25"/>
  <c r="B54" i="25"/>
  <c r="D54" i="25"/>
  <c r="A55" i="25"/>
  <c r="B55" i="25"/>
  <c r="D55" i="25"/>
  <c r="A56" i="25"/>
  <c r="B56" i="25"/>
  <c r="D56" i="25"/>
  <c r="A57" i="25"/>
  <c r="B57" i="25"/>
  <c r="D57" i="25"/>
  <c r="A58" i="25"/>
  <c r="B58" i="25"/>
  <c r="D58" i="25"/>
  <c r="A59" i="25"/>
  <c r="B59" i="25"/>
  <c r="D59" i="25"/>
  <c r="A60" i="25"/>
  <c r="B60" i="25"/>
  <c r="D60" i="25"/>
  <c r="A61" i="25"/>
  <c r="B61" i="25"/>
  <c r="D61" i="25"/>
  <c r="A62" i="25"/>
  <c r="B62" i="25"/>
  <c r="D62" i="25"/>
  <c r="A63" i="25"/>
  <c r="B63" i="25"/>
  <c r="D63" i="25"/>
  <c r="A64" i="25"/>
  <c r="B64" i="25"/>
  <c r="D64" i="25"/>
  <c r="A65" i="25"/>
  <c r="B65" i="25"/>
  <c r="D65" i="25"/>
  <c r="A66" i="25"/>
  <c r="B66" i="25"/>
  <c r="D66" i="25"/>
  <c r="A67" i="25"/>
  <c r="B67" i="25"/>
  <c r="D67" i="25"/>
  <c r="A68" i="25"/>
  <c r="B68" i="25"/>
  <c r="D68" i="25"/>
  <c r="A69" i="25"/>
  <c r="B69" i="25"/>
  <c r="D69" i="25"/>
  <c r="A70" i="25"/>
  <c r="B70" i="25"/>
  <c r="D70" i="25"/>
  <c r="A71" i="25"/>
  <c r="B71" i="25"/>
  <c r="D71" i="25"/>
  <c r="A72" i="25"/>
  <c r="B72" i="25"/>
  <c r="D72" i="25"/>
  <c r="A73" i="25"/>
  <c r="B73" i="25"/>
  <c r="D73" i="25"/>
  <c r="A74" i="25"/>
  <c r="B74" i="25"/>
  <c r="D74" i="25"/>
  <c r="A75" i="25"/>
  <c r="B75" i="25"/>
  <c r="D75" i="25"/>
  <c r="A76" i="25"/>
  <c r="B76" i="25"/>
  <c r="D76" i="25"/>
  <c r="A77" i="25"/>
  <c r="B77" i="25"/>
  <c r="D77" i="25"/>
  <c r="A78" i="25"/>
  <c r="B78" i="25"/>
  <c r="D78" i="25"/>
  <c r="A79" i="25"/>
  <c r="B79" i="25"/>
  <c r="D79" i="25"/>
  <c r="A80" i="25"/>
  <c r="B80" i="25"/>
  <c r="D80" i="25"/>
  <c r="A81" i="25"/>
  <c r="B81" i="25"/>
  <c r="D81" i="25"/>
  <c r="A82" i="25"/>
  <c r="B82" i="25"/>
  <c r="D82" i="25"/>
  <c r="A83" i="25"/>
  <c r="B83" i="25"/>
  <c r="D83" i="25"/>
  <c r="A84" i="25"/>
  <c r="B84" i="25"/>
  <c r="D84" i="25"/>
  <c r="A85" i="25"/>
  <c r="B85" i="25"/>
  <c r="D85" i="25"/>
  <c r="A86" i="25"/>
  <c r="B86" i="25"/>
  <c r="D86" i="25"/>
  <c r="A87" i="25"/>
  <c r="B87" i="25"/>
  <c r="D87" i="25"/>
  <c r="A88" i="25"/>
  <c r="B88" i="25"/>
  <c r="D88" i="25"/>
  <c r="A89" i="25"/>
  <c r="B89" i="25"/>
  <c r="D89" i="25"/>
  <c r="A90" i="25"/>
  <c r="B90" i="25"/>
  <c r="D90" i="25"/>
  <c r="A91" i="25"/>
  <c r="B91" i="25"/>
  <c r="D91" i="25"/>
  <c r="A92" i="25"/>
  <c r="B92" i="25"/>
  <c r="D92" i="25"/>
  <c r="A93" i="25"/>
  <c r="B93" i="25"/>
  <c r="D93" i="25"/>
  <c r="A94" i="25"/>
  <c r="B94" i="25"/>
  <c r="D94" i="25"/>
  <c r="A95" i="25"/>
  <c r="B95" i="25"/>
  <c r="D95" i="25"/>
  <c r="A96" i="25"/>
  <c r="B96" i="25"/>
  <c r="D96" i="25"/>
  <c r="A97" i="25"/>
  <c r="B97" i="25"/>
  <c r="D97" i="25"/>
  <c r="A98" i="25"/>
  <c r="B98" i="25"/>
  <c r="D98" i="25"/>
  <c r="A99" i="25"/>
  <c r="B99" i="25"/>
  <c r="D99" i="25"/>
  <c r="A100" i="25"/>
  <c r="B100" i="25"/>
  <c r="D100" i="25"/>
  <c r="A101" i="25"/>
  <c r="B101" i="25"/>
  <c r="D101" i="25"/>
  <c r="A102" i="25"/>
  <c r="B102" i="25"/>
  <c r="D102" i="25"/>
  <c r="A103" i="25"/>
  <c r="B103" i="25"/>
  <c r="D103" i="25"/>
  <c r="A104" i="25"/>
  <c r="B104" i="25"/>
  <c r="D104" i="25"/>
  <c r="A105" i="25"/>
  <c r="B105" i="25"/>
  <c r="D105" i="25"/>
  <c r="A106" i="25"/>
  <c r="B106" i="25"/>
  <c r="D106" i="25"/>
  <c r="A107" i="25"/>
  <c r="B107" i="25"/>
  <c r="D107" i="25"/>
  <c r="A108" i="25"/>
  <c r="B108" i="25"/>
  <c r="D108" i="25"/>
  <c r="A109" i="25"/>
  <c r="B109" i="25"/>
  <c r="D109" i="25"/>
  <c r="A110" i="25"/>
  <c r="B110" i="25"/>
  <c r="D110" i="25"/>
  <c r="A111" i="25"/>
  <c r="B111" i="25"/>
  <c r="D111" i="25"/>
  <c r="A112" i="25"/>
  <c r="B112" i="25"/>
  <c r="D112" i="25"/>
  <c r="A113" i="25"/>
  <c r="B113" i="25"/>
  <c r="D113" i="25"/>
  <c r="A114" i="25"/>
  <c r="B114" i="25"/>
  <c r="D114" i="25"/>
  <c r="A115" i="25"/>
  <c r="B115" i="25"/>
  <c r="D115" i="25"/>
  <c r="A116" i="25"/>
  <c r="B116" i="25"/>
  <c r="D116" i="25"/>
  <c r="A117" i="25"/>
  <c r="B117" i="25"/>
  <c r="D117" i="25"/>
  <c r="A118" i="25"/>
  <c r="B118" i="25"/>
  <c r="D118" i="25"/>
  <c r="A119" i="25"/>
  <c r="B119" i="25"/>
  <c r="D119" i="25"/>
  <c r="A120" i="25"/>
  <c r="B120" i="25"/>
  <c r="D120" i="25"/>
  <c r="A121" i="25"/>
  <c r="B121" i="25"/>
  <c r="D121" i="25"/>
  <c r="A122" i="25"/>
  <c r="B122" i="25"/>
  <c r="D122" i="25"/>
  <c r="A123" i="25"/>
  <c r="B123" i="25"/>
  <c r="D123" i="25"/>
  <c r="A124" i="25"/>
  <c r="B124" i="25"/>
  <c r="D124" i="25"/>
  <c r="A125" i="25"/>
  <c r="B125" i="25"/>
  <c r="D125" i="25"/>
  <c r="A126" i="25"/>
  <c r="B126" i="25"/>
  <c r="D126" i="25"/>
  <c r="A127" i="25"/>
  <c r="B127" i="25"/>
  <c r="D127" i="25"/>
  <c r="A128" i="25"/>
  <c r="B128" i="25"/>
  <c r="D128" i="25"/>
  <c r="A129" i="25"/>
  <c r="B129" i="25"/>
  <c r="D129" i="25"/>
  <c r="A130" i="25"/>
  <c r="B130" i="25"/>
  <c r="D130" i="25"/>
  <c r="A131" i="25"/>
  <c r="B131" i="25"/>
  <c r="D131" i="25"/>
  <c r="A132" i="25"/>
  <c r="B132" i="25"/>
  <c r="D132" i="25"/>
  <c r="A133" i="25"/>
  <c r="B133" i="25"/>
  <c r="D133" i="25"/>
  <c r="A134" i="25"/>
  <c r="B134" i="25"/>
  <c r="D134" i="25"/>
  <c r="A135" i="25"/>
  <c r="B135" i="25"/>
  <c r="D135" i="25"/>
  <c r="A136" i="25"/>
  <c r="B136" i="25"/>
  <c r="D136" i="25"/>
  <c r="A137" i="25"/>
  <c r="B137" i="25"/>
  <c r="D137" i="25"/>
  <c r="A138" i="25"/>
  <c r="B138" i="25"/>
  <c r="D138" i="25"/>
  <c r="A139" i="25"/>
  <c r="B139" i="25"/>
  <c r="D139" i="25"/>
  <c r="A140" i="25"/>
  <c r="B140" i="25"/>
  <c r="D140" i="25"/>
  <c r="A141" i="25"/>
  <c r="B141" i="25"/>
  <c r="D141" i="25"/>
  <c r="A142" i="25"/>
  <c r="B142" i="25"/>
  <c r="D142" i="25"/>
  <c r="A143" i="25"/>
  <c r="B143" i="25"/>
  <c r="D143" i="25"/>
  <c r="A144" i="25"/>
  <c r="B144" i="25"/>
  <c r="D144" i="25"/>
  <c r="A145" i="25"/>
  <c r="B145" i="25"/>
  <c r="D145" i="25"/>
  <c r="A146" i="25"/>
  <c r="B146" i="25"/>
  <c r="D146" i="25"/>
  <c r="A147" i="25"/>
  <c r="B147" i="25"/>
  <c r="D147" i="25"/>
  <c r="A148" i="25"/>
  <c r="B148" i="25"/>
  <c r="D148" i="25"/>
  <c r="A149" i="25"/>
  <c r="B149" i="25"/>
  <c r="D149" i="25"/>
  <c r="A150" i="25"/>
  <c r="B150" i="25"/>
  <c r="D150" i="25"/>
  <c r="A151" i="25"/>
  <c r="B151" i="25"/>
  <c r="D151" i="25"/>
  <c r="A152" i="25"/>
  <c r="B152" i="25"/>
  <c r="D152" i="25"/>
  <c r="A153" i="25"/>
  <c r="B153" i="25"/>
  <c r="D153" i="25"/>
  <c r="A154" i="25"/>
  <c r="B154" i="25"/>
  <c r="D154" i="25"/>
  <c r="A155" i="25"/>
  <c r="B155" i="25"/>
  <c r="D155" i="25"/>
  <c r="A156" i="25"/>
  <c r="B156" i="25"/>
  <c r="D156" i="25"/>
  <c r="A157" i="25"/>
  <c r="B157" i="25"/>
  <c r="D157" i="25"/>
  <c r="A158" i="25"/>
  <c r="B158" i="25"/>
  <c r="D158" i="25"/>
  <c r="A159" i="25"/>
  <c r="B159" i="25"/>
  <c r="D159" i="25"/>
  <c r="A160" i="25"/>
  <c r="B160" i="25"/>
  <c r="D160" i="25"/>
  <c r="A161" i="25"/>
  <c r="B161" i="25"/>
  <c r="D161" i="25"/>
  <c r="A162" i="25"/>
  <c r="B162" i="25"/>
  <c r="D162" i="25"/>
  <c r="A163" i="25"/>
  <c r="B163" i="25"/>
  <c r="D163" i="25"/>
  <c r="A164" i="25"/>
  <c r="B164" i="25"/>
  <c r="D164" i="25"/>
  <c r="A165" i="25"/>
  <c r="B165" i="25"/>
  <c r="D165" i="25"/>
  <c r="A166" i="25"/>
  <c r="B166" i="25"/>
  <c r="D166" i="25"/>
  <c r="A167" i="25"/>
  <c r="B167" i="25"/>
  <c r="D167" i="25"/>
  <c r="A168" i="25"/>
  <c r="B168" i="25"/>
  <c r="D168" i="25"/>
  <c r="A169" i="25"/>
  <c r="B169" i="25"/>
  <c r="D169" i="25"/>
  <c r="A170" i="25"/>
  <c r="B170" i="25"/>
  <c r="D170" i="25"/>
  <c r="A171" i="25"/>
  <c r="B171" i="25"/>
  <c r="D171" i="25"/>
  <c r="A172" i="25"/>
  <c r="B172" i="25"/>
  <c r="D172" i="25"/>
  <c r="A173" i="25"/>
  <c r="B173" i="25"/>
  <c r="D173" i="25"/>
  <c r="A174" i="25"/>
  <c r="B174" i="25"/>
  <c r="D174" i="25"/>
  <c r="A175" i="25"/>
  <c r="B175" i="25"/>
  <c r="D175" i="25"/>
  <c r="A176" i="25"/>
  <c r="B176" i="25"/>
  <c r="D176" i="25"/>
  <c r="A177" i="25"/>
  <c r="B177" i="25"/>
  <c r="D177" i="25"/>
  <c r="A178" i="25"/>
  <c r="B178" i="25"/>
  <c r="D178" i="25"/>
  <c r="A179" i="25"/>
  <c r="B179" i="25"/>
  <c r="D179" i="25"/>
  <c r="A180" i="25"/>
  <c r="B180" i="25"/>
  <c r="D180" i="25"/>
  <c r="A181" i="25"/>
  <c r="B181" i="25"/>
  <c r="D181" i="25"/>
  <c r="A182" i="25"/>
  <c r="B182" i="25"/>
  <c r="D182" i="25"/>
  <c r="A183" i="25"/>
  <c r="B183" i="25"/>
  <c r="D183" i="25"/>
  <c r="A184" i="25"/>
  <c r="B184" i="25"/>
  <c r="D184" i="25"/>
  <c r="A185" i="25"/>
  <c r="B185" i="25"/>
  <c r="D185" i="25"/>
  <c r="A186" i="25"/>
  <c r="B186" i="25"/>
  <c r="D186" i="25"/>
  <c r="A187" i="25"/>
  <c r="B187" i="25"/>
  <c r="D187" i="25"/>
  <c r="A188" i="25"/>
  <c r="B188" i="25"/>
  <c r="D188" i="25"/>
  <c r="A189" i="25"/>
  <c r="B189" i="25"/>
  <c r="D189" i="25"/>
  <c r="A190" i="25"/>
  <c r="B190" i="25"/>
  <c r="D190" i="25"/>
  <c r="A191" i="25"/>
  <c r="B191" i="25"/>
  <c r="D191" i="25"/>
  <c r="A192" i="25"/>
  <c r="B192" i="25"/>
  <c r="D192" i="25"/>
  <c r="A193" i="25"/>
  <c r="B193" i="25"/>
  <c r="D193" i="25"/>
  <c r="A194" i="25"/>
  <c r="B194" i="25"/>
  <c r="D194" i="25"/>
  <c r="A195" i="25"/>
  <c r="B195" i="25"/>
  <c r="D195" i="25"/>
  <c r="A196" i="25"/>
  <c r="B196" i="25"/>
  <c r="D196" i="25"/>
  <c r="A197" i="25"/>
  <c r="B197" i="25"/>
  <c r="D197" i="25"/>
  <c r="A198" i="25"/>
  <c r="B198" i="25"/>
  <c r="D198" i="25"/>
  <c r="A199" i="25"/>
  <c r="B199" i="25"/>
  <c r="D199" i="25"/>
  <c r="A200" i="25"/>
  <c r="B200" i="25"/>
  <c r="D200" i="25"/>
  <c r="A201" i="25"/>
  <c r="B201" i="25"/>
  <c r="D201" i="25"/>
  <c r="A202" i="25"/>
  <c r="B202" i="25"/>
  <c r="D202" i="25"/>
  <c r="A203" i="25"/>
  <c r="B203" i="25"/>
  <c r="D203" i="25"/>
  <c r="A204" i="25"/>
  <c r="B204" i="25"/>
  <c r="D204" i="25"/>
  <c r="A205" i="25"/>
  <c r="B205" i="25"/>
  <c r="D205" i="25"/>
  <c r="A206" i="25"/>
  <c r="B206" i="25"/>
  <c r="D206" i="25"/>
  <c r="A207" i="25"/>
  <c r="B207" i="25"/>
  <c r="D207" i="25"/>
  <c r="A208" i="25"/>
  <c r="B208" i="25"/>
  <c r="D208" i="25"/>
  <c r="A209" i="25"/>
  <c r="B209" i="25"/>
  <c r="D209" i="25"/>
  <c r="A210" i="25"/>
  <c r="B210" i="25"/>
  <c r="D210" i="25"/>
  <c r="A211" i="25"/>
  <c r="B211" i="25"/>
  <c r="D211" i="25"/>
  <c r="A212" i="25"/>
  <c r="B212" i="25"/>
  <c r="D212" i="25"/>
  <c r="A213" i="25"/>
  <c r="B213" i="25"/>
  <c r="D213" i="25"/>
  <c r="A214" i="25"/>
  <c r="B214" i="25"/>
  <c r="D214" i="25"/>
  <c r="A215" i="25"/>
  <c r="B215" i="25"/>
  <c r="D215" i="25"/>
  <c r="A216" i="25"/>
  <c r="B216" i="25"/>
  <c r="D216" i="25"/>
  <c r="A217" i="25"/>
  <c r="B217" i="25"/>
  <c r="D217" i="25"/>
  <c r="A218" i="25"/>
  <c r="B218" i="25"/>
  <c r="D218" i="25"/>
  <c r="A219" i="25"/>
  <c r="B219" i="25"/>
  <c r="D219" i="25"/>
  <c r="A220" i="25"/>
  <c r="B220" i="25"/>
  <c r="D220" i="25"/>
  <c r="A221" i="25"/>
  <c r="B221" i="25"/>
  <c r="D221" i="25"/>
  <c r="A222" i="25"/>
  <c r="B222" i="25"/>
  <c r="D222" i="25"/>
  <c r="A223" i="25"/>
  <c r="B223" i="25"/>
  <c r="D223" i="25"/>
  <c r="A224" i="25"/>
  <c r="B224" i="25"/>
  <c r="D224" i="25"/>
  <c r="A225" i="25"/>
  <c r="B225" i="25"/>
  <c r="D225" i="25"/>
  <c r="A226" i="25"/>
  <c r="B226" i="25"/>
  <c r="D226" i="25"/>
  <c r="A227" i="25"/>
  <c r="B227" i="25"/>
  <c r="D227" i="25"/>
  <c r="A228" i="25"/>
  <c r="B228" i="25"/>
  <c r="D228" i="25"/>
  <c r="A229" i="25"/>
  <c r="B229" i="25"/>
  <c r="D229" i="25"/>
  <c r="A230" i="25"/>
  <c r="B230" i="25"/>
  <c r="D230" i="25"/>
  <c r="A231" i="25"/>
  <c r="B231" i="25"/>
  <c r="D231" i="25"/>
  <c r="A232" i="25"/>
  <c r="B232" i="25"/>
  <c r="D232" i="25"/>
  <c r="A233" i="25"/>
  <c r="B233" i="25"/>
  <c r="D233" i="25"/>
  <c r="A234" i="25"/>
  <c r="B234" i="25"/>
  <c r="D234" i="25"/>
  <c r="A235" i="25"/>
  <c r="B235" i="25"/>
  <c r="D235" i="25"/>
  <c r="A236" i="25"/>
  <c r="B236" i="25"/>
  <c r="D236" i="25"/>
  <c r="A237" i="25"/>
  <c r="B237" i="25"/>
  <c r="D237" i="25"/>
  <c r="A238" i="25"/>
  <c r="B238" i="25"/>
  <c r="D238" i="25"/>
  <c r="A239" i="25"/>
  <c r="B239" i="25"/>
  <c r="D239" i="25"/>
  <c r="A240" i="25"/>
  <c r="B240" i="25"/>
  <c r="D240" i="25"/>
  <c r="A241" i="25"/>
  <c r="B241" i="25"/>
  <c r="D241" i="25"/>
  <c r="A242" i="25"/>
  <c r="B242" i="25"/>
  <c r="D242" i="25"/>
  <c r="A243" i="25"/>
  <c r="B243" i="25"/>
  <c r="D243" i="25"/>
  <c r="A244" i="25"/>
  <c r="B244" i="25"/>
  <c r="D244" i="25"/>
  <c r="A245" i="25"/>
  <c r="B245" i="25"/>
  <c r="D245" i="25"/>
  <c r="A246" i="25"/>
  <c r="B246" i="25"/>
  <c r="D246" i="25"/>
  <c r="A247" i="25"/>
  <c r="B247" i="25"/>
  <c r="D247" i="25"/>
  <c r="A248" i="25"/>
  <c r="B248" i="25"/>
  <c r="D248" i="25"/>
  <c r="A249" i="25"/>
  <c r="B249" i="25"/>
  <c r="D249" i="25"/>
  <c r="A250" i="25"/>
  <c r="B250" i="25"/>
  <c r="D250" i="25"/>
  <c r="A251" i="25"/>
  <c r="B251" i="25"/>
  <c r="D251" i="25"/>
  <c r="A252" i="25"/>
  <c r="B252" i="25"/>
  <c r="D252" i="25"/>
  <c r="A253" i="25"/>
  <c r="B253" i="25"/>
  <c r="D253" i="25"/>
  <c r="A254" i="25"/>
  <c r="B254" i="25"/>
  <c r="D254" i="25"/>
  <c r="A255" i="25"/>
  <c r="B255" i="25"/>
  <c r="D255" i="25"/>
  <c r="A256" i="25"/>
  <c r="B256" i="25"/>
  <c r="D256" i="25"/>
  <c r="A257" i="25"/>
  <c r="B257" i="25"/>
  <c r="D257" i="25"/>
  <c r="A258" i="25"/>
  <c r="B258" i="25"/>
  <c r="D258" i="25"/>
  <c r="A259" i="25"/>
  <c r="B259" i="25"/>
  <c r="D259" i="25"/>
  <c r="A260" i="25"/>
  <c r="B260" i="25"/>
  <c r="D260" i="25"/>
  <c r="A261" i="25"/>
  <c r="B261" i="25"/>
  <c r="D261" i="25"/>
  <c r="A262" i="25"/>
  <c r="B262" i="25"/>
  <c r="D262" i="25"/>
  <c r="A263" i="25"/>
  <c r="B263" i="25"/>
  <c r="D263" i="25"/>
  <c r="A264" i="25"/>
  <c r="B264" i="25"/>
  <c r="D264" i="25"/>
  <c r="A265" i="25"/>
  <c r="B265" i="25"/>
  <c r="D265" i="25"/>
  <c r="A266" i="25"/>
  <c r="B266" i="25"/>
  <c r="D266" i="25"/>
  <c r="A267" i="25"/>
  <c r="B267" i="25"/>
  <c r="D267" i="25"/>
  <c r="A268" i="25"/>
  <c r="B268" i="25"/>
  <c r="D268" i="25"/>
  <c r="A269" i="25"/>
  <c r="B269" i="25"/>
  <c r="D269" i="25"/>
  <c r="A270" i="25"/>
  <c r="B270" i="25"/>
  <c r="D270" i="25"/>
  <c r="A271" i="25"/>
  <c r="B271" i="25"/>
  <c r="D271" i="25"/>
  <c r="A272" i="25"/>
  <c r="B272" i="25"/>
  <c r="D272" i="25"/>
  <c r="A273" i="25"/>
  <c r="B273" i="25"/>
  <c r="D273" i="25"/>
  <c r="A274" i="25"/>
  <c r="B274" i="25"/>
  <c r="D274" i="25"/>
  <c r="A275" i="25"/>
  <c r="B275" i="25"/>
  <c r="D275" i="25"/>
  <c r="A276" i="25"/>
  <c r="B276" i="25"/>
  <c r="D276" i="25"/>
  <c r="A277" i="25"/>
  <c r="B277" i="25"/>
  <c r="D277" i="25"/>
  <c r="A278" i="25"/>
  <c r="B278" i="25"/>
  <c r="D278" i="25"/>
  <c r="A279" i="25"/>
  <c r="B279" i="25"/>
  <c r="D279" i="25"/>
  <c r="A280" i="25"/>
  <c r="B280" i="25"/>
  <c r="D280" i="25"/>
  <c r="A281" i="25"/>
  <c r="B281" i="25"/>
  <c r="D281" i="25"/>
  <c r="A282" i="25"/>
  <c r="B282" i="25"/>
  <c r="D282" i="25"/>
  <c r="A283" i="25"/>
  <c r="B283" i="25"/>
  <c r="D283" i="25"/>
  <c r="A284" i="25"/>
  <c r="B284" i="25"/>
  <c r="D284" i="25"/>
  <c r="A285" i="25"/>
  <c r="B285" i="25"/>
  <c r="D285" i="25"/>
  <c r="A286" i="25"/>
  <c r="B286" i="25"/>
  <c r="D286" i="25"/>
  <c r="A287" i="25"/>
  <c r="B287" i="25"/>
  <c r="D287" i="25"/>
  <c r="A288" i="25"/>
  <c r="B288" i="25"/>
  <c r="D288" i="25"/>
  <c r="A289" i="25"/>
  <c r="B289" i="25"/>
  <c r="D289" i="25"/>
  <c r="A290" i="25"/>
  <c r="B290" i="25"/>
  <c r="D290" i="25"/>
  <c r="A291" i="25"/>
  <c r="B291" i="25"/>
  <c r="D291" i="25"/>
  <c r="A292" i="25"/>
  <c r="B292" i="25"/>
  <c r="D292" i="25"/>
  <c r="A293" i="25"/>
  <c r="B293" i="25"/>
  <c r="D293" i="25"/>
  <c r="A294" i="25"/>
  <c r="B294" i="25"/>
  <c r="D294" i="25"/>
  <c r="A295" i="25"/>
  <c r="B295" i="25"/>
  <c r="D295" i="25"/>
  <c r="A296" i="25"/>
  <c r="B296" i="25"/>
  <c r="D296" i="25"/>
  <c r="A297" i="25"/>
  <c r="B297" i="25"/>
  <c r="D297" i="25"/>
  <c r="A298" i="25"/>
  <c r="B298" i="25"/>
  <c r="D298" i="25"/>
  <c r="A299" i="25"/>
  <c r="B299" i="25"/>
  <c r="D299" i="25"/>
  <c r="A300" i="25"/>
  <c r="B300" i="25"/>
  <c r="D300" i="25"/>
  <c r="A301" i="25"/>
  <c r="B301" i="25"/>
  <c r="D301" i="25"/>
  <c r="A302" i="25"/>
  <c r="B302" i="25"/>
  <c r="D302" i="25"/>
  <c r="A303" i="25"/>
  <c r="B303" i="25"/>
  <c r="D303" i="25"/>
  <c r="A304" i="25"/>
  <c r="B304" i="25"/>
  <c r="D304" i="25"/>
  <c r="D7" i="49"/>
  <c r="E7" i="49"/>
  <c r="D8" i="49"/>
  <c r="E8" i="49"/>
  <c r="D9" i="49"/>
  <c r="E9" i="49"/>
  <c r="D10" i="49"/>
  <c r="E10" i="49"/>
  <c r="D11" i="49"/>
  <c r="E11" i="49"/>
  <c r="D12" i="49"/>
  <c r="E12" i="49"/>
  <c r="D13" i="49"/>
  <c r="E13" i="49"/>
  <c r="D14" i="49"/>
  <c r="E14" i="49"/>
  <c r="D15" i="49"/>
  <c r="E15" i="49"/>
  <c r="D16" i="49"/>
  <c r="E16" i="49"/>
  <c r="D17" i="49"/>
  <c r="E17" i="49"/>
  <c r="D18" i="49"/>
  <c r="E18" i="49"/>
  <c r="D19" i="49"/>
  <c r="E19" i="49"/>
  <c r="D20" i="49"/>
  <c r="E20" i="49"/>
  <c r="D21" i="49"/>
  <c r="E21" i="49"/>
  <c r="D22" i="49"/>
  <c r="E22" i="49"/>
  <c r="D23" i="49"/>
  <c r="E23" i="49"/>
  <c r="D24" i="49"/>
  <c r="E24" i="49"/>
  <c r="D25" i="49"/>
  <c r="E25" i="49"/>
  <c r="D26" i="49"/>
  <c r="E26" i="49"/>
  <c r="D27" i="49"/>
  <c r="E27" i="49"/>
  <c r="D28" i="49"/>
  <c r="E28" i="49"/>
  <c r="D29" i="49"/>
  <c r="E29" i="49"/>
  <c r="D30" i="49"/>
  <c r="E30" i="49"/>
  <c r="D31" i="49"/>
  <c r="E31" i="49"/>
  <c r="D32" i="49"/>
  <c r="E32" i="49"/>
  <c r="D33" i="49"/>
  <c r="E33" i="49"/>
  <c r="D34" i="49"/>
  <c r="E34" i="49"/>
  <c r="D35" i="49"/>
  <c r="E35" i="49"/>
  <c r="D36" i="49"/>
  <c r="E36" i="49"/>
  <c r="D37" i="49"/>
  <c r="E37" i="49"/>
  <c r="D38" i="49"/>
  <c r="E38" i="49"/>
  <c r="D39" i="49"/>
  <c r="E39" i="49"/>
  <c r="D40" i="49"/>
  <c r="E40" i="49"/>
  <c r="D41" i="49"/>
  <c r="E41" i="49"/>
  <c r="D42" i="49"/>
  <c r="E42" i="49"/>
  <c r="D43" i="49"/>
  <c r="E43" i="49"/>
  <c r="D44" i="49"/>
  <c r="E44" i="49"/>
  <c r="D45" i="49"/>
  <c r="E45" i="49"/>
  <c r="D46" i="49"/>
  <c r="E46" i="49"/>
  <c r="D47" i="49"/>
  <c r="E47" i="49"/>
  <c r="D48" i="49"/>
  <c r="E48" i="49"/>
  <c r="D49" i="49"/>
  <c r="E49" i="49"/>
  <c r="D50" i="49"/>
  <c r="E50" i="49"/>
  <c r="D51" i="49"/>
  <c r="E51" i="49"/>
  <c r="D52" i="49"/>
  <c r="E52" i="49"/>
  <c r="D53" i="49"/>
  <c r="E53" i="49"/>
  <c r="D54" i="49"/>
  <c r="E54" i="49"/>
  <c r="D55" i="49"/>
  <c r="E55" i="49"/>
  <c r="D56" i="49"/>
  <c r="E56" i="49"/>
  <c r="D57" i="49"/>
  <c r="E57" i="49"/>
  <c r="D58" i="49"/>
  <c r="E58" i="49"/>
  <c r="D59" i="49"/>
  <c r="E59" i="49"/>
  <c r="D60" i="49"/>
  <c r="E60" i="49"/>
  <c r="D61" i="49"/>
  <c r="E61" i="49"/>
  <c r="D62" i="49"/>
  <c r="E62" i="49"/>
  <c r="D63" i="49"/>
  <c r="E63" i="49"/>
  <c r="D64" i="49"/>
  <c r="E64" i="49"/>
  <c r="D65" i="49"/>
  <c r="E65" i="49"/>
  <c r="D66" i="49"/>
  <c r="E66" i="49"/>
  <c r="D67" i="49"/>
  <c r="E67" i="49"/>
  <c r="D68" i="49"/>
  <c r="E68" i="49"/>
  <c r="D69" i="49"/>
  <c r="E69" i="49"/>
  <c r="D70" i="49"/>
  <c r="E70" i="49"/>
  <c r="D71" i="49"/>
  <c r="E71" i="49"/>
  <c r="D72" i="49"/>
  <c r="E72" i="49"/>
  <c r="D73" i="49"/>
  <c r="E73" i="49"/>
  <c r="D74" i="49"/>
  <c r="E74" i="49"/>
  <c r="D75" i="49"/>
  <c r="E75" i="49"/>
  <c r="D76" i="49"/>
  <c r="E76" i="49"/>
  <c r="D77" i="49"/>
  <c r="E77" i="49"/>
  <c r="D78" i="49"/>
  <c r="E78" i="49"/>
  <c r="D79" i="49"/>
  <c r="E79" i="49"/>
  <c r="D80" i="49"/>
  <c r="E80" i="49"/>
  <c r="D81" i="49"/>
  <c r="E81" i="49"/>
  <c r="D82" i="49"/>
  <c r="E82" i="49"/>
  <c r="D83" i="49"/>
  <c r="E83" i="49"/>
  <c r="D84" i="49"/>
  <c r="E84" i="49"/>
  <c r="D85" i="49"/>
  <c r="E85" i="49"/>
  <c r="D86" i="49"/>
  <c r="E86" i="49"/>
  <c r="D87" i="49"/>
  <c r="E87" i="49"/>
  <c r="D88" i="49"/>
  <c r="E88" i="49"/>
  <c r="D89" i="49"/>
  <c r="E89" i="49"/>
  <c r="D90" i="49"/>
  <c r="E90" i="49"/>
  <c r="D91" i="49"/>
  <c r="E91" i="49"/>
  <c r="D92" i="49"/>
  <c r="E92" i="49"/>
  <c r="D93" i="49"/>
  <c r="E93" i="49"/>
  <c r="D94" i="49"/>
  <c r="E94" i="49"/>
  <c r="D95" i="49"/>
  <c r="E95" i="49"/>
  <c r="D96" i="49"/>
  <c r="E96" i="49"/>
  <c r="D97" i="49"/>
  <c r="E97" i="49"/>
  <c r="D98" i="49"/>
  <c r="E98" i="49"/>
  <c r="D99" i="49"/>
  <c r="E99" i="49"/>
  <c r="D100" i="49"/>
  <c r="E100" i="49"/>
  <c r="D101" i="49"/>
  <c r="E101" i="49"/>
  <c r="D102" i="49"/>
  <c r="E102" i="49"/>
  <c r="D103" i="49"/>
  <c r="E103" i="49"/>
  <c r="D104" i="49"/>
  <c r="E104" i="49"/>
  <c r="D105" i="49"/>
  <c r="E105" i="49"/>
  <c r="D106" i="49"/>
  <c r="E106" i="49"/>
  <c r="D107" i="49"/>
  <c r="E107" i="49"/>
  <c r="D108" i="49"/>
  <c r="E108" i="49"/>
  <c r="D109" i="49"/>
  <c r="E109" i="49"/>
  <c r="D110" i="49"/>
  <c r="E110" i="49"/>
  <c r="D111" i="49"/>
  <c r="E111" i="49"/>
  <c r="D112" i="49"/>
  <c r="E112" i="49"/>
  <c r="D113" i="49"/>
  <c r="E113" i="49"/>
  <c r="D114" i="49"/>
  <c r="E114" i="49"/>
  <c r="D115" i="49"/>
  <c r="E115" i="49"/>
  <c r="D116" i="49"/>
  <c r="E116" i="49"/>
  <c r="D117" i="49"/>
  <c r="E117" i="49"/>
  <c r="D118" i="49"/>
  <c r="E118" i="49"/>
  <c r="D119" i="49"/>
  <c r="E119" i="49"/>
  <c r="D120" i="49"/>
  <c r="E120" i="49"/>
  <c r="D121" i="49"/>
  <c r="E121" i="49"/>
  <c r="D122" i="49"/>
  <c r="E122" i="49"/>
  <c r="D123" i="49"/>
  <c r="E123" i="49"/>
  <c r="D124" i="49"/>
  <c r="E124" i="49"/>
  <c r="D125" i="49"/>
  <c r="E125" i="49"/>
  <c r="D126" i="49"/>
  <c r="E126" i="49"/>
  <c r="D127" i="49"/>
  <c r="E127" i="49"/>
  <c r="D128" i="49"/>
  <c r="E128" i="49"/>
  <c r="D129" i="49"/>
  <c r="E129" i="49"/>
  <c r="D130" i="49"/>
  <c r="E130" i="49"/>
  <c r="D131" i="49"/>
  <c r="E131" i="49"/>
  <c r="D132" i="49"/>
  <c r="E132" i="49"/>
  <c r="D133" i="49"/>
  <c r="E133" i="49"/>
  <c r="D134" i="49"/>
  <c r="E134" i="49"/>
  <c r="D135" i="49"/>
  <c r="E135" i="49"/>
  <c r="D136" i="49"/>
  <c r="E136" i="49"/>
  <c r="D137" i="49"/>
  <c r="E137" i="49"/>
  <c r="D138" i="49"/>
  <c r="E138" i="49"/>
  <c r="D139" i="49"/>
  <c r="E139" i="49"/>
  <c r="D140" i="49"/>
  <c r="E140" i="49"/>
  <c r="D141" i="49"/>
  <c r="E141" i="49"/>
  <c r="D142" i="49"/>
  <c r="E142" i="49"/>
  <c r="D143" i="49"/>
  <c r="E143" i="49"/>
  <c r="D144" i="49"/>
  <c r="E144" i="49"/>
  <c r="D145" i="49"/>
  <c r="E145" i="49"/>
  <c r="D146" i="49"/>
  <c r="E146" i="49"/>
  <c r="D147" i="49"/>
  <c r="E147" i="49"/>
  <c r="D148" i="49"/>
  <c r="E148" i="49"/>
  <c r="D149" i="49"/>
  <c r="E149" i="49"/>
  <c r="D150" i="49"/>
  <c r="E150" i="49"/>
  <c r="D151" i="49"/>
  <c r="E151" i="49"/>
  <c r="D152" i="49"/>
  <c r="E152" i="49"/>
  <c r="D153" i="49"/>
  <c r="E153" i="49"/>
  <c r="D154" i="49"/>
  <c r="E154" i="49"/>
  <c r="D155" i="49"/>
  <c r="E155" i="49"/>
  <c r="D156" i="49"/>
  <c r="E156" i="49"/>
  <c r="D157" i="49"/>
  <c r="E157" i="49"/>
  <c r="D158" i="49"/>
  <c r="E158" i="49"/>
  <c r="D159" i="49"/>
  <c r="E159" i="49"/>
  <c r="D160" i="49"/>
  <c r="E160" i="49"/>
  <c r="D161" i="49"/>
  <c r="E161" i="49"/>
  <c r="D162" i="49"/>
  <c r="E162" i="49"/>
  <c r="D163" i="49"/>
  <c r="E163" i="49"/>
  <c r="D164" i="49"/>
  <c r="E164" i="49"/>
  <c r="D165" i="49"/>
  <c r="E165" i="49"/>
  <c r="D166" i="49"/>
  <c r="E166" i="49"/>
  <c r="D167" i="49"/>
  <c r="E167" i="49"/>
  <c r="D168" i="49"/>
  <c r="E168" i="49"/>
  <c r="D169" i="49"/>
  <c r="E169" i="49"/>
  <c r="D170" i="49"/>
  <c r="E170" i="49"/>
  <c r="D171" i="49"/>
  <c r="E171" i="49"/>
  <c r="D172" i="49"/>
  <c r="E172" i="49"/>
  <c r="D173" i="49"/>
  <c r="E173" i="49"/>
  <c r="D174" i="49"/>
  <c r="E174" i="49"/>
  <c r="D175" i="49"/>
  <c r="E175" i="49"/>
  <c r="D176" i="49"/>
  <c r="E176" i="49"/>
  <c r="D177" i="49"/>
  <c r="E177" i="49"/>
  <c r="D178" i="49"/>
  <c r="E178" i="49"/>
  <c r="D179" i="49"/>
  <c r="E179" i="49"/>
  <c r="D180" i="49"/>
  <c r="E180" i="49"/>
  <c r="D181" i="49"/>
  <c r="E181" i="49"/>
  <c r="D182" i="49"/>
  <c r="E182" i="49"/>
  <c r="D183" i="49"/>
  <c r="E183" i="49"/>
  <c r="D184" i="49"/>
  <c r="E184" i="49"/>
  <c r="D185" i="49"/>
  <c r="E185" i="49"/>
  <c r="D186" i="49"/>
  <c r="E186" i="49"/>
  <c r="D187" i="49"/>
  <c r="E187" i="49"/>
  <c r="D188" i="49"/>
  <c r="E188" i="49"/>
  <c r="D189" i="49"/>
  <c r="E189" i="49"/>
  <c r="D190" i="49"/>
  <c r="E190" i="49"/>
  <c r="D191" i="49"/>
  <c r="E191" i="49"/>
  <c r="D192" i="49"/>
  <c r="E192" i="49"/>
  <c r="D193" i="49"/>
  <c r="E193" i="49"/>
  <c r="D194" i="49"/>
  <c r="E194" i="49"/>
  <c r="D195" i="49"/>
  <c r="E195" i="49"/>
  <c r="D196" i="49"/>
  <c r="E196" i="49"/>
  <c r="D197" i="49"/>
  <c r="E197" i="49"/>
  <c r="D198" i="49"/>
  <c r="E198" i="49"/>
  <c r="D199" i="49"/>
  <c r="E199" i="49"/>
  <c r="D200" i="49"/>
  <c r="E200" i="49"/>
  <c r="D201" i="49"/>
  <c r="E201" i="49"/>
  <c r="D202" i="49"/>
  <c r="E202" i="49"/>
  <c r="D203" i="49"/>
  <c r="E203" i="49"/>
  <c r="D204" i="49"/>
  <c r="E204" i="49"/>
  <c r="D205" i="49"/>
  <c r="E205" i="49"/>
  <c r="D206" i="49"/>
  <c r="E206" i="49"/>
  <c r="D207" i="49"/>
  <c r="E207" i="49"/>
  <c r="D208" i="49"/>
  <c r="E208" i="49"/>
  <c r="D209" i="49"/>
  <c r="E209" i="49"/>
  <c r="D210" i="49"/>
  <c r="E210" i="49"/>
  <c r="D211" i="49"/>
  <c r="E211" i="49"/>
  <c r="D212" i="49"/>
  <c r="E212" i="49"/>
  <c r="D213" i="49"/>
  <c r="E213" i="49"/>
  <c r="D214" i="49"/>
  <c r="E214" i="49"/>
  <c r="D215" i="49"/>
  <c r="E215" i="49"/>
  <c r="D216" i="49"/>
  <c r="E216" i="49"/>
  <c r="D217" i="49"/>
  <c r="E217" i="49"/>
  <c r="D218" i="49"/>
  <c r="E218" i="49"/>
  <c r="D219" i="49"/>
  <c r="E219" i="49"/>
  <c r="D220" i="49"/>
  <c r="E220" i="49"/>
  <c r="D221" i="49"/>
  <c r="E221" i="49"/>
  <c r="D222" i="49"/>
  <c r="E222" i="49"/>
  <c r="D223" i="49"/>
  <c r="E223" i="49"/>
  <c r="D224" i="49"/>
  <c r="E224" i="49"/>
  <c r="D225" i="49"/>
  <c r="E225" i="49"/>
  <c r="D226" i="49"/>
  <c r="E226" i="49"/>
  <c r="D227" i="49"/>
  <c r="E227" i="49"/>
  <c r="D228" i="49"/>
  <c r="E228" i="49"/>
  <c r="D229" i="49"/>
  <c r="E229" i="49"/>
  <c r="D230" i="49"/>
  <c r="E230" i="49"/>
  <c r="D231" i="49"/>
  <c r="E231" i="49"/>
  <c r="D232" i="49"/>
  <c r="E232" i="49"/>
  <c r="D233" i="49"/>
  <c r="E233" i="49"/>
  <c r="D234" i="49"/>
  <c r="E234" i="49"/>
  <c r="D235" i="49"/>
  <c r="E235" i="49"/>
  <c r="D236" i="49"/>
  <c r="E236" i="49"/>
  <c r="D237" i="49"/>
  <c r="E237" i="49"/>
  <c r="D238" i="49"/>
  <c r="E238" i="49"/>
  <c r="D239" i="49"/>
  <c r="E239" i="49"/>
  <c r="D240" i="49"/>
  <c r="E240" i="49"/>
  <c r="D241" i="49"/>
  <c r="E241" i="49"/>
  <c r="D242" i="49"/>
  <c r="E242" i="49"/>
  <c r="D243" i="49"/>
  <c r="E243" i="49"/>
  <c r="D244" i="49"/>
  <c r="E244" i="49"/>
  <c r="D245" i="49"/>
  <c r="E245" i="49"/>
  <c r="D246" i="49"/>
  <c r="E246" i="49"/>
  <c r="D247" i="49"/>
  <c r="E247" i="49"/>
  <c r="D248" i="49"/>
  <c r="E248" i="49"/>
  <c r="D249" i="49"/>
  <c r="E249" i="49"/>
  <c r="D250" i="49"/>
  <c r="E250" i="49"/>
  <c r="D251" i="49"/>
  <c r="E251" i="49"/>
  <c r="D252" i="49"/>
  <c r="E252" i="49"/>
  <c r="D253" i="49"/>
  <c r="E253" i="49"/>
  <c r="D254" i="49"/>
  <c r="E254" i="49"/>
  <c r="D255" i="49"/>
  <c r="E255" i="49"/>
  <c r="D256" i="49"/>
  <c r="E256" i="49"/>
  <c r="D257" i="49"/>
  <c r="E257" i="49"/>
  <c r="D258" i="49"/>
  <c r="E258" i="49"/>
  <c r="D259" i="49"/>
  <c r="E259" i="49"/>
  <c r="D260" i="49"/>
  <c r="E260" i="49"/>
  <c r="D261" i="49"/>
  <c r="E261" i="49"/>
  <c r="D262" i="49"/>
  <c r="E262" i="49"/>
  <c r="D263" i="49"/>
  <c r="E263" i="49"/>
  <c r="D264" i="49"/>
  <c r="E264" i="49"/>
  <c r="D265" i="49"/>
  <c r="E265" i="49"/>
  <c r="D266" i="49"/>
  <c r="E266" i="49"/>
  <c r="D267" i="49"/>
  <c r="E267" i="49"/>
  <c r="D268" i="49"/>
  <c r="E268" i="49"/>
  <c r="D269" i="49"/>
  <c r="E269" i="49"/>
  <c r="D270" i="49"/>
  <c r="E270" i="49"/>
  <c r="D271" i="49"/>
  <c r="E271" i="49"/>
  <c r="D272" i="49"/>
  <c r="E272" i="49"/>
  <c r="D273" i="49"/>
  <c r="E273" i="49"/>
  <c r="D274" i="49"/>
  <c r="E274" i="49"/>
  <c r="D275" i="49"/>
  <c r="E275" i="49"/>
  <c r="D276" i="49"/>
  <c r="E276" i="49"/>
  <c r="D277" i="49"/>
  <c r="E277" i="49"/>
  <c r="D278" i="49"/>
  <c r="E278" i="49"/>
  <c r="D279" i="49"/>
  <c r="E279" i="49"/>
  <c r="D280" i="49"/>
  <c r="E280" i="49"/>
  <c r="D281" i="49"/>
  <c r="E281" i="49"/>
  <c r="D282" i="49"/>
  <c r="E282" i="49"/>
  <c r="D283" i="49"/>
  <c r="E283" i="49"/>
  <c r="D284" i="49"/>
  <c r="E284" i="49"/>
  <c r="D285" i="49"/>
  <c r="E285" i="49"/>
  <c r="D286" i="49"/>
  <c r="E286" i="49"/>
  <c r="D287" i="49"/>
  <c r="E287" i="49"/>
  <c r="D288" i="49"/>
  <c r="E288" i="49"/>
  <c r="D289" i="49"/>
  <c r="E289" i="49"/>
  <c r="D290" i="49"/>
  <c r="E290" i="49"/>
  <c r="D291" i="49"/>
  <c r="E291" i="49"/>
  <c r="D292" i="49"/>
  <c r="E292" i="49"/>
  <c r="D293" i="49"/>
  <c r="E293" i="49"/>
  <c r="D294" i="49"/>
  <c r="E294" i="49"/>
  <c r="D295" i="49"/>
  <c r="E295" i="49"/>
  <c r="D296" i="49"/>
  <c r="E296" i="49"/>
  <c r="D297" i="49"/>
  <c r="E297" i="49"/>
  <c r="D298" i="49"/>
  <c r="E298" i="49"/>
  <c r="D299" i="49"/>
  <c r="E299" i="49"/>
  <c r="D300" i="49"/>
  <c r="E300" i="49"/>
  <c r="D301" i="49"/>
  <c r="E301" i="49"/>
  <c r="D302" i="49"/>
  <c r="E302" i="49"/>
  <c r="D303" i="49"/>
  <c r="E303" i="49"/>
  <c r="D304" i="49"/>
  <c r="E304" i="49"/>
  <c r="D305" i="49"/>
  <c r="E305" i="49"/>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7" i="37"/>
  <c r="B7" i="37"/>
  <c r="C7" i="37"/>
  <c r="F7" i="37"/>
  <c r="A8" i="37"/>
  <c r="B8" i="37"/>
  <c r="C8" i="37"/>
  <c r="F8" i="37"/>
  <c r="A9" i="37"/>
  <c r="B9" i="37"/>
  <c r="C9" i="37"/>
  <c r="F9" i="37"/>
  <c r="A10" i="37"/>
  <c r="B10" i="37"/>
  <c r="C10" i="37"/>
  <c r="F10" i="37"/>
  <c r="A11" i="37"/>
  <c r="B11" i="37"/>
  <c r="C11" i="37"/>
  <c r="F11" i="37"/>
  <c r="A12" i="37"/>
  <c r="B12" i="37"/>
  <c r="C12" i="37"/>
  <c r="F12" i="37"/>
  <c r="A13" i="37"/>
  <c r="B13" i="37"/>
  <c r="C13" i="37"/>
  <c r="F13" i="37"/>
  <c r="A14" i="37"/>
  <c r="B14" i="37"/>
  <c r="C14" i="37"/>
  <c r="F14" i="37"/>
  <c r="A15" i="37"/>
  <c r="B15" i="37"/>
  <c r="C15" i="37"/>
  <c r="F15" i="37"/>
  <c r="A16" i="37"/>
  <c r="B16" i="37"/>
  <c r="C16" i="37"/>
  <c r="F16" i="37"/>
  <c r="A17" i="37"/>
  <c r="B17" i="37"/>
  <c r="C17" i="37"/>
  <c r="F17" i="37"/>
  <c r="A18" i="37"/>
  <c r="B18" i="37"/>
  <c r="C18" i="37"/>
  <c r="F18" i="37"/>
  <c r="A19" i="37"/>
  <c r="B19" i="37"/>
  <c r="C19" i="37"/>
  <c r="F19" i="37"/>
  <c r="A20" i="37"/>
  <c r="B20" i="37"/>
  <c r="C20" i="37"/>
  <c r="F20" i="37"/>
  <c r="A21" i="37"/>
  <c r="B21" i="37"/>
  <c r="C21" i="37"/>
  <c r="F21" i="37"/>
  <c r="A22" i="37"/>
  <c r="B22" i="37"/>
  <c r="C22" i="37"/>
  <c r="F22" i="37"/>
  <c r="A23" i="37"/>
  <c r="B23" i="37"/>
  <c r="C23" i="37"/>
  <c r="F23" i="37"/>
  <c r="A24" i="37"/>
  <c r="B24" i="37"/>
  <c r="C24" i="37"/>
  <c r="F24" i="37"/>
  <c r="A25" i="37"/>
  <c r="B25" i="37"/>
  <c r="C25" i="37"/>
  <c r="F25" i="37"/>
  <c r="A26" i="37"/>
  <c r="B26" i="37"/>
  <c r="C26" i="37"/>
  <c r="F26" i="37"/>
  <c r="A27" i="37"/>
  <c r="B27" i="37"/>
  <c r="C27" i="37"/>
  <c r="F27" i="37"/>
  <c r="A28" i="37"/>
  <c r="B28" i="37"/>
  <c r="C28" i="37"/>
  <c r="F28" i="37"/>
  <c r="A29" i="37"/>
  <c r="B29" i="37"/>
  <c r="C29" i="37"/>
  <c r="F29" i="37"/>
  <c r="A30" i="37"/>
  <c r="B30" i="37"/>
  <c r="C30" i="37"/>
  <c r="F30" i="37"/>
  <c r="A31" i="37"/>
  <c r="B31" i="37"/>
  <c r="C31" i="37"/>
  <c r="F31" i="37"/>
  <c r="A32" i="37"/>
  <c r="B32" i="37"/>
  <c r="C32" i="37"/>
  <c r="F32" i="37"/>
  <c r="A33" i="37"/>
  <c r="B33" i="37"/>
  <c r="C33" i="37"/>
  <c r="F33" i="37"/>
  <c r="A34" i="37"/>
  <c r="B34" i="37"/>
  <c r="C34" i="37"/>
  <c r="F34" i="37"/>
  <c r="A35" i="37"/>
  <c r="B35" i="37"/>
  <c r="C35" i="37"/>
  <c r="F35" i="37"/>
  <c r="A36" i="37"/>
  <c r="B36" i="37"/>
  <c r="C36" i="37"/>
  <c r="F36" i="37"/>
  <c r="A37" i="37"/>
  <c r="B37" i="37"/>
  <c r="C37" i="37"/>
  <c r="F37" i="37"/>
  <c r="A38" i="37"/>
  <c r="B38" i="37"/>
  <c r="C38" i="37"/>
  <c r="F38" i="37"/>
  <c r="A39" i="37"/>
  <c r="B39" i="37"/>
  <c r="C39" i="37"/>
  <c r="F39" i="37"/>
  <c r="A40" i="37"/>
  <c r="B40" i="37"/>
  <c r="C40" i="37"/>
  <c r="F40" i="37"/>
  <c r="A41" i="37"/>
  <c r="B41" i="37"/>
  <c r="C41" i="37"/>
  <c r="F41" i="37"/>
  <c r="A42" i="37"/>
  <c r="B42" i="37"/>
  <c r="C42" i="37"/>
  <c r="F42" i="37"/>
  <c r="A43" i="37"/>
  <c r="B43" i="37"/>
  <c r="C43" i="37"/>
  <c r="F43" i="37"/>
  <c r="A44" i="37"/>
  <c r="B44" i="37"/>
  <c r="C44" i="37"/>
  <c r="F44" i="37"/>
  <c r="A45" i="37"/>
  <c r="B45" i="37"/>
  <c r="C45" i="37"/>
  <c r="F45" i="37"/>
  <c r="A46" i="37"/>
  <c r="B46" i="37"/>
  <c r="C46" i="37"/>
  <c r="F46" i="37"/>
  <c r="A47" i="37"/>
  <c r="B47" i="37"/>
  <c r="C47" i="37"/>
  <c r="F47" i="37"/>
  <c r="A48" i="37"/>
  <c r="B48" i="37"/>
  <c r="C48" i="37"/>
  <c r="F48" i="37"/>
  <c r="A49" i="37"/>
  <c r="B49" i="37"/>
  <c r="C49" i="37"/>
  <c r="F49" i="37"/>
  <c r="A50" i="37"/>
  <c r="B50" i="37"/>
  <c r="C50" i="37"/>
  <c r="F50" i="37"/>
  <c r="A51" i="37"/>
  <c r="B51" i="37"/>
  <c r="C51" i="37"/>
  <c r="F51" i="37"/>
  <c r="A52" i="37"/>
  <c r="B52" i="37"/>
  <c r="C52" i="37"/>
  <c r="F52" i="37"/>
  <c r="A53" i="37"/>
  <c r="B53" i="37"/>
  <c r="C53" i="37"/>
  <c r="F53" i="37"/>
  <c r="A54" i="37"/>
  <c r="B54" i="37"/>
  <c r="C54" i="37"/>
  <c r="F54" i="37"/>
  <c r="A55" i="37"/>
  <c r="B55" i="37"/>
  <c r="C55" i="37"/>
  <c r="F55" i="37"/>
  <c r="A56" i="37"/>
  <c r="B56" i="37"/>
  <c r="C56" i="37"/>
  <c r="F56" i="37"/>
  <c r="A57" i="37"/>
  <c r="B57" i="37"/>
  <c r="C57" i="37"/>
  <c r="F57" i="37"/>
  <c r="A58" i="37"/>
  <c r="B58" i="37"/>
  <c r="C58" i="37"/>
  <c r="F58" i="37"/>
  <c r="A59" i="37"/>
  <c r="B59" i="37"/>
  <c r="C59" i="37"/>
  <c r="F59" i="37"/>
  <c r="A60" i="37"/>
  <c r="B60" i="37"/>
  <c r="C60" i="37"/>
  <c r="F60" i="37"/>
  <c r="A61" i="37"/>
  <c r="B61" i="37"/>
  <c r="C61" i="37"/>
  <c r="F61" i="37"/>
  <c r="A62" i="37"/>
  <c r="B62" i="37"/>
  <c r="C62" i="37"/>
  <c r="F62" i="37"/>
  <c r="A63" i="37"/>
  <c r="B63" i="37"/>
  <c r="C63" i="37"/>
  <c r="F63" i="37"/>
  <c r="A64" i="37"/>
  <c r="B64" i="37"/>
  <c r="C64" i="37"/>
  <c r="F64" i="37"/>
  <c r="A65" i="37"/>
  <c r="B65" i="37"/>
  <c r="C65" i="37"/>
  <c r="F65" i="37"/>
  <c r="A66" i="37"/>
  <c r="B66" i="37"/>
  <c r="C66" i="37"/>
  <c r="F66" i="37"/>
  <c r="A67" i="37"/>
  <c r="B67" i="37"/>
  <c r="C67" i="37"/>
  <c r="F67" i="37"/>
  <c r="A68" i="37"/>
  <c r="B68" i="37"/>
  <c r="C68" i="37"/>
  <c r="F68" i="37"/>
  <c r="A69" i="37"/>
  <c r="B69" i="37"/>
  <c r="C69" i="37"/>
  <c r="F69" i="37"/>
  <c r="A70" i="37"/>
  <c r="B70" i="37"/>
  <c r="C70" i="37"/>
  <c r="F70" i="37"/>
  <c r="A71" i="37"/>
  <c r="B71" i="37"/>
  <c r="C71" i="37"/>
  <c r="F71" i="37"/>
  <c r="A72" i="37"/>
  <c r="B72" i="37"/>
  <c r="C72" i="37"/>
  <c r="F72" i="37"/>
  <c r="A73" i="37"/>
  <c r="B73" i="37"/>
  <c r="C73" i="37"/>
  <c r="F73" i="37"/>
  <c r="A74" i="37"/>
  <c r="B74" i="37"/>
  <c r="C74" i="37"/>
  <c r="F74" i="37"/>
  <c r="A75" i="37"/>
  <c r="B75" i="37"/>
  <c r="C75" i="37"/>
  <c r="F75" i="37"/>
  <c r="A76" i="37"/>
  <c r="B76" i="37"/>
  <c r="C76" i="37"/>
  <c r="F76" i="37"/>
  <c r="A77" i="37"/>
  <c r="B77" i="37"/>
  <c r="C77" i="37"/>
  <c r="F77" i="37"/>
  <c r="A78" i="37"/>
  <c r="B78" i="37"/>
  <c r="C78" i="37"/>
  <c r="F78" i="37"/>
  <c r="A79" i="37"/>
  <c r="B79" i="37"/>
  <c r="C79" i="37"/>
  <c r="F79" i="37"/>
  <c r="A80" i="37"/>
  <c r="B80" i="37"/>
  <c r="C80" i="37"/>
  <c r="F80" i="37"/>
  <c r="A81" i="37"/>
  <c r="B81" i="37"/>
  <c r="C81" i="37"/>
  <c r="F81" i="37"/>
  <c r="A82" i="37"/>
  <c r="B82" i="37"/>
  <c r="C82" i="37"/>
  <c r="F82" i="37"/>
  <c r="A83" i="37"/>
  <c r="B83" i="37"/>
  <c r="C83" i="37"/>
  <c r="F83" i="37"/>
  <c r="A84" i="37"/>
  <c r="B84" i="37"/>
  <c r="C84" i="37"/>
  <c r="F84" i="37"/>
  <c r="A85" i="37"/>
  <c r="B85" i="37"/>
  <c r="C85" i="37"/>
  <c r="F85" i="37"/>
  <c r="A86" i="37"/>
  <c r="B86" i="37"/>
  <c r="C86" i="37"/>
  <c r="F86" i="37"/>
  <c r="A87" i="37"/>
  <c r="B87" i="37"/>
  <c r="C87" i="37"/>
  <c r="F87" i="37"/>
  <c r="A88" i="37"/>
  <c r="B88" i="37"/>
  <c r="C88" i="37"/>
  <c r="F88" i="37"/>
  <c r="A89" i="37"/>
  <c r="B89" i="37"/>
  <c r="C89" i="37"/>
  <c r="F89" i="37"/>
  <c r="A90" i="37"/>
  <c r="B90" i="37"/>
  <c r="C90" i="37"/>
  <c r="F90" i="37"/>
  <c r="A91" i="37"/>
  <c r="B91" i="37"/>
  <c r="C91" i="37"/>
  <c r="F91" i="37"/>
  <c r="A92" i="37"/>
  <c r="B92" i="37"/>
  <c r="C92" i="37"/>
  <c r="F92" i="37"/>
  <c r="A93" i="37"/>
  <c r="B93" i="37"/>
  <c r="C93" i="37"/>
  <c r="F93" i="37"/>
  <c r="A94" i="37"/>
  <c r="B94" i="37"/>
  <c r="C94" i="37"/>
  <c r="F94" i="37"/>
  <c r="A95" i="37"/>
  <c r="B95" i="37"/>
  <c r="C95" i="37"/>
  <c r="F95" i="37"/>
  <c r="A96" i="37"/>
  <c r="B96" i="37"/>
  <c r="C96" i="37"/>
  <c r="F96" i="37"/>
  <c r="A97" i="37"/>
  <c r="B97" i="37"/>
  <c r="C97" i="37"/>
  <c r="F97" i="37"/>
  <c r="A98" i="37"/>
  <c r="B98" i="37"/>
  <c r="C98" i="37"/>
  <c r="F98" i="37"/>
  <c r="A99" i="37"/>
  <c r="B99" i="37"/>
  <c r="C99" i="37"/>
  <c r="F99" i="37"/>
  <c r="A100" i="37"/>
  <c r="B100" i="37"/>
  <c r="C100" i="37"/>
  <c r="F100" i="37"/>
  <c r="A101" i="37"/>
  <c r="B101" i="37"/>
  <c r="C101" i="37"/>
  <c r="F101" i="37"/>
  <c r="A102" i="37"/>
  <c r="B102" i="37"/>
  <c r="C102" i="37"/>
  <c r="F102" i="37"/>
  <c r="A103" i="37"/>
  <c r="B103" i="37"/>
  <c r="C103" i="37"/>
  <c r="F103" i="37"/>
  <c r="A104" i="37"/>
  <c r="B104" i="37"/>
  <c r="C104" i="37"/>
  <c r="F104" i="37"/>
  <c r="A105" i="37"/>
  <c r="B105" i="37"/>
  <c r="C105" i="37"/>
  <c r="F105" i="37"/>
  <c r="A106" i="37"/>
  <c r="B106" i="37"/>
  <c r="C106" i="37"/>
  <c r="F106" i="37"/>
  <c r="A107" i="37"/>
  <c r="B107" i="37"/>
  <c r="C107" i="37"/>
  <c r="F107" i="37"/>
  <c r="A108" i="37"/>
  <c r="B108" i="37"/>
  <c r="C108" i="37"/>
  <c r="F108" i="37"/>
  <c r="A109" i="37"/>
  <c r="B109" i="37"/>
  <c r="C109" i="37"/>
  <c r="F109" i="37"/>
  <c r="A110" i="37"/>
  <c r="B110" i="37"/>
  <c r="C110" i="37"/>
  <c r="F110" i="37"/>
  <c r="A111" i="37"/>
  <c r="B111" i="37"/>
  <c r="C111" i="37"/>
  <c r="F111" i="37"/>
  <c r="A112" i="37"/>
  <c r="B112" i="37"/>
  <c r="C112" i="37"/>
  <c r="F112" i="37"/>
  <c r="A113" i="37"/>
  <c r="B113" i="37"/>
  <c r="C113" i="37"/>
  <c r="F113" i="37"/>
  <c r="A114" i="37"/>
  <c r="B114" i="37"/>
  <c r="C114" i="37"/>
  <c r="F114" i="37"/>
  <c r="A115" i="37"/>
  <c r="B115" i="37"/>
  <c r="C115" i="37"/>
  <c r="F115" i="37"/>
  <c r="A116" i="37"/>
  <c r="B116" i="37"/>
  <c r="C116" i="37"/>
  <c r="F116" i="37"/>
  <c r="A117" i="37"/>
  <c r="B117" i="37"/>
  <c r="C117" i="37"/>
  <c r="F117" i="37"/>
  <c r="A118" i="37"/>
  <c r="B118" i="37"/>
  <c r="C118" i="37"/>
  <c r="F118" i="37"/>
  <c r="A119" i="37"/>
  <c r="B119" i="37"/>
  <c r="C119" i="37"/>
  <c r="F119" i="37"/>
  <c r="A120" i="37"/>
  <c r="B120" i="37"/>
  <c r="C120" i="37"/>
  <c r="F120" i="37"/>
  <c r="A121" i="37"/>
  <c r="B121" i="37"/>
  <c r="C121" i="37"/>
  <c r="F121" i="37"/>
  <c r="A122" i="37"/>
  <c r="B122" i="37"/>
  <c r="C122" i="37"/>
  <c r="F122" i="37"/>
  <c r="A123" i="37"/>
  <c r="B123" i="37"/>
  <c r="C123" i="37"/>
  <c r="F123" i="37"/>
  <c r="A124" i="37"/>
  <c r="B124" i="37"/>
  <c r="C124" i="37"/>
  <c r="F124" i="37"/>
  <c r="A125" i="37"/>
  <c r="B125" i="37"/>
  <c r="C125" i="37"/>
  <c r="F125" i="37"/>
  <c r="A126" i="37"/>
  <c r="B126" i="37"/>
  <c r="C126" i="37"/>
  <c r="F126" i="37"/>
  <c r="A127" i="37"/>
  <c r="B127" i="37"/>
  <c r="C127" i="37"/>
  <c r="F127" i="37"/>
  <c r="A128" i="37"/>
  <c r="B128" i="37"/>
  <c r="C128" i="37"/>
  <c r="F128" i="37"/>
  <c r="A129" i="37"/>
  <c r="B129" i="37"/>
  <c r="C129" i="37"/>
  <c r="F129" i="37"/>
  <c r="A130" i="37"/>
  <c r="B130" i="37"/>
  <c r="C130" i="37"/>
  <c r="F130" i="37"/>
  <c r="A131" i="37"/>
  <c r="B131" i="37"/>
  <c r="C131" i="37"/>
  <c r="F131" i="37"/>
  <c r="A132" i="37"/>
  <c r="B132" i="37"/>
  <c r="C132" i="37"/>
  <c r="F132" i="37"/>
  <c r="A133" i="37"/>
  <c r="B133" i="37"/>
  <c r="C133" i="37"/>
  <c r="F133" i="37"/>
  <c r="A134" i="37"/>
  <c r="B134" i="37"/>
  <c r="C134" i="37"/>
  <c r="F134" i="37"/>
  <c r="A135" i="37"/>
  <c r="B135" i="37"/>
  <c r="C135" i="37"/>
  <c r="F135" i="37"/>
  <c r="A136" i="37"/>
  <c r="B136" i="37"/>
  <c r="C136" i="37"/>
  <c r="F136" i="37"/>
  <c r="A137" i="37"/>
  <c r="B137" i="37"/>
  <c r="C137" i="37"/>
  <c r="F137" i="37"/>
  <c r="A138" i="37"/>
  <c r="B138" i="37"/>
  <c r="C138" i="37"/>
  <c r="F138" i="37"/>
  <c r="A139" i="37"/>
  <c r="B139" i="37"/>
  <c r="C139" i="37"/>
  <c r="F139" i="37"/>
  <c r="A140" i="37"/>
  <c r="B140" i="37"/>
  <c r="C140" i="37"/>
  <c r="F140" i="37"/>
  <c r="A141" i="37"/>
  <c r="B141" i="37"/>
  <c r="C141" i="37"/>
  <c r="F141" i="37"/>
  <c r="A142" i="37"/>
  <c r="B142" i="37"/>
  <c r="C142" i="37"/>
  <c r="F142" i="37"/>
  <c r="A143" i="37"/>
  <c r="B143" i="37"/>
  <c r="C143" i="37"/>
  <c r="F143" i="37"/>
  <c r="A144" i="37"/>
  <c r="B144" i="37"/>
  <c r="C144" i="37"/>
  <c r="F144" i="37"/>
  <c r="A145" i="37"/>
  <c r="B145" i="37"/>
  <c r="C145" i="37"/>
  <c r="F145" i="37"/>
  <c r="A146" i="37"/>
  <c r="B146" i="37"/>
  <c r="C146" i="37"/>
  <c r="F146" i="37"/>
  <c r="A147" i="37"/>
  <c r="B147" i="37"/>
  <c r="C147" i="37"/>
  <c r="F147" i="37"/>
  <c r="A148" i="37"/>
  <c r="B148" i="37"/>
  <c r="C148" i="37"/>
  <c r="F148" i="37"/>
  <c r="A149" i="37"/>
  <c r="B149" i="37"/>
  <c r="C149" i="37"/>
  <c r="F149" i="37"/>
  <c r="A150" i="37"/>
  <c r="B150" i="37"/>
  <c r="C150" i="37"/>
  <c r="F150" i="37"/>
  <c r="A151" i="37"/>
  <c r="B151" i="37"/>
  <c r="C151" i="37"/>
  <c r="F151" i="37"/>
  <c r="A152" i="37"/>
  <c r="B152" i="37"/>
  <c r="C152" i="37"/>
  <c r="F152" i="37"/>
  <c r="A153" i="37"/>
  <c r="B153" i="37"/>
  <c r="C153" i="37"/>
  <c r="F153" i="37"/>
  <c r="A154" i="37"/>
  <c r="B154" i="37"/>
  <c r="C154" i="37"/>
  <c r="F154" i="37"/>
  <c r="A155" i="37"/>
  <c r="B155" i="37"/>
  <c r="C155" i="37"/>
  <c r="F155" i="37"/>
  <c r="A156" i="37"/>
  <c r="B156" i="37"/>
  <c r="C156" i="37"/>
  <c r="F156" i="37"/>
  <c r="A157" i="37"/>
  <c r="B157" i="37"/>
  <c r="C157" i="37"/>
  <c r="F157" i="37"/>
  <c r="A158" i="37"/>
  <c r="B158" i="37"/>
  <c r="C158" i="37"/>
  <c r="F158" i="37"/>
  <c r="A159" i="37"/>
  <c r="B159" i="37"/>
  <c r="C159" i="37"/>
  <c r="F159" i="37"/>
  <c r="A160" i="37"/>
  <c r="B160" i="37"/>
  <c r="C160" i="37"/>
  <c r="F160" i="37"/>
  <c r="A161" i="37"/>
  <c r="B161" i="37"/>
  <c r="C161" i="37"/>
  <c r="F161" i="37"/>
  <c r="A162" i="37"/>
  <c r="B162" i="37"/>
  <c r="C162" i="37"/>
  <c r="F162" i="37"/>
  <c r="A163" i="37"/>
  <c r="B163" i="37"/>
  <c r="C163" i="37"/>
  <c r="F163" i="37"/>
  <c r="A164" i="37"/>
  <c r="B164" i="37"/>
  <c r="C164" i="37"/>
  <c r="F164" i="37"/>
  <c r="A165" i="37"/>
  <c r="B165" i="37"/>
  <c r="C165" i="37"/>
  <c r="F165" i="37"/>
  <c r="A166" i="37"/>
  <c r="B166" i="37"/>
  <c r="C166" i="37"/>
  <c r="F166" i="37"/>
  <c r="A167" i="37"/>
  <c r="B167" i="37"/>
  <c r="C167" i="37"/>
  <c r="F167" i="37"/>
  <c r="A168" i="37"/>
  <c r="B168" i="37"/>
  <c r="C168" i="37"/>
  <c r="F168" i="37"/>
  <c r="A169" i="37"/>
  <c r="B169" i="37"/>
  <c r="C169" i="37"/>
  <c r="F169" i="37"/>
  <c r="A170" i="37"/>
  <c r="B170" i="37"/>
  <c r="C170" i="37"/>
  <c r="F170" i="37"/>
  <c r="A171" i="37"/>
  <c r="B171" i="37"/>
  <c r="C171" i="37"/>
  <c r="F171" i="37"/>
  <c r="A172" i="37"/>
  <c r="B172" i="37"/>
  <c r="C172" i="37"/>
  <c r="F172" i="37"/>
  <c r="A173" i="37"/>
  <c r="B173" i="37"/>
  <c r="C173" i="37"/>
  <c r="F173" i="37"/>
  <c r="A174" i="37"/>
  <c r="B174" i="37"/>
  <c r="C174" i="37"/>
  <c r="F174" i="37"/>
  <c r="A175" i="37"/>
  <c r="B175" i="37"/>
  <c r="C175" i="37"/>
  <c r="F175" i="37"/>
  <c r="A176" i="37"/>
  <c r="B176" i="37"/>
  <c r="C176" i="37"/>
  <c r="F176" i="37"/>
  <c r="A177" i="37"/>
  <c r="B177" i="37"/>
  <c r="C177" i="37"/>
  <c r="F177" i="37"/>
  <c r="A178" i="37"/>
  <c r="B178" i="37"/>
  <c r="C178" i="37"/>
  <c r="F178" i="37"/>
  <c r="A179" i="37"/>
  <c r="B179" i="37"/>
  <c r="C179" i="37"/>
  <c r="F179" i="37"/>
  <c r="A180" i="37"/>
  <c r="B180" i="37"/>
  <c r="C180" i="37"/>
  <c r="F180" i="37"/>
  <c r="A181" i="37"/>
  <c r="B181" i="37"/>
  <c r="C181" i="37"/>
  <c r="F181" i="37"/>
  <c r="A182" i="37"/>
  <c r="B182" i="37"/>
  <c r="C182" i="37"/>
  <c r="F182" i="37"/>
  <c r="A183" i="37"/>
  <c r="B183" i="37"/>
  <c r="C183" i="37"/>
  <c r="F183" i="37"/>
  <c r="A184" i="37"/>
  <c r="B184" i="37"/>
  <c r="C184" i="37"/>
  <c r="F184" i="37"/>
  <c r="A185" i="37"/>
  <c r="B185" i="37"/>
  <c r="C185" i="37"/>
  <c r="F185" i="37"/>
  <c r="A186" i="37"/>
  <c r="B186" i="37"/>
  <c r="C186" i="37"/>
  <c r="F186" i="37"/>
  <c r="A187" i="37"/>
  <c r="B187" i="37"/>
  <c r="C187" i="37"/>
  <c r="F187" i="37"/>
  <c r="A188" i="37"/>
  <c r="B188" i="37"/>
  <c r="C188" i="37"/>
  <c r="F188" i="37"/>
  <c r="A189" i="37"/>
  <c r="B189" i="37"/>
  <c r="C189" i="37"/>
  <c r="F189" i="37"/>
  <c r="A190" i="37"/>
  <c r="B190" i="37"/>
  <c r="C190" i="37"/>
  <c r="F190" i="37"/>
  <c r="A191" i="37"/>
  <c r="B191" i="37"/>
  <c r="C191" i="37"/>
  <c r="F191" i="37"/>
  <c r="A192" i="37"/>
  <c r="B192" i="37"/>
  <c r="C192" i="37"/>
  <c r="F192" i="37"/>
  <c r="A193" i="37"/>
  <c r="B193" i="37"/>
  <c r="C193" i="37"/>
  <c r="F193" i="37"/>
  <c r="A194" i="37"/>
  <c r="B194" i="37"/>
  <c r="C194" i="37"/>
  <c r="F194" i="37"/>
  <c r="A195" i="37"/>
  <c r="B195" i="37"/>
  <c r="C195" i="37"/>
  <c r="F195" i="37"/>
  <c r="A196" i="37"/>
  <c r="B196" i="37"/>
  <c r="C196" i="37"/>
  <c r="F196" i="37"/>
  <c r="A197" i="37"/>
  <c r="B197" i="37"/>
  <c r="C197" i="37"/>
  <c r="F197" i="37"/>
  <c r="A198" i="37"/>
  <c r="B198" i="37"/>
  <c r="C198" i="37"/>
  <c r="F198" i="37"/>
  <c r="A199" i="37"/>
  <c r="B199" i="37"/>
  <c r="C199" i="37"/>
  <c r="F199" i="37"/>
  <c r="A200" i="37"/>
  <c r="B200" i="37"/>
  <c r="C200" i="37"/>
  <c r="F200" i="37"/>
  <c r="A201" i="37"/>
  <c r="B201" i="37"/>
  <c r="C201" i="37"/>
  <c r="F201" i="37"/>
  <c r="A202" i="37"/>
  <c r="B202" i="37"/>
  <c r="C202" i="37"/>
  <c r="F202" i="37"/>
  <c r="A203" i="37"/>
  <c r="B203" i="37"/>
  <c r="C203" i="37"/>
  <c r="F203" i="37"/>
  <c r="A204" i="37"/>
  <c r="B204" i="37"/>
  <c r="C204" i="37"/>
  <c r="F204" i="37"/>
  <c r="A205" i="37"/>
  <c r="B205" i="37"/>
  <c r="C205" i="37"/>
  <c r="F205" i="37"/>
  <c r="A206" i="37"/>
  <c r="B206" i="37"/>
  <c r="C206" i="37"/>
  <c r="F206" i="37"/>
  <c r="A207" i="37"/>
  <c r="B207" i="37"/>
  <c r="C207" i="37"/>
  <c r="F207" i="37"/>
  <c r="A208" i="37"/>
  <c r="B208" i="37"/>
  <c r="C208" i="37"/>
  <c r="F208" i="37"/>
  <c r="A209" i="37"/>
  <c r="B209" i="37"/>
  <c r="C209" i="37"/>
  <c r="F209" i="37"/>
  <c r="A210" i="37"/>
  <c r="B210" i="37"/>
  <c r="C210" i="37"/>
  <c r="F210" i="37"/>
  <c r="A211" i="37"/>
  <c r="B211" i="37"/>
  <c r="C211" i="37"/>
  <c r="F211" i="37"/>
  <c r="A212" i="37"/>
  <c r="B212" i="37"/>
  <c r="C212" i="37"/>
  <c r="F212" i="37"/>
  <c r="A213" i="37"/>
  <c r="B213" i="37"/>
  <c r="C213" i="37"/>
  <c r="F213" i="37"/>
  <c r="A214" i="37"/>
  <c r="B214" i="37"/>
  <c r="C214" i="37"/>
  <c r="F214" i="37"/>
  <c r="A215" i="37"/>
  <c r="B215" i="37"/>
  <c r="C215" i="37"/>
  <c r="F215" i="37"/>
  <c r="A216" i="37"/>
  <c r="B216" i="37"/>
  <c r="C216" i="37"/>
  <c r="F216" i="37"/>
  <c r="A217" i="37"/>
  <c r="B217" i="37"/>
  <c r="C217" i="37"/>
  <c r="F217" i="37"/>
  <c r="A218" i="37"/>
  <c r="B218" i="37"/>
  <c r="C218" i="37"/>
  <c r="F218" i="37"/>
  <c r="A219" i="37"/>
  <c r="B219" i="37"/>
  <c r="C219" i="37"/>
  <c r="F219" i="37"/>
  <c r="A220" i="37"/>
  <c r="B220" i="37"/>
  <c r="C220" i="37"/>
  <c r="F220" i="37"/>
  <c r="A221" i="37"/>
  <c r="B221" i="37"/>
  <c r="C221" i="37"/>
  <c r="F221" i="37"/>
  <c r="A222" i="37"/>
  <c r="B222" i="37"/>
  <c r="C222" i="37"/>
  <c r="F222" i="37"/>
  <c r="A223" i="37"/>
  <c r="B223" i="37"/>
  <c r="C223" i="37"/>
  <c r="F223" i="37"/>
  <c r="A224" i="37"/>
  <c r="B224" i="37"/>
  <c r="C224" i="37"/>
  <c r="F224" i="37"/>
  <c r="A225" i="37"/>
  <c r="B225" i="37"/>
  <c r="C225" i="37"/>
  <c r="F225" i="37"/>
  <c r="A226" i="37"/>
  <c r="B226" i="37"/>
  <c r="C226" i="37"/>
  <c r="F226" i="37"/>
  <c r="A227" i="37"/>
  <c r="B227" i="37"/>
  <c r="C227" i="37"/>
  <c r="F227" i="37"/>
  <c r="A228" i="37"/>
  <c r="B228" i="37"/>
  <c r="C228" i="37"/>
  <c r="F228" i="37"/>
  <c r="A229" i="37"/>
  <c r="B229" i="37"/>
  <c r="C229" i="37"/>
  <c r="F229" i="37"/>
  <c r="A230" i="37"/>
  <c r="B230" i="37"/>
  <c r="C230" i="37"/>
  <c r="F230" i="37"/>
  <c r="A231" i="37"/>
  <c r="B231" i="37"/>
  <c r="C231" i="37"/>
  <c r="F231" i="37"/>
  <c r="A232" i="37"/>
  <c r="B232" i="37"/>
  <c r="C232" i="37"/>
  <c r="F232" i="37"/>
  <c r="A233" i="37"/>
  <c r="B233" i="37"/>
  <c r="C233" i="37"/>
  <c r="F233" i="37"/>
  <c r="A234" i="37"/>
  <c r="B234" i="37"/>
  <c r="C234" i="37"/>
  <c r="F234" i="37"/>
  <c r="A235" i="37"/>
  <c r="B235" i="37"/>
  <c r="C235" i="37"/>
  <c r="F235" i="37"/>
  <c r="A236" i="37"/>
  <c r="B236" i="37"/>
  <c r="C236" i="37"/>
  <c r="F236" i="37"/>
  <c r="A237" i="37"/>
  <c r="B237" i="37"/>
  <c r="C237" i="37"/>
  <c r="F237" i="37"/>
  <c r="A238" i="37"/>
  <c r="B238" i="37"/>
  <c r="C238" i="37"/>
  <c r="F238" i="37"/>
  <c r="A239" i="37"/>
  <c r="B239" i="37"/>
  <c r="C239" i="37"/>
  <c r="F239" i="37"/>
  <c r="A240" i="37"/>
  <c r="B240" i="37"/>
  <c r="C240" i="37"/>
  <c r="F240" i="37"/>
  <c r="A241" i="37"/>
  <c r="B241" i="37"/>
  <c r="C241" i="37"/>
  <c r="F241" i="37"/>
  <c r="A242" i="37"/>
  <c r="B242" i="37"/>
  <c r="C242" i="37"/>
  <c r="F242" i="37"/>
  <c r="A243" i="37"/>
  <c r="B243" i="37"/>
  <c r="C243" i="37"/>
  <c r="F243" i="37"/>
  <c r="A244" i="37"/>
  <c r="B244" i="37"/>
  <c r="C244" i="37"/>
  <c r="F244" i="37"/>
  <c r="A245" i="37"/>
  <c r="B245" i="37"/>
  <c r="C245" i="37"/>
  <c r="F245" i="37"/>
  <c r="A246" i="37"/>
  <c r="B246" i="37"/>
  <c r="C246" i="37"/>
  <c r="F246" i="37"/>
  <c r="A247" i="37"/>
  <c r="B247" i="37"/>
  <c r="C247" i="37"/>
  <c r="F247" i="37"/>
  <c r="A248" i="37"/>
  <c r="B248" i="37"/>
  <c r="C248" i="37"/>
  <c r="F248" i="37"/>
  <c r="A249" i="37"/>
  <c r="B249" i="37"/>
  <c r="C249" i="37"/>
  <c r="F249" i="37"/>
  <c r="A250" i="37"/>
  <c r="B250" i="37"/>
  <c r="C250" i="37"/>
  <c r="F250" i="37"/>
  <c r="A251" i="37"/>
  <c r="B251" i="37"/>
  <c r="C251" i="37"/>
  <c r="F251" i="37"/>
  <c r="A252" i="37"/>
  <c r="B252" i="37"/>
  <c r="C252" i="37"/>
  <c r="F252" i="37"/>
  <c r="A253" i="37"/>
  <c r="B253" i="37"/>
  <c r="C253" i="37"/>
  <c r="F253" i="37"/>
  <c r="A254" i="37"/>
  <c r="B254" i="37"/>
  <c r="C254" i="37"/>
  <c r="F254" i="37"/>
  <c r="A255" i="37"/>
  <c r="B255" i="37"/>
  <c r="C255" i="37"/>
  <c r="F255" i="37"/>
  <c r="A256" i="37"/>
  <c r="B256" i="37"/>
  <c r="C256" i="37"/>
  <c r="F256" i="37"/>
  <c r="A257" i="37"/>
  <c r="B257" i="37"/>
  <c r="C257" i="37"/>
  <c r="F257" i="37"/>
  <c r="A258" i="37"/>
  <c r="B258" i="37"/>
  <c r="C258" i="37"/>
  <c r="F258" i="37"/>
  <c r="A259" i="37"/>
  <c r="B259" i="37"/>
  <c r="C259" i="37"/>
  <c r="F259" i="37"/>
  <c r="A260" i="37"/>
  <c r="B260" i="37"/>
  <c r="C260" i="37"/>
  <c r="F260" i="37"/>
  <c r="A261" i="37"/>
  <c r="B261" i="37"/>
  <c r="C261" i="37"/>
  <c r="F261" i="37"/>
  <c r="A262" i="37"/>
  <c r="B262" i="37"/>
  <c r="C262" i="37"/>
  <c r="F262" i="37"/>
  <c r="A263" i="37"/>
  <c r="B263" i="37"/>
  <c r="C263" i="37"/>
  <c r="F263" i="37"/>
  <c r="A264" i="37"/>
  <c r="B264" i="37"/>
  <c r="C264" i="37"/>
  <c r="F264" i="37"/>
  <c r="A265" i="37"/>
  <c r="B265" i="37"/>
  <c r="C265" i="37"/>
  <c r="F265" i="37"/>
  <c r="A266" i="37"/>
  <c r="B266" i="37"/>
  <c r="C266" i="37"/>
  <c r="F266" i="37"/>
  <c r="A267" i="37"/>
  <c r="B267" i="37"/>
  <c r="C267" i="37"/>
  <c r="F267" i="37"/>
  <c r="A268" i="37"/>
  <c r="B268" i="37"/>
  <c r="C268" i="37"/>
  <c r="F268" i="37"/>
  <c r="A269" i="37"/>
  <c r="B269" i="37"/>
  <c r="C269" i="37"/>
  <c r="F269" i="37"/>
  <c r="A270" i="37"/>
  <c r="B270" i="37"/>
  <c r="C270" i="37"/>
  <c r="F270" i="37"/>
  <c r="A271" i="37"/>
  <c r="B271" i="37"/>
  <c r="C271" i="37"/>
  <c r="F271" i="37"/>
  <c r="A272" i="37"/>
  <c r="B272" i="37"/>
  <c r="C272" i="37"/>
  <c r="F272" i="37"/>
  <c r="A273" i="37"/>
  <c r="B273" i="37"/>
  <c r="C273" i="37"/>
  <c r="F273" i="37"/>
  <c r="A274" i="37"/>
  <c r="B274" i="37"/>
  <c r="C274" i="37"/>
  <c r="F274" i="37"/>
  <c r="A275" i="37"/>
  <c r="B275" i="37"/>
  <c r="C275" i="37"/>
  <c r="F275" i="37"/>
  <c r="A276" i="37"/>
  <c r="B276" i="37"/>
  <c r="C276" i="37"/>
  <c r="F276" i="37"/>
  <c r="A277" i="37"/>
  <c r="B277" i="37"/>
  <c r="C277" i="37"/>
  <c r="F277" i="37"/>
  <c r="A278" i="37"/>
  <c r="B278" i="37"/>
  <c r="C278" i="37"/>
  <c r="F278" i="37"/>
  <c r="A279" i="37"/>
  <c r="B279" i="37"/>
  <c r="C279" i="37"/>
  <c r="F279" i="37"/>
  <c r="A280" i="37"/>
  <c r="B280" i="37"/>
  <c r="C280" i="37"/>
  <c r="F280" i="37"/>
  <c r="A281" i="37"/>
  <c r="B281" i="37"/>
  <c r="C281" i="37"/>
  <c r="F281" i="37"/>
  <c r="A282" i="37"/>
  <c r="B282" i="37"/>
  <c r="C282" i="37"/>
  <c r="F282" i="37"/>
  <c r="A283" i="37"/>
  <c r="B283" i="37"/>
  <c r="C283" i="37"/>
  <c r="F283" i="37"/>
  <c r="A284" i="37"/>
  <c r="B284" i="37"/>
  <c r="C284" i="37"/>
  <c r="F284" i="37"/>
  <c r="A285" i="37"/>
  <c r="B285" i="37"/>
  <c r="C285" i="37"/>
  <c r="F285" i="37"/>
  <c r="A286" i="37"/>
  <c r="B286" i="37"/>
  <c r="C286" i="37"/>
  <c r="F286" i="37"/>
  <c r="A287" i="37"/>
  <c r="B287" i="37"/>
  <c r="C287" i="37"/>
  <c r="F287" i="37"/>
  <c r="A288" i="37"/>
  <c r="B288" i="37"/>
  <c r="C288" i="37"/>
  <c r="F288" i="37"/>
  <c r="A289" i="37"/>
  <c r="B289" i="37"/>
  <c r="C289" i="37"/>
  <c r="F289" i="37"/>
  <c r="A290" i="37"/>
  <c r="B290" i="37"/>
  <c r="C290" i="37"/>
  <c r="F290" i="37"/>
  <c r="A291" i="37"/>
  <c r="B291" i="37"/>
  <c r="C291" i="37"/>
  <c r="F291" i="37"/>
  <c r="A292" i="37"/>
  <c r="B292" i="37"/>
  <c r="C292" i="37"/>
  <c r="F292" i="37"/>
  <c r="A293" i="37"/>
  <c r="B293" i="37"/>
  <c r="C293" i="37"/>
  <c r="F293" i="37"/>
  <c r="A294" i="37"/>
  <c r="B294" i="37"/>
  <c r="C294" i="37"/>
  <c r="F294" i="37"/>
  <c r="A295" i="37"/>
  <c r="B295" i="37"/>
  <c r="C295" i="37"/>
  <c r="F295" i="37"/>
  <c r="A296" i="37"/>
  <c r="B296" i="37"/>
  <c r="C296" i="37"/>
  <c r="F296" i="37"/>
  <c r="A297" i="37"/>
  <c r="B297" i="37"/>
  <c r="C297" i="37"/>
  <c r="F297" i="37"/>
  <c r="A298" i="37"/>
  <c r="B298" i="37"/>
  <c r="C298" i="37"/>
  <c r="F298" i="37"/>
  <c r="A299" i="37"/>
  <c r="B299" i="37"/>
  <c r="C299" i="37"/>
  <c r="F299" i="37"/>
  <c r="A300" i="37"/>
  <c r="B300" i="37"/>
  <c r="C300" i="37"/>
  <c r="F300" i="37"/>
  <c r="A301" i="37"/>
  <c r="B301" i="37"/>
  <c r="C301" i="37"/>
  <c r="F301" i="37"/>
  <c r="A302" i="37"/>
  <c r="B302" i="37"/>
  <c r="C302" i="37"/>
  <c r="F302" i="37"/>
  <c r="A303" i="37"/>
  <c r="B303" i="37"/>
  <c r="C303" i="37"/>
  <c r="F303" i="37"/>
  <c r="A304" i="37"/>
  <c r="B304" i="37"/>
  <c r="C304" i="37"/>
  <c r="F304" i="37"/>
  <c r="A305" i="37"/>
  <c r="B305" i="37"/>
  <c r="C305" i="37"/>
  <c r="F305" i="37"/>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13" i="34"/>
  <c r="B13" i="34"/>
  <c r="D13" i="34"/>
  <c r="A14" i="34"/>
  <c r="B14" i="34"/>
  <c r="D14" i="34"/>
  <c r="A15" i="34"/>
  <c r="B15" i="34"/>
  <c r="D15" i="34"/>
  <c r="A16" i="34"/>
  <c r="B16" i="34"/>
  <c r="D16" i="34"/>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7" i="33"/>
  <c r="B7" i="33"/>
  <c r="D7" i="33"/>
  <c r="A8" i="33"/>
  <c r="B8" i="33"/>
  <c r="D8" i="33"/>
  <c r="A9" i="33"/>
  <c r="B9" i="33"/>
  <c r="D9" i="33"/>
  <c r="A10" i="33"/>
  <c r="B10" i="33"/>
  <c r="D10" i="33"/>
  <c r="A11" i="33"/>
  <c r="B11" i="33"/>
  <c r="D11" i="33"/>
  <c r="A12" i="33"/>
  <c r="B12" i="33"/>
  <c r="D12" i="33"/>
  <c r="A13" i="33"/>
  <c r="B13" i="33"/>
  <c r="D13" i="33"/>
  <c r="A14" i="33"/>
  <c r="B14" i="33"/>
  <c r="D14" i="33"/>
  <c r="A15" i="33"/>
  <c r="B15" i="33"/>
  <c r="D15" i="33"/>
  <c r="A16" i="33"/>
  <c r="B16" i="33"/>
  <c r="D16" i="33"/>
  <c r="A17" i="33"/>
  <c r="B17" i="33"/>
  <c r="D17" i="33"/>
  <c r="A18" i="33"/>
  <c r="B18" i="33"/>
  <c r="D18" i="33"/>
  <c r="A19" i="33"/>
  <c r="B19" i="33"/>
  <c r="D19" i="33"/>
  <c r="A20" i="33"/>
  <c r="B20" i="33"/>
  <c r="D20" i="33"/>
  <c r="A21" i="33"/>
  <c r="B21" i="33"/>
  <c r="D21" i="33"/>
  <c r="A22" i="33"/>
  <c r="B22" i="33"/>
  <c r="D22" i="33"/>
  <c r="A23" i="33"/>
  <c r="B23" i="33"/>
  <c r="D23" i="33"/>
  <c r="A24" i="33"/>
  <c r="B24" i="33"/>
  <c r="D24" i="33"/>
  <c r="A25" i="33"/>
  <c r="B25" i="33"/>
  <c r="D25" i="33"/>
  <c r="A26" i="33"/>
  <c r="B26" i="33"/>
  <c r="D26" i="33"/>
  <c r="A27" i="33"/>
  <c r="B27" i="33"/>
  <c r="D27" i="33"/>
  <c r="A28" i="33"/>
  <c r="B28" i="33"/>
  <c r="D28" i="33"/>
  <c r="A29" i="33"/>
  <c r="B29" i="33"/>
  <c r="D29" i="33"/>
  <c r="A30" i="33"/>
  <c r="B30" i="33"/>
  <c r="D30" i="33"/>
  <c r="A31" i="33"/>
  <c r="B31" i="33"/>
  <c r="D31" i="33"/>
  <c r="A32" i="33"/>
  <c r="B32" i="33"/>
  <c r="D32" i="33"/>
  <c r="A33" i="33"/>
  <c r="B33" i="33"/>
  <c r="D33" i="33"/>
  <c r="A34" i="33"/>
  <c r="B34" i="33"/>
  <c r="D34" i="33"/>
  <c r="A35" i="33"/>
  <c r="B35" i="33"/>
  <c r="D35" i="33"/>
  <c r="A36" i="33"/>
  <c r="B36" i="33"/>
  <c r="D36" i="33"/>
  <c r="A37" i="33"/>
  <c r="B37" i="33"/>
  <c r="D37" i="33"/>
  <c r="A38" i="33"/>
  <c r="B38" i="33"/>
  <c r="D38" i="33"/>
  <c r="A39" i="33"/>
  <c r="B39" i="33"/>
  <c r="D39" i="33"/>
  <c r="A40" i="33"/>
  <c r="B40" i="33"/>
  <c r="D40" i="33"/>
  <c r="A41" i="33"/>
  <c r="B41" i="33"/>
  <c r="D41" i="33"/>
  <c r="A42" i="33"/>
  <c r="B42" i="33"/>
  <c r="D42" i="33"/>
  <c r="A43" i="33"/>
  <c r="B43" i="33"/>
  <c r="D43" i="33"/>
  <c r="A44" i="33"/>
  <c r="B44" i="33"/>
  <c r="D44" i="33"/>
  <c r="A45" i="33"/>
  <c r="B45" i="33"/>
  <c r="D45" i="33"/>
  <c r="A46" i="33"/>
  <c r="B46" i="33"/>
  <c r="D46" i="33"/>
  <c r="A47" i="33"/>
  <c r="B47" i="33"/>
  <c r="D47" i="33"/>
  <c r="A48" i="33"/>
  <c r="B48" i="33"/>
  <c r="D48" i="33"/>
  <c r="A49" i="33"/>
  <c r="B49" i="33"/>
  <c r="D49" i="33"/>
  <c r="A50" i="33"/>
  <c r="B50" i="33"/>
  <c r="D50" i="33"/>
  <c r="A51" i="33"/>
  <c r="B51" i="33"/>
  <c r="D51" i="33"/>
  <c r="A52" i="33"/>
  <c r="B52" i="33"/>
  <c r="D52" i="33"/>
  <c r="A53" i="33"/>
  <c r="B53" i="33"/>
  <c r="D53" i="33"/>
  <c r="A54" i="33"/>
  <c r="B54" i="33"/>
  <c r="D54" i="33"/>
  <c r="A55" i="33"/>
  <c r="B55" i="33"/>
  <c r="D55" i="33"/>
  <c r="A56" i="33"/>
  <c r="B56" i="33"/>
  <c r="D56" i="33"/>
  <c r="A57" i="33"/>
  <c r="B57" i="33"/>
  <c r="D57" i="33"/>
  <c r="A58" i="33"/>
  <c r="B58" i="33"/>
  <c r="D58" i="33"/>
  <c r="A59" i="33"/>
  <c r="B59" i="33"/>
  <c r="D59" i="33"/>
  <c r="A60" i="33"/>
  <c r="B60" i="33"/>
  <c r="D60" i="33"/>
  <c r="A61" i="33"/>
  <c r="B61" i="33"/>
  <c r="D61" i="33"/>
  <c r="A62" i="33"/>
  <c r="B62" i="33"/>
  <c r="D62" i="33"/>
  <c r="A63" i="33"/>
  <c r="B63" i="33"/>
  <c r="D63" i="33"/>
  <c r="A64" i="33"/>
  <c r="B64" i="33"/>
  <c r="D64" i="33"/>
  <c r="A65" i="33"/>
  <c r="B65" i="33"/>
  <c r="D65" i="33"/>
  <c r="A66" i="33"/>
  <c r="B66" i="33"/>
  <c r="D66" i="33"/>
  <c r="A67" i="33"/>
  <c r="B67" i="33"/>
  <c r="D67" i="33"/>
  <c r="A68" i="33"/>
  <c r="B68" i="33"/>
  <c r="D68" i="33"/>
  <c r="A69" i="33"/>
  <c r="B69" i="33"/>
  <c r="D69" i="33"/>
  <c r="A70" i="33"/>
  <c r="B70" i="33"/>
  <c r="D70" i="33"/>
  <c r="A71" i="33"/>
  <c r="B71" i="33"/>
  <c r="D71" i="33"/>
  <c r="A72" i="33"/>
  <c r="B72" i="33"/>
  <c r="D72" i="33"/>
  <c r="A73" i="33"/>
  <c r="B73" i="33"/>
  <c r="D73" i="33"/>
  <c r="A74" i="33"/>
  <c r="B74" i="33"/>
  <c r="D74" i="33"/>
  <c r="A75" i="33"/>
  <c r="B75" i="33"/>
  <c r="D75" i="33"/>
  <c r="A76" i="33"/>
  <c r="B76" i="33"/>
  <c r="D76" i="33"/>
  <c r="A77" i="33"/>
  <c r="B77" i="33"/>
  <c r="D77" i="33"/>
  <c r="A78" i="33"/>
  <c r="B78" i="33"/>
  <c r="D78" i="33"/>
  <c r="A79" i="33"/>
  <c r="B79" i="33"/>
  <c r="D79" i="33"/>
  <c r="A80" i="33"/>
  <c r="B80" i="33"/>
  <c r="D80" i="33"/>
  <c r="A81" i="33"/>
  <c r="B81" i="33"/>
  <c r="D81" i="33"/>
  <c r="A82" i="33"/>
  <c r="B82" i="33"/>
  <c r="D82" i="33"/>
  <c r="A83" i="33"/>
  <c r="B83" i="33"/>
  <c r="D83" i="33"/>
  <c r="A84" i="33"/>
  <c r="B84" i="33"/>
  <c r="D84" i="33"/>
  <c r="A85" i="33"/>
  <c r="B85" i="33"/>
  <c r="D85" i="33"/>
  <c r="A86" i="33"/>
  <c r="B86" i="33"/>
  <c r="D86" i="33"/>
  <c r="A87" i="33"/>
  <c r="B87" i="33"/>
  <c r="D87" i="33"/>
  <c r="A88" i="33"/>
  <c r="B88" i="33"/>
  <c r="D88" i="33"/>
  <c r="A89" i="33"/>
  <c r="B89" i="33"/>
  <c r="D89" i="33"/>
  <c r="A90" i="33"/>
  <c r="B90" i="33"/>
  <c r="D90" i="33"/>
  <c r="A91" i="33"/>
  <c r="B91" i="33"/>
  <c r="D91" i="33"/>
  <c r="A92" i="33"/>
  <c r="B92" i="33"/>
  <c r="D92" i="33"/>
  <c r="A93" i="33"/>
  <c r="B93" i="33"/>
  <c r="D93" i="33"/>
  <c r="A94" i="33"/>
  <c r="B94" i="33"/>
  <c r="D94" i="33"/>
  <c r="A95" i="33"/>
  <c r="B95" i="33"/>
  <c r="D95" i="33"/>
  <c r="A96" i="33"/>
  <c r="B96" i="33"/>
  <c r="D96" i="33"/>
  <c r="A97" i="33"/>
  <c r="B97" i="33"/>
  <c r="D97" i="33"/>
  <c r="A98" i="33"/>
  <c r="B98" i="33"/>
  <c r="D98" i="33"/>
  <c r="A99" i="33"/>
  <c r="B99" i="33"/>
  <c r="D99" i="33"/>
  <c r="A100" i="33"/>
  <c r="B100" i="33"/>
  <c r="D100" i="33"/>
  <c r="A101" i="33"/>
  <c r="B101" i="33"/>
  <c r="D101" i="33"/>
  <c r="A102" i="33"/>
  <c r="B102" i="33"/>
  <c r="D102" i="33"/>
  <c r="A103" i="33"/>
  <c r="B103" i="33"/>
  <c r="D103" i="33"/>
  <c r="A104" i="33"/>
  <c r="B104" i="33"/>
  <c r="D104" i="33"/>
  <c r="A105" i="33"/>
  <c r="B105" i="33"/>
  <c r="D105" i="33"/>
  <c r="A106" i="33"/>
  <c r="B106" i="33"/>
  <c r="D106" i="33"/>
  <c r="A107" i="33"/>
  <c r="B107" i="33"/>
  <c r="D107" i="33"/>
  <c r="A108" i="33"/>
  <c r="B108" i="33"/>
  <c r="D108" i="33"/>
  <c r="A109" i="33"/>
  <c r="B109" i="33"/>
  <c r="D109" i="33"/>
  <c r="A110" i="33"/>
  <c r="B110" i="33"/>
  <c r="D110" i="33"/>
  <c r="A111" i="33"/>
  <c r="B111" i="33"/>
  <c r="D111" i="33"/>
  <c r="A112" i="33"/>
  <c r="B112" i="33"/>
  <c r="D112" i="33"/>
  <c r="A113" i="33"/>
  <c r="B113" i="33"/>
  <c r="D113" i="33"/>
  <c r="A114" i="33"/>
  <c r="B114" i="33"/>
  <c r="D114" i="33"/>
  <c r="A115" i="33"/>
  <c r="B115" i="33"/>
  <c r="D115" i="33"/>
  <c r="A116" i="33"/>
  <c r="B116" i="33"/>
  <c r="D116" i="33"/>
  <c r="A117" i="33"/>
  <c r="B117" i="33"/>
  <c r="D117" i="33"/>
  <c r="A118" i="33"/>
  <c r="B118" i="33"/>
  <c r="D118" i="33"/>
  <c r="A119" i="33"/>
  <c r="B119" i="33"/>
  <c r="D119" i="33"/>
  <c r="A120" i="33"/>
  <c r="B120" i="33"/>
  <c r="D120" i="33"/>
  <c r="A121" i="33"/>
  <c r="B121" i="33"/>
  <c r="D121" i="33"/>
  <c r="A122" i="33"/>
  <c r="B122" i="33"/>
  <c r="D122" i="33"/>
  <c r="A123" i="33"/>
  <c r="B123" i="33"/>
  <c r="D123" i="33"/>
  <c r="A124" i="33"/>
  <c r="B124" i="33"/>
  <c r="D124" i="33"/>
  <c r="A125" i="33"/>
  <c r="B125" i="33"/>
  <c r="D125" i="33"/>
  <c r="A126" i="33"/>
  <c r="B126" i="33"/>
  <c r="D126" i="33"/>
  <c r="A127" i="33"/>
  <c r="B127" i="33"/>
  <c r="D127" i="33"/>
  <c r="A128" i="33"/>
  <c r="B128" i="33"/>
  <c r="D128" i="33"/>
  <c r="A129" i="33"/>
  <c r="B129" i="33"/>
  <c r="D129" i="33"/>
  <c r="A130" i="33"/>
  <c r="B130" i="33"/>
  <c r="D130" i="33"/>
  <c r="A131" i="33"/>
  <c r="B131" i="33"/>
  <c r="D131" i="33"/>
  <c r="A132" i="33"/>
  <c r="B132" i="33"/>
  <c r="D132" i="33"/>
  <c r="A133" i="33"/>
  <c r="B133" i="33"/>
  <c r="D133" i="33"/>
  <c r="A134" i="33"/>
  <c r="B134" i="33"/>
  <c r="D134" i="33"/>
  <c r="A135" i="33"/>
  <c r="B135" i="33"/>
  <c r="D135" i="33"/>
  <c r="A136" i="33"/>
  <c r="B136" i="33"/>
  <c r="D136" i="33"/>
  <c r="A137" i="33"/>
  <c r="B137" i="33"/>
  <c r="D137" i="33"/>
  <c r="A138" i="33"/>
  <c r="B138" i="33"/>
  <c r="D138" i="33"/>
  <c r="A139" i="33"/>
  <c r="B139" i="33"/>
  <c r="D139" i="33"/>
  <c r="A140" i="33"/>
  <c r="B140" i="33"/>
  <c r="D140" i="33"/>
  <c r="A141" i="33"/>
  <c r="B141" i="33"/>
  <c r="D141" i="33"/>
  <c r="A142" i="33"/>
  <c r="B142" i="33"/>
  <c r="D142" i="33"/>
  <c r="A143" i="33"/>
  <c r="B143" i="33"/>
  <c r="D143" i="33"/>
  <c r="A144" i="33"/>
  <c r="B144" i="33"/>
  <c r="D144" i="33"/>
  <c r="A145" i="33"/>
  <c r="B145" i="33"/>
  <c r="D145" i="33"/>
  <c r="A146" i="33"/>
  <c r="B146" i="33"/>
  <c r="D146" i="33"/>
  <c r="A147" i="33"/>
  <c r="B147" i="33"/>
  <c r="D147" i="33"/>
  <c r="A148" i="33"/>
  <c r="B148" i="33"/>
  <c r="D148" i="33"/>
  <c r="A149" i="33"/>
  <c r="B149" i="33"/>
  <c r="D149" i="33"/>
  <c r="A150" i="33"/>
  <c r="B150" i="33"/>
  <c r="D150" i="33"/>
  <c r="A151" i="33"/>
  <c r="B151" i="33"/>
  <c r="D151" i="33"/>
  <c r="A152" i="33"/>
  <c r="B152" i="33"/>
  <c r="D152" i="33"/>
  <c r="A153" i="33"/>
  <c r="B153" i="33"/>
  <c r="D153" i="33"/>
  <c r="A154" i="33"/>
  <c r="B154" i="33"/>
  <c r="D154" i="33"/>
  <c r="A155" i="33"/>
  <c r="B155" i="33"/>
  <c r="D155" i="33"/>
  <c r="A156" i="33"/>
  <c r="B156" i="33"/>
  <c r="D156" i="33"/>
  <c r="A157" i="33"/>
  <c r="B157" i="33"/>
  <c r="D157" i="33"/>
  <c r="A158" i="33"/>
  <c r="B158" i="33"/>
  <c r="D158" i="33"/>
  <c r="A159" i="33"/>
  <c r="B159" i="33"/>
  <c r="D159" i="33"/>
  <c r="A160" i="33"/>
  <c r="B160" i="33"/>
  <c r="D160" i="33"/>
  <c r="A161" i="33"/>
  <c r="B161" i="33"/>
  <c r="D161" i="33"/>
  <c r="A162" i="33"/>
  <c r="B162" i="33"/>
  <c r="D162" i="33"/>
  <c r="A163" i="33"/>
  <c r="B163" i="33"/>
  <c r="D163" i="33"/>
  <c r="A164" i="33"/>
  <c r="B164" i="33"/>
  <c r="D164" i="33"/>
  <c r="A165" i="33"/>
  <c r="B165" i="33"/>
  <c r="D165" i="33"/>
  <c r="A166" i="33"/>
  <c r="B166" i="33"/>
  <c r="D166" i="33"/>
  <c r="A167" i="33"/>
  <c r="B167" i="33"/>
  <c r="D167" i="33"/>
  <c r="A168" i="33"/>
  <c r="B168" i="33"/>
  <c r="D168" i="33"/>
  <c r="A169" i="33"/>
  <c r="B169" i="33"/>
  <c r="D169" i="33"/>
  <c r="A170" i="33"/>
  <c r="B170" i="33"/>
  <c r="D170" i="33"/>
  <c r="A171" i="33"/>
  <c r="B171" i="33"/>
  <c r="D171" i="33"/>
  <c r="A172" i="33"/>
  <c r="B172" i="33"/>
  <c r="D172" i="33"/>
  <c r="A173" i="33"/>
  <c r="B173" i="33"/>
  <c r="D173" i="33"/>
  <c r="A174" i="33"/>
  <c r="B174" i="33"/>
  <c r="D174" i="33"/>
  <c r="A175" i="33"/>
  <c r="B175" i="33"/>
  <c r="D175" i="33"/>
  <c r="A176" i="33"/>
  <c r="B176" i="33"/>
  <c r="D176" i="33"/>
  <c r="A177" i="33"/>
  <c r="B177" i="33"/>
  <c r="D177" i="33"/>
  <c r="A178" i="33"/>
  <c r="B178" i="33"/>
  <c r="D178" i="33"/>
  <c r="A179" i="33"/>
  <c r="B179" i="33"/>
  <c r="D179" i="33"/>
  <c r="A180" i="33"/>
  <c r="B180" i="33"/>
  <c r="D180" i="33"/>
  <c r="A181" i="33"/>
  <c r="B181" i="33"/>
  <c r="D181" i="33"/>
  <c r="A182" i="33"/>
  <c r="B182" i="33"/>
  <c r="D182" i="33"/>
  <c r="A183" i="33"/>
  <c r="B183" i="33"/>
  <c r="D183" i="33"/>
  <c r="A184" i="33"/>
  <c r="B184" i="33"/>
  <c r="D184" i="33"/>
  <c r="A185" i="33"/>
  <c r="B185" i="33"/>
  <c r="D185" i="33"/>
  <c r="A186" i="33"/>
  <c r="B186" i="33"/>
  <c r="D186" i="33"/>
  <c r="A187" i="33"/>
  <c r="B187" i="33"/>
  <c r="D187" i="33"/>
  <c r="A188" i="33"/>
  <c r="B188" i="33"/>
  <c r="D188" i="33"/>
  <c r="A189" i="33"/>
  <c r="B189" i="33"/>
  <c r="D189" i="33"/>
  <c r="A190" i="33"/>
  <c r="B190" i="33"/>
  <c r="D190" i="33"/>
  <c r="A191" i="33"/>
  <c r="B191" i="33"/>
  <c r="D191" i="33"/>
  <c r="A192" i="33"/>
  <c r="B192" i="33"/>
  <c r="D192" i="33"/>
  <c r="A193" i="33"/>
  <c r="B193" i="33"/>
  <c r="D193" i="33"/>
  <c r="A194" i="33"/>
  <c r="B194" i="33"/>
  <c r="D194" i="33"/>
  <c r="A195" i="33"/>
  <c r="B195" i="33"/>
  <c r="D195" i="33"/>
  <c r="A196" i="33"/>
  <c r="B196" i="33"/>
  <c r="D196" i="33"/>
  <c r="A197" i="33"/>
  <c r="B197" i="33"/>
  <c r="D197" i="33"/>
  <c r="A198" i="33"/>
  <c r="B198" i="33"/>
  <c r="D198" i="33"/>
  <c r="A199" i="33"/>
  <c r="B199" i="33"/>
  <c r="D199" i="33"/>
  <c r="A200" i="33"/>
  <c r="B200" i="33"/>
  <c r="D200" i="33"/>
  <c r="A201" i="33"/>
  <c r="B201" i="33"/>
  <c r="D201" i="33"/>
  <c r="A202" i="33"/>
  <c r="B202" i="33"/>
  <c r="D202" i="33"/>
  <c r="A203" i="33"/>
  <c r="B203" i="33"/>
  <c r="D203" i="33"/>
  <c r="A204" i="33"/>
  <c r="B204" i="33"/>
  <c r="D204" i="33"/>
  <c r="A205" i="33"/>
  <c r="B205" i="33"/>
  <c r="D205" i="33"/>
  <c r="A206" i="33"/>
  <c r="B206" i="33"/>
  <c r="D206" i="33"/>
  <c r="A207" i="33"/>
  <c r="B207" i="33"/>
  <c r="D207" i="33"/>
  <c r="A208" i="33"/>
  <c r="B208" i="33"/>
  <c r="D208" i="33"/>
  <c r="A209" i="33"/>
  <c r="B209" i="33"/>
  <c r="D209" i="33"/>
  <c r="A210" i="33"/>
  <c r="B210" i="33"/>
  <c r="D210" i="33"/>
  <c r="A211" i="33"/>
  <c r="B211" i="33"/>
  <c r="D211" i="33"/>
  <c r="A212" i="33"/>
  <c r="B212" i="33"/>
  <c r="D212" i="33"/>
  <c r="A213" i="33"/>
  <c r="B213" i="33"/>
  <c r="D213" i="33"/>
  <c r="A214" i="33"/>
  <c r="B214" i="33"/>
  <c r="D214" i="33"/>
  <c r="A215" i="33"/>
  <c r="B215" i="33"/>
  <c r="D215" i="33"/>
  <c r="A216" i="33"/>
  <c r="B216" i="33"/>
  <c r="D216" i="33"/>
  <c r="A217" i="33"/>
  <c r="B217" i="33"/>
  <c r="D217" i="33"/>
  <c r="A218" i="33"/>
  <c r="B218" i="33"/>
  <c r="D218" i="33"/>
  <c r="A219" i="33"/>
  <c r="B219" i="33"/>
  <c r="D219" i="33"/>
  <c r="A220" i="33"/>
  <c r="B220" i="33"/>
  <c r="D220" i="33"/>
  <c r="A221" i="33"/>
  <c r="B221" i="33"/>
  <c r="D221" i="33"/>
  <c r="A222" i="33"/>
  <c r="B222" i="33"/>
  <c r="D222" i="33"/>
  <c r="A223" i="33"/>
  <c r="B223" i="33"/>
  <c r="D223" i="33"/>
  <c r="A224" i="33"/>
  <c r="B224" i="33"/>
  <c r="D224" i="33"/>
  <c r="A225" i="33"/>
  <c r="B225" i="33"/>
  <c r="D225" i="33"/>
  <c r="A226" i="33"/>
  <c r="B226" i="33"/>
  <c r="D226" i="33"/>
  <c r="A227" i="33"/>
  <c r="B227" i="33"/>
  <c r="D227" i="33"/>
  <c r="A228" i="33"/>
  <c r="B228" i="33"/>
  <c r="D228" i="33"/>
  <c r="A229" i="33"/>
  <c r="B229" i="33"/>
  <c r="D229" i="33"/>
  <c r="A230" i="33"/>
  <c r="B230" i="33"/>
  <c r="D230" i="33"/>
  <c r="A231" i="33"/>
  <c r="B231" i="33"/>
  <c r="D231" i="33"/>
  <c r="A232" i="33"/>
  <c r="B232" i="33"/>
  <c r="D232" i="33"/>
  <c r="A233" i="33"/>
  <c r="B233" i="33"/>
  <c r="D233" i="33"/>
  <c r="A234" i="33"/>
  <c r="B234" i="33"/>
  <c r="D234" i="33"/>
  <c r="A235" i="33"/>
  <c r="B235" i="33"/>
  <c r="D235" i="33"/>
  <c r="A236" i="33"/>
  <c r="B236" i="33"/>
  <c r="D236" i="33"/>
  <c r="A237" i="33"/>
  <c r="B237" i="33"/>
  <c r="D237" i="33"/>
  <c r="A238" i="33"/>
  <c r="B238" i="33"/>
  <c r="D238" i="33"/>
  <c r="A239" i="33"/>
  <c r="B239" i="33"/>
  <c r="D239" i="33"/>
  <c r="A240" i="33"/>
  <c r="B240" i="33"/>
  <c r="D240" i="33"/>
  <c r="A241" i="33"/>
  <c r="B241" i="33"/>
  <c r="D241" i="33"/>
  <c r="A242" i="33"/>
  <c r="B242" i="33"/>
  <c r="D242" i="33"/>
  <c r="A243" i="33"/>
  <c r="B243" i="33"/>
  <c r="D243" i="33"/>
  <c r="A244" i="33"/>
  <c r="B244" i="33"/>
  <c r="D244" i="33"/>
  <c r="A245" i="33"/>
  <c r="B245" i="33"/>
  <c r="D245" i="33"/>
  <c r="A246" i="33"/>
  <c r="B246" i="33"/>
  <c r="D246" i="33"/>
  <c r="A247" i="33"/>
  <c r="B247" i="33"/>
  <c r="D247" i="33"/>
  <c r="A248" i="33"/>
  <c r="B248" i="33"/>
  <c r="D248" i="33"/>
  <c r="A249" i="33"/>
  <c r="B249" i="33"/>
  <c r="D249" i="33"/>
  <c r="A250" i="33"/>
  <c r="B250" i="33"/>
  <c r="D250" i="33"/>
  <c r="A251" i="33"/>
  <c r="B251" i="33"/>
  <c r="D251" i="33"/>
  <c r="A252" i="33"/>
  <c r="B252" i="33"/>
  <c r="D252" i="33"/>
  <c r="A253" i="33"/>
  <c r="B253" i="33"/>
  <c r="D253" i="33"/>
  <c r="A254" i="33"/>
  <c r="B254" i="33"/>
  <c r="D254" i="33"/>
  <c r="A255" i="33"/>
  <c r="B255" i="33"/>
  <c r="D255" i="33"/>
  <c r="A256" i="33"/>
  <c r="B256" i="33"/>
  <c r="D256" i="33"/>
  <c r="A257" i="33"/>
  <c r="B257" i="33"/>
  <c r="D257" i="33"/>
  <c r="A258" i="33"/>
  <c r="B258" i="33"/>
  <c r="D258" i="33"/>
  <c r="A259" i="33"/>
  <c r="B259" i="33"/>
  <c r="D259" i="33"/>
  <c r="A260" i="33"/>
  <c r="B260" i="33"/>
  <c r="D260" i="33"/>
  <c r="A261" i="33"/>
  <c r="B261" i="33"/>
  <c r="D261" i="33"/>
  <c r="A262" i="33"/>
  <c r="B262" i="33"/>
  <c r="D262" i="33"/>
  <c r="A263" i="33"/>
  <c r="B263" i="33"/>
  <c r="D263" i="33"/>
  <c r="A264" i="33"/>
  <c r="B264" i="33"/>
  <c r="D264" i="33"/>
  <c r="A265" i="33"/>
  <c r="B265" i="33"/>
  <c r="D265" i="33"/>
  <c r="A266" i="33"/>
  <c r="B266" i="33"/>
  <c r="D266" i="33"/>
  <c r="A267" i="33"/>
  <c r="B267" i="33"/>
  <c r="D267" i="33"/>
  <c r="A268" i="33"/>
  <c r="B268" i="33"/>
  <c r="D268" i="33"/>
  <c r="A269" i="33"/>
  <c r="B269" i="33"/>
  <c r="D269" i="33"/>
  <c r="A270" i="33"/>
  <c r="B270" i="33"/>
  <c r="D270" i="33"/>
  <c r="A271" i="33"/>
  <c r="B271" i="33"/>
  <c r="D271" i="33"/>
  <c r="A272" i="33"/>
  <c r="B272" i="33"/>
  <c r="D272" i="33"/>
  <c r="A273" i="33"/>
  <c r="B273" i="33"/>
  <c r="D273" i="33"/>
  <c r="A274" i="33"/>
  <c r="B274" i="33"/>
  <c r="D274" i="33"/>
  <c r="A275" i="33"/>
  <c r="B275" i="33"/>
  <c r="D275" i="33"/>
  <c r="A276" i="33"/>
  <c r="B276" i="33"/>
  <c r="D276" i="33"/>
  <c r="A277" i="33"/>
  <c r="B277" i="33"/>
  <c r="D277" i="33"/>
  <c r="A278" i="33"/>
  <c r="B278" i="33"/>
  <c r="D278" i="33"/>
  <c r="A279" i="33"/>
  <c r="B279" i="33"/>
  <c r="D279" i="33"/>
  <c r="A280" i="33"/>
  <c r="B280" i="33"/>
  <c r="D280" i="33"/>
  <c r="A281" i="33"/>
  <c r="B281" i="33"/>
  <c r="D281" i="33"/>
  <c r="A282" i="33"/>
  <c r="B282" i="33"/>
  <c r="D282" i="33"/>
  <c r="A283" i="33"/>
  <c r="B283" i="33"/>
  <c r="D283" i="33"/>
  <c r="A284" i="33"/>
  <c r="B284" i="33"/>
  <c r="D284" i="33"/>
  <c r="A285" i="33"/>
  <c r="B285" i="33"/>
  <c r="D285" i="33"/>
  <c r="A286" i="33"/>
  <c r="B286" i="33"/>
  <c r="D286" i="33"/>
  <c r="A287" i="33"/>
  <c r="B287" i="33"/>
  <c r="D287" i="33"/>
  <c r="A288" i="33"/>
  <c r="B288" i="33"/>
  <c r="D288" i="33"/>
  <c r="A289" i="33"/>
  <c r="B289" i="33"/>
  <c r="D289" i="33"/>
  <c r="A290" i="33"/>
  <c r="B290" i="33"/>
  <c r="D290" i="33"/>
  <c r="A291" i="33"/>
  <c r="B291" i="33"/>
  <c r="D291" i="33"/>
  <c r="A292" i="33"/>
  <c r="B292" i="33"/>
  <c r="D292" i="33"/>
  <c r="A293" i="33"/>
  <c r="B293" i="33"/>
  <c r="D293" i="33"/>
  <c r="A294" i="33"/>
  <c r="B294" i="33"/>
  <c r="D294" i="33"/>
  <c r="A295" i="33"/>
  <c r="B295" i="33"/>
  <c r="D295" i="33"/>
  <c r="A296" i="33"/>
  <c r="B296" i="33"/>
  <c r="D296" i="33"/>
  <c r="A297" i="33"/>
  <c r="B297" i="33"/>
  <c r="D297" i="33"/>
  <c r="A298" i="33"/>
  <c r="B298" i="33"/>
  <c r="D298" i="33"/>
  <c r="A299" i="33"/>
  <c r="B299" i="33"/>
  <c r="D299" i="33"/>
  <c r="A300" i="33"/>
  <c r="B300" i="33"/>
  <c r="D300" i="33"/>
  <c r="A301" i="33"/>
  <c r="B301" i="33"/>
  <c r="D301" i="33"/>
  <c r="A302" i="33"/>
  <c r="B302" i="33"/>
  <c r="D302" i="33"/>
  <c r="A303" i="33"/>
  <c r="B303" i="33"/>
  <c r="D303" i="33"/>
  <c r="A304" i="33"/>
  <c r="B304" i="33"/>
  <c r="D304" i="33"/>
  <c r="A305" i="33"/>
  <c r="B305" i="33"/>
  <c r="D305" i="33"/>
  <c r="A13" i="9"/>
  <c r="B13" i="9"/>
  <c r="D13" i="9"/>
  <c r="E13" i="9"/>
  <c r="A14" i="9"/>
  <c r="B14" i="9"/>
  <c r="D14" i="9"/>
  <c r="E14" i="9"/>
  <c r="A15" i="9"/>
  <c r="B15" i="9"/>
  <c r="D15" i="9"/>
  <c r="E15" i="9"/>
  <c r="A16" i="9"/>
  <c r="B16" i="9"/>
  <c r="D16" i="9"/>
  <c r="E16" i="9"/>
  <c r="A17" i="9"/>
  <c r="B17" i="9"/>
  <c r="D17" i="9"/>
  <c r="E17" i="9"/>
  <c r="A18" i="9"/>
  <c r="B18" i="9"/>
  <c r="D18" i="9"/>
  <c r="E18" i="9"/>
  <c r="A19" i="9"/>
  <c r="B19" i="9"/>
  <c r="D19" i="9"/>
  <c r="E19" i="9"/>
  <c r="A20" i="9"/>
  <c r="B20" i="9"/>
  <c r="D20" i="9"/>
  <c r="A21" i="9"/>
  <c r="B21" i="9"/>
  <c r="D21" i="9"/>
  <c r="E21" i="9"/>
  <c r="A22" i="9"/>
  <c r="B22" i="9"/>
  <c r="D22" i="9"/>
  <c r="E22" i="9"/>
  <c r="A23" i="9"/>
  <c r="B23" i="9"/>
  <c r="D23" i="9"/>
  <c r="E23" i="9"/>
  <c r="A24" i="9"/>
  <c r="B24" i="9"/>
  <c r="D24" i="9"/>
  <c r="E24" i="9"/>
  <c r="A25" i="9"/>
  <c r="B25" i="9"/>
  <c r="D25" i="9"/>
  <c r="E25" i="9"/>
  <c r="A26" i="9"/>
  <c r="B26" i="9"/>
  <c r="D26" i="9"/>
  <c r="E26" i="9"/>
  <c r="A27" i="9"/>
  <c r="B27" i="9"/>
  <c r="D27" i="9"/>
  <c r="E27" i="9"/>
  <c r="A28" i="9"/>
  <c r="B28" i="9"/>
  <c r="D28" i="9"/>
  <c r="E28" i="9"/>
  <c r="A29" i="9"/>
  <c r="B29" i="9"/>
  <c r="D29" i="9"/>
  <c r="E29" i="9"/>
  <c r="A30" i="9"/>
  <c r="B30" i="9"/>
  <c r="D30" i="9"/>
  <c r="E30" i="9"/>
  <c r="A31" i="9"/>
  <c r="B31" i="9"/>
  <c r="D31" i="9"/>
  <c r="A32" i="9"/>
  <c r="B32" i="9"/>
  <c r="D32" i="9"/>
  <c r="E32" i="9"/>
  <c r="A33" i="9"/>
  <c r="B33" i="9"/>
  <c r="D33" i="9"/>
  <c r="E33" i="9"/>
  <c r="A34" i="9"/>
  <c r="B34" i="9"/>
  <c r="D34" i="9"/>
  <c r="E34" i="9"/>
  <c r="A35" i="9"/>
  <c r="B35" i="9"/>
  <c r="D35" i="9"/>
  <c r="E35" i="9"/>
  <c r="A36" i="9"/>
  <c r="B36" i="9"/>
  <c r="D36" i="9"/>
  <c r="E36" i="9"/>
  <c r="A37" i="9"/>
  <c r="B37" i="9"/>
  <c r="D37" i="9"/>
  <c r="E37" i="9"/>
  <c r="A38" i="9"/>
  <c r="B38" i="9"/>
  <c r="D38" i="9"/>
  <c r="E38" i="9"/>
  <c r="A39" i="9"/>
  <c r="B39" i="9"/>
  <c r="D39" i="9"/>
  <c r="E39" i="9"/>
  <c r="A40" i="9"/>
  <c r="B40" i="9"/>
  <c r="D40" i="9"/>
  <c r="E40" i="9"/>
  <c r="A41" i="9"/>
  <c r="B41" i="9"/>
  <c r="D41" i="9"/>
  <c r="E41" i="9"/>
  <c r="A42" i="9"/>
  <c r="B42" i="9"/>
  <c r="D42" i="9"/>
  <c r="E42" i="9"/>
  <c r="A43" i="9"/>
  <c r="B43" i="9"/>
  <c r="D43" i="9"/>
  <c r="E43" i="9"/>
  <c r="A44" i="9"/>
  <c r="B44" i="9"/>
  <c r="D44" i="9"/>
  <c r="E44" i="9"/>
  <c r="A45" i="9"/>
  <c r="B45" i="9"/>
  <c r="D45" i="9"/>
  <c r="E45" i="9"/>
  <c r="A46" i="9"/>
  <c r="B46" i="9"/>
  <c r="D46" i="9"/>
  <c r="E46" i="9"/>
  <c r="A47" i="9"/>
  <c r="B47" i="9"/>
  <c r="D47" i="9"/>
  <c r="E47" i="9"/>
  <c r="A48" i="9"/>
  <c r="B48" i="9"/>
  <c r="D48" i="9"/>
  <c r="E48" i="9"/>
  <c r="A49" i="9"/>
  <c r="B49" i="9"/>
  <c r="D49" i="9"/>
  <c r="E49" i="9"/>
  <c r="A50" i="9"/>
  <c r="B50" i="9"/>
  <c r="D50" i="9"/>
  <c r="E50" i="9"/>
  <c r="A51" i="9"/>
  <c r="B51" i="9"/>
  <c r="D51" i="9"/>
  <c r="E51" i="9"/>
  <c r="A52" i="9"/>
  <c r="B52" i="9"/>
  <c r="D52" i="9"/>
  <c r="E52" i="9"/>
  <c r="A53" i="9"/>
  <c r="B53" i="9"/>
  <c r="D53" i="9"/>
  <c r="E53" i="9"/>
  <c r="A54" i="9"/>
  <c r="B54" i="9"/>
  <c r="D54" i="9"/>
  <c r="E54" i="9"/>
  <c r="A55" i="9"/>
  <c r="B55" i="9"/>
  <c r="D55" i="9"/>
  <c r="E55" i="9"/>
  <c r="A56" i="9"/>
  <c r="B56" i="9"/>
  <c r="D56" i="9"/>
  <c r="E56" i="9"/>
  <c r="A57" i="9"/>
  <c r="B57" i="9"/>
  <c r="D57" i="9"/>
  <c r="E57" i="9"/>
  <c r="A58" i="9"/>
  <c r="B58" i="9"/>
  <c r="D58" i="9"/>
  <c r="E58" i="9"/>
  <c r="A59" i="9"/>
  <c r="B59" i="9"/>
  <c r="D59" i="9"/>
  <c r="E59" i="9"/>
  <c r="A60" i="9"/>
  <c r="B60" i="9"/>
  <c r="D60" i="9"/>
  <c r="E60" i="9"/>
  <c r="A61" i="9"/>
  <c r="B61" i="9"/>
  <c r="D61" i="9"/>
  <c r="E61" i="9"/>
  <c r="A62" i="9"/>
  <c r="B62" i="9"/>
  <c r="D62" i="9"/>
  <c r="E62" i="9"/>
  <c r="A63" i="9"/>
  <c r="B63" i="9"/>
  <c r="D63" i="9"/>
  <c r="E63" i="9"/>
  <c r="A64" i="9"/>
  <c r="B64" i="9"/>
  <c r="D64" i="9"/>
  <c r="E64" i="9"/>
  <c r="A65" i="9"/>
  <c r="B65" i="9"/>
  <c r="D65" i="9"/>
  <c r="E65" i="9"/>
  <c r="A66" i="9"/>
  <c r="B66" i="9"/>
  <c r="D66" i="9"/>
  <c r="E66" i="9"/>
  <c r="A67" i="9"/>
  <c r="B67" i="9"/>
  <c r="D67" i="9"/>
  <c r="E67" i="9"/>
  <c r="A68" i="9"/>
  <c r="B68" i="9"/>
  <c r="D68" i="9"/>
  <c r="E68" i="9"/>
  <c r="A69" i="9"/>
  <c r="B69" i="9"/>
  <c r="D69" i="9"/>
  <c r="E69" i="9"/>
  <c r="A70" i="9"/>
  <c r="B70" i="9"/>
  <c r="D70" i="9"/>
  <c r="E70" i="9"/>
  <c r="A71" i="9"/>
  <c r="B71" i="9"/>
  <c r="D71" i="9"/>
  <c r="E71" i="9"/>
  <c r="A72" i="9"/>
  <c r="B72" i="9"/>
  <c r="D72" i="9"/>
  <c r="A73" i="9"/>
  <c r="B73" i="9"/>
  <c r="D73" i="9"/>
  <c r="E73" i="9"/>
  <c r="A74" i="9"/>
  <c r="B74" i="9"/>
  <c r="D74" i="9"/>
  <c r="E74" i="9"/>
  <c r="A75" i="9"/>
  <c r="B75" i="9"/>
  <c r="D75" i="9"/>
  <c r="E75" i="9"/>
  <c r="A76" i="9"/>
  <c r="B76" i="9"/>
  <c r="D76" i="9"/>
  <c r="E76" i="9"/>
  <c r="A77" i="9"/>
  <c r="B77" i="9"/>
  <c r="D77" i="9"/>
  <c r="E77" i="9"/>
  <c r="A78" i="9"/>
  <c r="B78" i="9"/>
  <c r="D78" i="9"/>
  <c r="E78" i="9"/>
  <c r="A79" i="9"/>
  <c r="B79" i="9"/>
  <c r="D79" i="9"/>
  <c r="E79" i="9"/>
  <c r="A80" i="9"/>
  <c r="B80" i="9"/>
  <c r="D80" i="9"/>
  <c r="E80" i="9"/>
  <c r="A81" i="9"/>
  <c r="B81" i="9"/>
  <c r="D81" i="9"/>
  <c r="E81" i="9"/>
  <c r="A82" i="9"/>
  <c r="B82" i="9"/>
  <c r="D82" i="9"/>
  <c r="E82" i="9"/>
  <c r="A83" i="9"/>
  <c r="B83" i="9"/>
  <c r="D83" i="9"/>
  <c r="E83" i="9"/>
  <c r="A84" i="9"/>
  <c r="B84" i="9"/>
  <c r="D84" i="9"/>
  <c r="E84" i="9"/>
  <c r="A85" i="9"/>
  <c r="B85" i="9"/>
  <c r="D85" i="9"/>
  <c r="E85" i="9"/>
  <c r="A86" i="9"/>
  <c r="B86" i="9"/>
  <c r="D86" i="9"/>
  <c r="E86" i="9"/>
  <c r="A87" i="9"/>
  <c r="B87" i="9"/>
  <c r="D87" i="9"/>
  <c r="E87" i="9"/>
  <c r="A88" i="9"/>
  <c r="B88" i="9"/>
  <c r="D88" i="9"/>
  <c r="E88" i="9"/>
  <c r="A89" i="9"/>
  <c r="B89" i="9"/>
  <c r="D89" i="9"/>
  <c r="E89" i="9"/>
  <c r="A90" i="9"/>
  <c r="B90" i="9"/>
  <c r="D90" i="9"/>
  <c r="E90" i="9"/>
  <c r="A91" i="9"/>
  <c r="B91" i="9"/>
  <c r="D91" i="9"/>
  <c r="E91" i="9"/>
  <c r="A92" i="9"/>
  <c r="B92" i="9"/>
  <c r="D92" i="9"/>
  <c r="E92" i="9"/>
  <c r="A93" i="9"/>
  <c r="B93" i="9"/>
  <c r="D93" i="9"/>
  <c r="E93" i="9"/>
  <c r="A94" i="9"/>
  <c r="B94" i="9"/>
  <c r="D94" i="9"/>
  <c r="E94" i="9"/>
  <c r="A95" i="9"/>
  <c r="B95" i="9"/>
  <c r="D95" i="9"/>
  <c r="E95" i="9"/>
  <c r="A96" i="9"/>
  <c r="B96" i="9"/>
  <c r="D96" i="9"/>
  <c r="E96" i="9"/>
  <c r="A97" i="9"/>
  <c r="B97" i="9"/>
  <c r="D97" i="9"/>
  <c r="E97" i="9"/>
  <c r="A98" i="9"/>
  <c r="B98" i="9"/>
  <c r="D98" i="9"/>
  <c r="E98" i="9"/>
  <c r="A99" i="9"/>
  <c r="B99" i="9"/>
  <c r="D99" i="9"/>
  <c r="E99" i="9"/>
  <c r="A100" i="9"/>
  <c r="B100" i="9"/>
  <c r="D100" i="9"/>
  <c r="E100" i="9"/>
  <c r="A101" i="9"/>
  <c r="B101" i="9"/>
  <c r="D101" i="9"/>
  <c r="E101" i="9"/>
  <c r="A102" i="9"/>
  <c r="B102" i="9"/>
  <c r="D102" i="9"/>
  <c r="E102" i="9"/>
  <c r="A103" i="9"/>
  <c r="B103" i="9"/>
  <c r="D103" i="9"/>
  <c r="E103" i="9"/>
  <c r="A104" i="9"/>
  <c r="B104" i="9"/>
  <c r="D104" i="9"/>
  <c r="E104" i="9"/>
  <c r="A105" i="9"/>
  <c r="B105" i="9"/>
  <c r="D105" i="9"/>
  <c r="E105" i="9"/>
  <c r="A106" i="9"/>
  <c r="B106" i="9"/>
  <c r="D106" i="9"/>
  <c r="E106" i="9"/>
  <c r="A107" i="9"/>
  <c r="B107" i="9"/>
  <c r="D107" i="9"/>
  <c r="E107" i="9"/>
  <c r="A108" i="9"/>
  <c r="B108" i="9"/>
  <c r="D108" i="9"/>
  <c r="E108" i="9"/>
  <c r="A109" i="9"/>
  <c r="B109" i="9"/>
  <c r="D109" i="9"/>
  <c r="E109" i="9"/>
  <c r="A110" i="9"/>
  <c r="B110" i="9"/>
  <c r="D110" i="9"/>
  <c r="E110" i="9"/>
  <c r="A111" i="9"/>
  <c r="B111" i="9"/>
  <c r="D111" i="9"/>
  <c r="E111" i="9"/>
  <c r="A112" i="9"/>
  <c r="B112" i="9"/>
  <c r="D112" i="9"/>
  <c r="E112" i="9"/>
  <c r="A113" i="9"/>
  <c r="B113" i="9"/>
  <c r="D113" i="9"/>
  <c r="E113" i="9"/>
  <c r="A114" i="9"/>
  <c r="B114" i="9"/>
  <c r="D114" i="9"/>
  <c r="E114" i="9"/>
  <c r="A115" i="9"/>
  <c r="B115" i="9"/>
  <c r="D115" i="9"/>
  <c r="E115" i="9"/>
  <c r="A116" i="9"/>
  <c r="B116" i="9"/>
  <c r="D116" i="9"/>
  <c r="E116" i="9"/>
  <c r="A117" i="9"/>
  <c r="B117" i="9"/>
  <c r="D117" i="9"/>
  <c r="E15" i="48" s="1"/>
  <c r="A118" i="9"/>
  <c r="B118" i="9"/>
  <c r="D118" i="9"/>
  <c r="E118" i="9"/>
  <c r="A119" i="9"/>
  <c r="B119" i="9"/>
  <c r="D119" i="9"/>
  <c r="E119" i="9"/>
  <c r="A120" i="9"/>
  <c r="B120" i="9"/>
  <c r="D120" i="9"/>
  <c r="E120" i="9"/>
  <c r="A121" i="9"/>
  <c r="B121" i="9"/>
  <c r="D121" i="9"/>
  <c r="E121" i="9"/>
  <c r="A122" i="9"/>
  <c r="B122" i="9"/>
  <c r="D122" i="9"/>
  <c r="E122" i="9"/>
  <c r="A123" i="9"/>
  <c r="B123" i="9"/>
  <c r="D123" i="9"/>
  <c r="E123" i="9"/>
  <c r="A124" i="9"/>
  <c r="B124" i="9"/>
  <c r="D124" i="9"/>
  <c r="E124" i="9"/>
  <c r="A125" i="9"/>
  <c r="B125" i="9"/>
  <c r="D125" i="9"/>
  <c r="E125" i="9"/>
  <c r="A126" i="9"/>
  <c r="B126" i="9"/>
  <c r="D126" i="9"/>
  <c r="A127" i="9"/>
  <c r="B127" i="9"/>
  <c r="D127" i="9"/>
  <c r="E127" i="9"/>
  <c r="A128" i="9"/>
  <c r="B128" i="9"/>
  <c r="D128" i="9"/>
  <c r="E128" i="9"/>
  <c r="A129" i="9"/>
  <c r="B129" i="9"/>
  <c r="D129" i="9"/>
  <c r="A130" i="9"/>
  <c r="B130" i="9"/>
  <c r="D130" i="9"/>
  <c r="E130" i="9"/>
  <c r="A131" i="9"/>
  <c r="B131" i="9"/>
  <c r="D131" i="9"/>
  <c r="E131" i="9"/>
  <c r="A132" i="9"/>
  <c r="B132" i="9"/>
  <c r="D132" i="9"/>
  <c r="E132" i="9"/>
  <c r="A133" i="9"/>
  <c r="B133" i="9"/>
  <c r="D133" i="9"/>
  <c r="E133" i="9"/>
  <c r="A134" i="9"/>
  <c r="B134" i="9"/>
  <c r="D134" i="9"/>
  <c r="E134" i="9"/>
  <c r="A135" i="9"/>
  <c r="B135" i="9"/>
  <c r="D135" i="9"/>
  <c r="E135" i="9"/>
  <c r="A136" i="9"/>
  <c r="B136" i="9"/>
  <c r="D136" i="9"/>
  <c r="E136" i="9"/>
  <c r="A137" i="9"/>
  <c r="B137" i="9"/>
  <c r="D137" i="9"/>
  <c r="E137" i="9"/>
  <c r="A138" i="9"/>
  <c r="B138" i="9"/>
  <c r="D138" i="9"/>
  <c r="E138" i="9"/>
  <c r="A139" i="9"/>
  <c r="B139" i="9"/>
  <c r="D139" i="9"/>
  <c r="E139" i="9"/>
  <c r="A140" i="9"/>
  <c r="B140" i="9"/>
  <c r="D140" i="9"/>
  <c r="E140" i="9"/>
  <c r="A141" i="9"/>
  <c r="B141" i="9"/>
  <c r="D141" i="9"/>
  <c r="E141" i="9"/>
  <c r="A142" i="9"/>
  <c r="B142" i="9"/>
  <c r="D142" i="9"/>
  <c r="E142" i="9"/>
  <c r="A143" i="9"/>
  <c r="B143" i="9"/>
  <c r="D143" i="9"/>
  <c r="E143" i="9"/>
  <c r="A144" i="9"/>
  <c r="B144" i="9"/>
  <c r="D144" i="9"/>
  <c r="E144" i="9"/>
  <c r="A145" i="9"/>
  <c r="B145" i="9"/>
  <c r="D145" i="9"/>
  <c r="E145" i="9"/>
  <c r="A146" i="9"/>
  <c r="B146" i="9"/>
  <c r="D146" i="9"/>
  <c r="A147" i="9"/>
  <c r="B147" i="9"/>
  <c r="D147" i="9"/>
  <c r="E147" i="9"/>
  <c r="A148" i="9"/>
  <c r="B148" i="9"/>
  <c r="D148" i="9"/>
  <c r="E148" i="9"/>
  <c r="A149" i="9"/>
  <c r="B149" i="9"/>
  <c r="D149" i="9"/>
  <c r="E149" i="9"/>
  <c r="A150" i="9"/>
  <c r="B150" i="9"/>
  <c r="D150" i="9"/>
  <c r="E150" i="9"/>
  <c r="A151" i="9"/>
  <c r="B151" i="9"/>
  <c r="D151" i="9"/>
  <c r="E151" i="9"/>
  <c r="A152" i="9"/>
  <c r="B152" i="9"/>
  <c r="D152" i="9"/>
  <c r="E152" i="9"/>
  <c r="A153" i="9"/>
  <c r="B153" i="9"/>
  <c r="D153" i="9"/>
  <c r="E153" i="9"/>
  <c r="A154" i="9"/>
  <c r="B154" i="9"/>
  <c r="D154" i="9"/>
  <c r="E154" i="9"/>
  <c r="A155" i="9"/>
  <c r="B155" i="9"/>
  <c r="D155" i="9"/>
  <c r="E155" i="9"/>
  <c r="A156" i="9"/>
  <c r="B156" i="9"/>
  <c r="D156" i="9"/>
  <c r="E156" i="9"/>
  <c r="A157" i="9"/>
  <c r="B157" i="9"/>
  <c r="D157" i="9"/>
  <c r="E157" i="9"/>
  <c r="A158" i="9"/>
  <c r="B158" i="9"/>
  <c r="D158" i="9"/>
  <c r="E158" i="9"/>
  <c r="A159" i="9"/>
  <c r="B159" i="9"/>
  <c r="D159" i="9"/>
  <c r="E159" i="9"/>
  <c r="A160" i="9"/>
  <c r="B160" i="9"/>
  <c r="D160" i="9"/>
  <c r="E160" i="9"/>
  <c r="A161" i="9"/>
  <c r="B161" i="9"/>
  <c r="D161" i="9"/>
  <c r="E161" i="9"/>
  <c r="A162" i="9"/>
  <c r="B162" i="9"/>
  <c r="D162" i="9"/>
  <c r="E162" i="9"/>
  <c r="A163" i="9"/>
  <c r="B163" i="9"/>
  <c r="D163" i="9"/>
  <c r="E163" i="9"/>
  <c r="A164" i="9"/>
  <c r="B164" i="9"/>
  <c r="D164" i="9"/>
  <c r="E164" i="9"/>
  <c r="A165" i="9"/>
  <c r="B165" i="9"/>
  <c r="D165" i="9"/>
  <c r="E165" i="9"/>
  <c r="A166" i="9"/>
  <c r="B166" i="9"/>
  <c r="D166" i="9"/>
  <c r="E166" i="9"/>
  <c r="A167" i="9"/>
  <c r="B167" i="9"/>
  <c r="D167" i="9"/>
  <c r="E167" i="9"/>
  <c r="A168" i="9"/>
  <c r="B168" i="9"/>
  <c r="D168" i="9"/>
  <c r="E168" i="9"/>
  <c r="A169" i="9"/>
  <c r="B169" i="9"/>
  <c r="D169" i="9"/>
  <c r="E169" i="9"/>
  <c r="A170" i="9"/>
  <c r="B170" i="9"/>
  <c r="D170" i="9"/>
  <c r="E170" i="9"/>
  <c r="A171" i="9"/>
  <c r="B171" i="9"/>
  <c r="D171" i="9"/>
  <c r="E171" i="9"/>
  <c r="A172" i="9"/>
  <c r="B172" i="9"/>
  <c r="D172" i="9"/>
  <c r="E172" i="9"/>
  <c r="A173" i="9"/>
  <c r="B173" i="9"/>
  <c r="D173" i="9"/>
  <c r="E173" i="9"/>
  <c r="A174" i="9"/>
  <c r="B174" i="9"/>
  <c r="D174" i="9"/>
  <c r="E174" i="9"/>
  <c r="A175" i="9"/>
  <c r="B175" i="9"/>
  <c r="D175" i="9"/>
  <c r="E175" i="9"/>
  <c r="A176" i="9"/>
  <c r="B176" i="9"/>
  <c r="D176" i="9"/>
  <c r="E176" i="9"/>
  <c r="A177" i="9"/>
  <c r="B177" i="9"/>
  <c r="D177" i="9"/>
  <c r="E177" i="9"/>
  <c r="A178" i="9"/>
  <c r="B178" i="9"/>
  <c r="D178" i="9"/>
  <c r="E178" i="9"/>
  <c r="A179" i="9"/>
  <c r="B179" i="9"/>
  <c r="D179" i="9"/>
  <c r="E179" i="9"/>
  <c r="A180" i="9"/>
  <c r="B180" i="9"/>
  <c r="D180" i="9"/>
  <c r="E180" i="9"/>
  <c r="A181" i="9"/>
  <c r="B181" i="9"/>
  <c r="D181" i="9"/>
  <c r="E181" i="9"/>
  <c r="A182" i="9"/>
  <c r="B182" i="9"/>
  <c r="D182" i="9"/>
  <c r="E182" i="9"/>
  <c r="A183" i="9"/>
  <c r="B183" i="9"/>
  <c r="D183" i="9"/>
  <c r="E183" i="9"/>
  <c r="A184" i="9"/>
  <c r="B184" i="9"/>
  <c r="D184" i="9"/>
  <c r="E184" i="9"/>
  <c r="A185" i="9"/>
  <c r="B185" i="9"/>
  <c r="D185" i="9"/>
  <c r="E185" i="9"/>
  <c r="A186" i="9"/>
  <c r="B186" i="9"/>
  <c r="D186" i="9"/>
  <c r="E186" i="9"/>
  <c r="A187" i="9"/>
  <c r="B187" i="9"/>
  <c r="D187" i="9"/>
  <c r="E187" i="9"/>
  <c r="A188" i="9"/>
  <c r="B188" i="9"/>
  <c r="D188" i="9"/>
  <c r="E188" i="9"/>
  <c r="A189" i="9"/>
  <c r="B189" i="9"/>
  <c r="D189" i="9"/>
  <c r="E189" i="9"/>
  <c r="A190" i="9"/>
  <c r="B190" i="9"/>
  <c r="D190" i="9"/>
  <c r="E190" i="9"/>
  <c r="A191" i="9"/>
  <c r="B191" i="9"/>
  <c r="D191" i="9"/>
  <c r="E191" i="9"/>
  <c r="A192" i="9"/>
  <c r="B192" i="9"/>
  <c r="D192" i="9"/>
  <c r="E192" i="9"/>
  <c r="A193" i="9"/>
  <c r="B193" i="9"/>
  <c r="D193" i="9"/>
  <c r="E193" i="9"/>
  <c r="A194" i="9"/>
  <c r="B194" i="9"/>
  <c r="D194" i="9"/>
  <c r="E194" i="9"/>
  <c r="A195" i="9"/>
  <c r="B195" i="9"/>
  <c r="D195" i="9"/>
  <c r="E195" i="9"/>
  <c r="A196" i="9"/>
  <c r="B196" i="9"/>
  <c r="D196" i="9"/>
  <c r="E196" i="9"/>
  <c r="A197" i="9"/>
  <c r="B197" i="9"/>
  <c r="D197" i="9"/>
  <c r="E197" i="9"/>
  <c r="A198" i="9"/>
  <c r="B198" i="9"/>
  <c r="D198" i="9"/>
  <c r="E198" i="9"/>
  <c r="A199" i="9"/>
  <c r="B199" i="9"/>
  <c r="D199" i="9"/>
  <c r="E199" i="9"/>
  <c r="A200" i="9"/>
  <c r="B200" i="9"/>
  <c r="D200" i="9"/>
  <c r="E200" i="9"/>
  <c r="A201" i="9"/>
  <c r="B201" i="9"/>
  <c r="D201" i="9"/>
  <c r="E201" i="9"/>
  <c r="A202" i="9"/>
  <c r="B202" i="9"/>
  <c r="D202" i="9"/>
  <c r="E202" i="9"/>
  <c r="A203" i="9"/>
  <c r="B203" i="9"/>
  <c r="D203" i="9"/>
  <c r="E203" i="9"/>
  <c r="A204" i="9"/>
  <c r="B204" i="9"/>
  <c r="D204" i="9"/>
  <c r="E204" i="9"/>
  <c r="A205" i="9"/>
  <c r="B205" i="9"/>
  <c r="D205" i="9"/>
  <c r="E205" i="9"/>
  <c r="A206" i="9"/>
  <c r="B206" i="9"/>
  <c r="D206" i="9"/>
  <c r="E206" i="9"/>
  <c r="A207" i="9"/>
  <c r="B207" i="9"/>
  <c r="D207" i="9"/>
  <c r="E207" i="9"/>
  <c r="A208" i="9"/>
  <c r="B208" i="9"/>
  <c r="D208" i="9"/>
  <c r="E208" i="9"/>
  <c r="A209" i="9"/>
  <c r="B209" i="9"/>
  <c r="D209" i="9"/>
  <c r="E209" i="9"/>
  <c r="A210" i="9"/>
  <c r="B210" i="9"/>
  <c r="D210" i="9"/>
  <c r="E210" i="9"/>
  <c r="A211" i="9"/>
  <c r="B211" i="9"/>
  <c r="D211" i="9"/>
  <c r="E211" i="9"/>
  <c r="A212" i="9"/>
  <c r="B212" i="9"/>
  <c r="D212" i="9"/>
  <c r="E212" i="9"/>
  <c r="A213" i="9"/>
  <c r="B213" i="9"/>
  <c r="D213" i="9"/>
  <c r="E213" i="9"/>
  <c r="A214" i="9"/>
  <c r="B214" i="9"/>
  <c r="D214" i="9"/>
  <c r="E214" i="9"/>
  <c r="A215" i="9"/>
  <c r="B215" i="9"/>
  <c r="D215" i="9"/>
  <c r="E215" i="9"/>
  <c r="A216" i="9"/>
  <c r="B216" i="9"/>
  <c r="D216" i="9"/>
  <c r="E216" i="9"/>
  <c r="A217" i="9"/>
  <c r="B217" i="9"/>
  <c r="D217" i="9"/>
  <c r="E217" i="9"/>
  <c r="A218" i="9"/>
  <c r="B218" i="9"/>
  <c r="D218" i="9"/>
  <c r="E218" i="9"/>
  <c r="A219" i="9"/>
  <c r="B219" i="9"/>
  <c r="D219" i="9"/>
  <c r="E219" i="9"/>
  <c r="A220" i="9"/>
  <c r="B220" i="9"/>
  <c r="D220" i="9"/>
  <c r="E220" i="9"/>
  <c r="A221" i="9"/>
  <c r="B221" i="9"/>
  <c r="D221" i="9"/>
  <c r="E221" i="9"/>
  <c r="A222" i="9"/>
  <c r="B222" i="9"/>
  <c r="D222" i="9"/>
  <c r="E222" i="9"/>
  <c r="A223" i="9"/>
  <c r="B223" i="9"/>
  <c r="D223" i="9"/>
  <c r="E223" i="9"/>
  <c r="A224" i="9"/>
  <c r="B224" i="9"/>
  <c r="D224" i="9"/>
  <c r="E224" i="9"/>
  <c r="A225" i="9"/>
  <c r="B225" i="9"/>
  <c r="D225" i="9"/>
  <c r="E225" i="9"/>
  <c r="A226" i="9"/>
  <c r="B226" i="9"/>
  <c r="D226" i="9"/>
  <c r="E226" i="9"/>
  <c r="A227" i="9"/>
  <c r="B227" i="9"/>
  <c r="D227" i="9"/>
  <c r="E227" i="9"/>
  <c r="A228" i="9"/>
  <c r="B228" i="9"/>
  <c r="D228" i="9"/>
  <c r="E228" i="9"/>
  <c r="A229" i="9"/>
  <c r="B229" i="9"/>
  <c r="D229" i="9"/>
  <c r="E229" i="9"/>
  <c r="A230" i="9"/>
  <c r="B230" i="9"/>
  <c r="D230" i="9"/>
  <c r="E230" i="9"/>
  <c r="A231" i="9"/>
  <c r="B231" i="9"/>
  <c r="D231" i="9"/>
  <c r="E231" i="9"/>
  <c r="A232" i="9"/>
  <c r="B232" i="9"/>
  <c r="D232" i="9"/>
  <c r="E232" i="9"/>
  <c r="A233" i="9"/>
  <c r="B233" i="9"/>
  <c r="D233" i="9"/>
  <c r="E233" i="9"/>
  <c r="A234" i="9"/>
  <c r="B234" i="9"/>
  <c r="D234" i="9"/>
  <c r="E234" i="9"/>
  <c r="A235" i="9"/>
  <c r="B235" i="9"/>
  <c r="D235" i="9"/>
  <c r="E235" i="9"/>
  <c r="A236" i="9"/>
  <c r="B236" i="9"/>
  <c r="D236" i="9"/>
  <c r="E236" i="9"/>
  <c r="A237" i="9"/>
  <c r="B237" i="9"/>
  <c r="D237" i="9"/>
  <c r="E237" i="9"/>
  <c r="A238" i="9"/>
  <c r="B238" i="9"/>
  <c r="D238" i="9"/>
  <c r="E238" i="9"/>
  <c r="A239" i="9"/>
  <c r="B239" i="9"/>
  <c r="D239" i="9"/>
  <c r="E239" i="9"/>
  <c r="A240" i="9"/>
  <c r="B240" i="9"/>
  <c r="D240" i="9"/>
  <c r="E240" i="9"/>
  <c r="A241" i="9"/>
  <c r="B241" i="9"/>
  <c r="D241" i="9"/>
  <c r="E241" i="9"/>
  <c r="A242" i="9"/>
  <c r="B242" i="9"/>
  <c r="D242" i="9"/>
  <c r="E242" i="9"/>
  <c r="A243" i="9"/>
  <c r="B243" i="9"/>
  <c r="D243" i="9"/>
  <c r="E243" i="9"/>
  <c r="A244" i="9"/>
  <c r="B244" i="9"/>
  <c r="D244" i="9"/>
  <c r="E244" i="9"/>
  <c r="A245" i="9"/>
  <c r="B245" i="9"/>
  <c r="D245" i="9"/>
  <c r="E245" i="9"/>
  <c r="A246" i="9"/>
  <c r="B246" i="9"/>
  <c r="D246" i="9"/>
  <c r="E246" i="9"/>
  <c r="A247" i="9"/>
  <c r="B247" i="9"/>
  <c r="D247" i="9"/>
  <c r="E247" i="9"/>
  <c r="A248" i="9"/>
  <c r="B248" i="9"/>
  <c r="D248" i="9"/>
  <c r="E248" i="9"/>
  <c r="A249" i="9"/>
  <c r="B249" i="9"/>
  <c r="D249" i="9"/>
  <c r="E249" i="9"/>
  <c r="A250" i="9"/>
  <c r="B250" i="9"/>
  <c r="D250" i="9"/>
  <c r="E250" i="9"/>
  <c r="A251" i="9"/>
  <c r="B251" i="9"/>
  <c r="D251" i="9"/>
  <c r="E251" i="9"/>
  <c r="A252" i="9"/>
  <c r="B252" i="9"/>
  <c r="D252" i="9"/>
  <c r="E252" i="9"/>
  <c r="A253" i="9"/>
  <c r="B253" i="9"/>
  <c r="D253" i="9"/>
  <c r="E253" i="9"/>
  <c r="A254" i="9"/>
  <c r="B254" i="9"/>
  <c r="D254" i="9"/>
  <c r="E254" i="9"/>
  <c r="A255" i="9"/>
  <c r="B255" i="9"/>
  <c r="D255" i="9"/>
  <c r="E255" i="9"/>
  <c r="A256" i="9"/>
  <c r="B256" i="9"/>
  <c r="D256" i="9"/>
  <c r="E256" i="9"/>
  <c r="A257" i="9"/>
  <c r="B257" i="9"/>
  <c r="D257" i="9"/>
  <c r="E257" i="9"/>
  <c r="A258" i="9"/>
  <c r="B258" i="9"/>
  <c r="D258" i="9"/>
  <c r="E258" i="9"/>
  <c r="A259" i="9"/>
  <c r="B259" i="9"/>
  <c r="D259" i="9"/>
  <c r="E259" i="9"/>
  <c r="A260" i="9"/>
  <c r="B260" i="9"/>
  <c r="D260" i="9"/>
  <c r="E260" i="9"/>
  <c r="A261" i="9"/>
  <c r="B261" i="9"/>
  <c r="D261" i="9"/>
  <c r="E261" i="9"/>
  <c r="A262" i="9"/>
  <c r="B262" i="9"/>
  <c r="D262" i="9"/>
  <c r="E262" i="9"/>
  <c r="A263" i="9"/>
  <c r="B263" i="9"/>
  <c r="D263" i="9"/>
  <c r="E263" i="9"/>
  <c r="A264" i="9"/>
  <c r="B264" i="9"/>
  <c r="D264" i="9"/>
  <c r="E264" i="9"/>
  <c r="A265" i="9"/>
  <c r="B265" i="9"/>
  <c r="D265" i="9"/>
  <c r="E265" i="9"/>
  <c r="A266" i="9"/>
  <c r="B266" i="9"/>
  <c r="D266" i="9"/>
  <c r="E266" i="9"/>
  <c r="A267" i="9"/>
  <c r="B267" i="9"/>
  <c r="D267" i="9"/>
  <c r="A268" i="9"/>
  <c r="B268" i="9"/>
  <c r="D268" i="9"/>
  <c r="E268" i="9"/>
  <c r="A269" i="9"/>
  <c r="B269" i="9"/>
  <c r="D269" i="9"/>
  <c r="E269" i="9"/>
  <c r="A270" i="9"/>
  <c r="B270" i="9"/>
  <c r="D270" i="9"/>
  <c r="E270" i="9"/>
  <c r="A271" i="9"/>
  <c r="B271" i="9"/>
  <c r="D271" i="9"/>
  <c r="E271" i="9"/>
  <c r="A272" i="9"/>
  <c r="B272" i="9"/>
  <c r="D272" i="9"/>
  <c r="E272" i="9"/>
  <c r="A273" i="9"/>
  <c r="B273" i="9"/>
  <c r="D273" i="9"/>
  <c r="E273" i="9"/>
  <c r="A274" i="9"/>
  <c r="B274" i="9"/>
  <c r="D274" i="9"/>
  <c r="E274" i="9"/>
  <c r="A275" i="9"/>
  <c r="B275" i="9"/>
  <c r="D275" i="9"/>
  <c r="E275" i="9"/>
  <c r="A276" i="9"/>
  <c r="B276" i="9"/>
  <c r="D276" i="9"/>
  <c r="E276" i="9"/>
  <c r="A277" i="9"/>
  <c r="B277" i="9"/>
  <c r="D277" i="9"/>
  <c r="A278" i="9"/>
  <c r="B278" i="9"/>
  <c r="D278" i="9"/>
  <c r="E278" i="9"/>
  <c r="A279" i="9"/>
  <c r="B279" i="9"/>
  <c r="D279" i="9"/>
  <c r="E279" i="9"/>
  <c r="A280" i="9"/>
  <c r="B280" i="9"/>
  <c r="D280" i="9"/>
  <c r="E280" i="9"/>
  <c r="A281" i="9"/>
  <c r="B281" i="9"/>
  <c r="D281" i="9"/>
  <c r="E281" i="9"/>
  <c r="A282" i="9"/>
  <c r="B282" i="9"/>
  <c r="D282" i="9"/>
  <c r="E282" i="9"/>
  <c r="A283" i="9"/>
  <c r="B283" i="9"/>
  <c r="D283" i="9"/>
  <c r="E283" i="9"/>
  <c r="A284" i="9"/>
  <c r="B284" i="9"/>
  <c r="D284" i="9"/>
  <c r="E284" i="9"/>
  <c r="A285" i="9"/>
  <c r="B285" i="9"/>
  <c r="D285" i="9"/>
  <c r="E285" i="9"/>
  <c r="A286" i="9"/>
  <c r="B286" i="9"/>
  <c r="D286" i="9"/>
  <c r="E286" i="9"/>
  <c r="A287" i="9"/>
  <c r="B287" i="9"/>
  <c r="D287" i="9"/>
  <c r="E287" i="9"/>
  <c r="A288" i="9"/>
  <c r="B288" i="9"/>
  <c r="D288" i="9"/>
  <c r="E288" i="9"/>
  <c r="A289" i="9"/>
  <c r="B289" i="9"/>
  <c r="D289" i="9"/>
  <c r="E289" i="9"/>
  <c r="A290" i="9"/>
  <c r="B290" i="9"/>
  <c r="D290" i="9"/>
  <c r="E290" i="9"/>
  <c r="A291" i="9"/>
  <c r="B291" i="9"/>
  <c r="D291" i="9"/>
  <c r="E291" i="9"/>
  <c r="A292" i="9"/>
  <c r="B292" i="9"/>
  <c r="D292" i="9"/>
  <c r="E292" i="9"/>
  <c r="A293" i="9"/>
  <c r="B293" i="9"/>
  <c r="D293" i="9"/>
  <c r="E293" i="9"/>
  <c r="A294" i="9"/>
  <c r="B294" i="9"/>
  <c r="D294" i="9"/>
  <c r="E294" i="9"/>
  <c r="A295" i="9"/>
  <c r="B295" i="9"/>
  <c r="D295" i="9"/>
  <c r="E295" i="9"/>
  <c r="A296" i="9"/>
  <c r="B296" i="9"/>
  <c r="D296" i="9"/>
  <c r="E296" i="9"/>
  <c r="A297" i="9"/>
  <c r="B297" i="9"/>
  <c r="D297" i="9"/>
  <c r="E297" i="9"/>
  <c r="A298" i="9"/>
  <c r="B298" i="9"/>
  <c r="D298" i="9"/>
  <c r="E298" i="9"/>
  <c r="A299" i="9"/>
  <c r="B299" i="9"/>
  <c r="D299" i="9"/>
  <c r="E299" i="9"/>
  <c r="A300" i="9"/>
  <c r="B300" i="9"/>
  <c r="D300" i="9"/>
  <c r="E300" i="9"/>
  <c r="A301" i="9"/>
  <c r="B301" i="9"/>
  <c r="D301" i="9"/>
  <c r="E301" i="9"/>
  <c r="A302" i="9"/>
  <c r="B302" i="9"/>
  <c r="D302" i="9"/>
  <c r="E302" i="9"/>
  <c r="A303" i="9"/>
  <c r="B303" i="9"/>
  <c r="D303" i="9"/>
  <c r="E303" i="9"/>
  <c r="A304" i="9"/>
  <c r="B304" i="9"/>
  <c r="D304" i="9"/>
  <c r="E304" i="9"/>
  <c r="A305" i="9"/>
  <c r="B305" i="9"/>
  <c r="D305" i="9"/>
  <c r="E305" i="9"/>
  <c r="A306" i="9"/>
  <c r="B306" i="9"/>
  <c r="D306" i="9"/>
  <c r="E306" i="9"/>
  <c r="A307" i="9"/>
  <c r="B307" i="9"/>
  <c r="D307" i="9"/>
  <c r="E307" i="9"/>
  <c r="A308" i="9"/>
  <c r="B308" i="9"/>
  <c r="D308" i="9"/>
  <c r="E308" i="9"/>
  <c r="A309" i="9"/>
  <c r="B309" i="9"/>
  <c r="D309" i="9"/>
  <c r="E309" i="9"/>
  <c r="A310" i="9"/>
  <c r="B310" i="9"/>
  <c r="D310" i="9"/>
  <c r="E310" i="9"/>
  <c r="A311" i="9"/>
  <c r="B311" i="9"/>
  <c r="D311" i="9"/>
  <c r="E311" i="9"/>
  <c r="A7" i="19"/>
  <c r="B7" i="19"/>
  <c r="C7" i="19"/>
  <c r="D7" i="19"/>
  <c r="E7" i="19"/>
  <c r="F7" i="19"/>
  <c r="G7" i="19"/>
  <c r="H7" i="19"/>
  <c r="I7" i="19"/>
  <c r="J7" i="19"/>
  <c r="K7" i="19"/>
  <c r="M7" i="19"/>
  <c r="N7" i="19"/>
  <c r="O7" i="19"/>
  <c r="Q7" i="19"/>
  <c r="A8" i="19"/>
  <c r="B8" i="19"/>
  <c r="C8" i="19"/>
  <c r="D8" i="19"/>
  <c r="E8" i="19"/>
  <c r="F8" i="19"/>
  <c r="G8" i="19"/>
  <c r="H8" i="19"/>
  <c r="I8" i="19"/>
  <c r="J8" i="19"/>
  <c r="K8" i="19"/>
  <c r="M8" i="19"/>
  <c r="N8" i="19"/>
  <c r="O8" i="19"/>
  <c r="Q8" i="19"/>
  <c r="A9" i="19"/>
  <c r="B9" i="19"/>
  <c r="C9" i="19"/>
  <c r="D9" i="19"/>
  <c r="E9" i="19"/>
  <c r="F9" i="19"/>
  <c r="G9" i="19"/>
  <c r="H9" i="19"/>
  <c r="I9" i="19"/>
  <c r="J9" i="19"/>
  <c r="K9" i="19"/>
  <c r="M9" i="19"/>
  <c r="N9" i="19"/>
  <c r="O9" i="19"/>
  <c r="Q9" i="19"/>
  <c r="A10" i="19"/>
  <c r="B10" i="19"/>
  <c r="C10" i="19"/>
  <c r="D10" i="19"/>
  <c r="E10" i="19"/>
  <c r="F10" i="19"/>
  <c r="G10" i="19"/>
  <c r="H10" i="19"/>
  <c r="I10" i="19"/>
  <c r="J10" i="19"/>
  <c r="K10" i="19"/>
  <c r="M10" i="19"/>
  <c r="N10" i="19"/>
  <c r="O10" i="19"/>
  <c r="Q10" i="19"/>
  <c r="A11" i="19"/>
  <c r="B11" i="19"/>
  <c r="C11" i="19"/>
  <c r="D11" i="19"/>
  <c r="E11" i="19"/>
  <c r="F11" i="19"/>
  <c r="G11" i="19"/>
  <c r="H11" i="19"/>
  <c r="I11" i="19"/>
  <c r="J11" i="19"/>
  <c r="K11" i="19"/>
  <c r="M11" i="19"/>
  <c r="N11" i="19"/>
  <c r="O11" i="19"/>
  <c r="Q11" i="19"/>
  <c r="A12" i="19"/>
  <c r="B12" i="19"/>
  <c r="C12" i="19"/>
  <c r="D12" i="19"/>
  <c r="E12" i="19"/>
  <c r="F12" i="19"/>
  <c r="G12" i="19"/>
  <c r="H12" i="19"/>
  <c r="I12" i="19"/>
  <c r="J12" i="19"/>
  <c r="K12" i="19"/>
  <c r="M12" i="19"/>
  <c r="N12" i="19"/>
  <c r="O12" i="19"/>
  <c r="Q12" i="19"/>
  <c r="A13" i="19"/>
  <c r="B13" i="19"/>
  <c r="C13" i="19"/>
  <c r="D13" i="19"/>
  <c r="E13" i="19"/>
  <c r="F13" i="19"/>
  <c r="G13" i="19"/>
  <c r="H13" i="19"/>
  <c r="I13" i="19"/>
  <c r="J13" i="19"/>
  <c r="K13" i="19"/>
  <c r="M13" i="19"/>
  <c r="N13" i="19"/>
  <c r="O13" i="19"/>
  <c r="Q13" i="19"/>
  <c r="A14" i="19"/>
  <c r="B14" i="19"/>
  <c r="C14" i="19"/>
  <c r="D14" i="19"/>
  <c r="E14" i="19"/>
  <c r="F14" i="19"/>
  <c r="G14" i="19"/>
  <c r="H14" i="19"/>
  <c r="I14" i="19"/>
  <c r="J14" i="19"/>
  <c r="K14" i="19"/>
  <c r="M14" i="19"/>
  <c r="N14" i="19"/>
  <c r="O14" i="19"/>
  <c r="Q14" i="19"/>
  <c r="A15" i="19"/>
  <c r="B15" i="19"/>
  <c r="C15" i="19"/>
  <c r="D15" i="19"/>
  <c r="E15" i="19"/>
  <c r="F15" i="19"/>
  <c r="G15" i="19"/>
  <c r="H15" i="19"/>
  <c r="I15" i="19"/>
  <c r="J15" i="19"/>
  <c r="K15" i="19"/>
  <c r="M15" i="19"/>
  <c r="N15" i="19"/>
  <c r="O15" i="19"/>
  <c r="Q15" i="19"/>
  <c r="A16" i="19"/>
  <c r="B16" i="19"/>
  <c r="C16" i="19"/>
  <c r="D16" i="19"/>
  <c r="E16" i="19"/>
  <c r="F16" i="19"/>
  <c r="G16" i="19"/>
  <c r="H16" i="19"/>
  <c r="I16" i="19"/>
  <c r="J16" i="19"/>
  <c r="K16" i="19"/>
  <c r="M16" i="19"/>
  <c r="N16" i="19"/>
  <c r="O16" i="19"/>
  <c r="Q16" i="19"/>
  <c r="A17" i="19"/>
  <c r="B17" i="19"/>
  <c r="C17" i="19"/>
  <c r="D17" i="19"/>
  <c r="E17" i="19"/>
  <c r="F17" i="19"/>
  <c r="G17" i="19"/>
  <c r="H17" i="19"/>
  <c r="I17" i="19"/>
  <c r="J17" i="19"/>
  <c r="K17" i="19"/>
  <c r="M17" i="19"/>
  <c r="N17" i="19"/>
  <c r="O17" i="19"/>
  <c r="Q17" i="19"/>
  <c r="A18" i="19"/>
  <c r="B18" i="19"/>
  <c r="C18" i="19"/>
  <c r="D18" i="19"/>
  <c r="E18" i="19"/>
  <c r="F18" i="19"/>
  <c r="G18" i="19"/>
  <c r="H18" i="19"/>
  <c r="I18" i="19"/>
  <c r="J18" i="19"/>
  <c r="K18" i="19"/>
  <c r="M18" i="19"/>
  <c r="N18" i="19"/>
  <c r="O18" i="19"/>
  <c r="Q18" i="19"/>
  <c r="A19" i="19"/>
  <c r="B19" i="19"/>
  <c r="C19" i="19"/>
  <c r="D19" i="19"/>
  <c r="E19" i="19"/>
  <c r="F19" i="19"/>
  <c r="G19" i="19"/>
  <c r="H19" i="19"/>
  <c r="I19" i="19"/>
  <c r="J19" i="19"/>
  <c r="K19" i="19"/>
  <c r="M19" i="19"/>
  <c r="N19" i="19"/>
  <c r="O19" i="19"/>
  <c r="Q19" i="19"/>
  <c r="A20" i="19"/>
  <c r="B20" i="19"/>
  <c r="C20" i="19"/>
  <c r="D20" i="19"/>
  <c r="E20" i="19"/>
  <c r="F20" i="19"/>
  <c r="G20" i="19"/>
  <c r="H20" i="19"/>
  <c r="I20" i="19"/>
  <c r="J20" i="19"/>
  <c r="K20" i="19"/>
  <c r="M20" i="19"/>
  <c r="N20" i="19"/>
  <c r="O20" i="19"/>
  <c r="Q20" i="19"/>
  <c r="A21" i="19"/>
  <c r="B21" i="19"/>
  <c r="C21" i="19"/>
  <c r="E21" i="19"/>
  <c r="F21" i="19"/>
  <c r="G21" i="19"/>
  <c r="H21" i="19"/>
  <c r="I21" i="19"/>
  <c r="J21" i="19"/>
  <c r="K21" i="19"/>
  <c r="M21" i="19"/>
  <c r="N21" i="19"/>
  <c r="O21" i="19"/>
  <c r="Q21" i="19"/>
  <c r="A22" i="19"/>
  <c r="B22" i="19"/>
  <c r="C22" i="19"/>
  <c r="D22" i="19"/>
  <c r="E22" i="19"/>
  <c r="F22" i="19"/>
  <c r="G22" i="19"/>
  <c r="H22" i="19"/>
  <c r="I22" i="19"/>
  <c r="J22" i="19"/>
  <c r="K22" i="19"/>
  <c r="M22" i="19"/>
  <c r="N22" i="19"/>
  <c r="O22" i="19"/>
  <c r="Q22" i="19"/>
  <c r="A23" i="19"/>
  <c r="B23" i="19"/>
  <c r="C23" i="19"/>
  <c r="D23" i="19"/>
  <c r="E23" i="19"/>
  <c r="F23" i="19"/>
  <c r="G23" i="19"/>
  <c r="H23" i="19"/>
  <c r="I23" i="19"/>
  <c r="J23" i="19"/>
  <c r="K23" i="19"/>
  <c r="M23" i="19"/>
  <c r="N23" i="19"/>
  <c r="O23" i="19"/>
  <c r="Q23" i="19"/>
  <c r="A24" i="19"/>
  <c r="B24" i="19"/>
  <c r="C24" i="19"/>
  <c r="D24" i="19"/>
  <c r="E24" i="19"/>
  <c r="F24" i="19"/>
  <c r="G24" i="19"/>
  <c r="H24" i="19"/>
  <c r="I24" i="19"/>
  <c r="J24" i="19"/>
  <c r="K24" i="19"/>
  <c r="M24" i="19"/>
  <c r="N24" i="19"/>
  <c r="O24" i="19"/>
  <c r="Q24" i="19"/>
  <c r="A25" i="19"/>
  <c r="B25" i="19"/>
  <c r="C25" i="19"/>
  <c r="D25" i="19"/>
  <c r="E25" i="19"/>
  <c r="F25" i="19"/>
  <c r="G25" i="19"/>
  <c r="H25" i="19"/>
  <c r="I25" i="19"/>
  <c r="J25" i="19"/>
  <c r="K25" i="19"/>
  <c r="M25" i="19"/>
  <c r="N25" i="19"/>
  <c r="O25" i="19"/>
  <c r="Q25" i="19"/>
  <c r="A26" i="19"/>
  <c r="B26" i="19"/>
  <c r="C26" i="19"/>
  <c r="D26" i="19"/>
  <c r="E26" i="19"/>
  <c r="F26" i="19"/>
  <c r="G26" i="19"/>
  <c r="H26" i="19"/>
  <c r="I26" i="19"/>
  <c r="J26" i="19"/>
  <c r="K26" i="19"/>
  <c r="M26" i="19"/>
  <c r="N26" i="19"/>
  <c r="O26" i="19"/>
  <c r="Q26" i="19"/>
  <c r="A27" i="19"/>
  <c r="B27" i="19"/>
  <c r="C27" i="19"/>
  <c r="D27" i="19"/>
  <c r="E27" i="19"/>
  <c r="F27" i="19"/>
  <c r="G27" i="19"/>
  <c r="H27" i="19"/>
  <c r="I27" i="19"/>
  <c r="J27" i="19"/>
  <c r="K27" i="19"/>
  <c r="M27" i="19"/>
  <c r="N27" i="19"/>
  <c r="O27" i="19"/>
  <c r="Q27" i="19"/>
  <c r="A28" i="19"/>
  <c r="B28" i="19"/>
  <c r="C28" i="19"/>
  <c r="D28" i="19"/>
  <c r="E28" i="19"/>
  <c r="F28" i="19"/>
  <c r="G28" i="19"/>
  <c r="H28" i="19"/>
  <c r="I28" i="19"/>
  <c r="J28" i="19"/>
  <c r="K28" i="19"/>
  <c r="M28" i="19"/>
  <c r="N28" i="19"/>
  <c r="O28" i="19"/>
  <c r="Q28" i="19"/>
  <c r="A29" i="19"/>
  <c r="B29" i="19"/>
  <c r="C29" i="19"/>
  <c r="D29" i="19"/>
  <c r="E29" i="19"/>
  <c r="F29" i="19"/>
  <c r="G29" i="19"/>
  <c r="H29" i="19"/>
  <c r="I29" i="19"/>
  <c r="J29" i="19"/>
  <c r="K29" i="19"/>
  <c r="M29" i="19"/>
  <c r="N29" i="19"/>
  <c r="O29" i="19"/>
  <c r="Q29" i="19"/>
  <c r="A30" i="19"/>
  <c r="B30" i="19"/>
  <c r="C30" i="19"/>
  <c r="D30" i="19"/>
  <c r="E30" i="19"/>
  <c r="F30" i="19"/>
  <c r="G30" i="19"/>
  <c r="H30" i="19"/>
  <c r="I30" i="19"/>
  <c r="J30" i="19"/>
  <c r="K30" i="19"/>
  <c r="M30" i="19"/>
  <c r="N30" i="19"/>
  <c r="O30" i="19"/>
  <c r="Q30" i="19"/>
  <c r="A31" i="19"/>
  <c r="B31" i="19"/>
  <c r="C31" i="19"/>
  <c r="D31" i="19"/>
  <c r="E31" i="19"/>
  <c r="F31" i="19"/>
  <c r="G31" i="19"/>
  <c r="H31" i="19"/>
  <c r="I31" i="19"/>
  <c r="J31" i="19"/>
  <c r="K31" i="19"/>
  <c r="M31" i="19"/>
  <c r="N31" i="19"/>
  <c r="O31" i="19"/>
  <c r="Q31" i="19"/>
  <c r="A32" i="19"/>
  <c r="B32" i="19"/>
  <c r="C32" i="19"/>
  <c r="D32" i="19"/>
  <c r="E32" i="19"/>
  <c r="F32" i="19"/>
  <c r="G32" i="19"/>
  <c r="H32" i="19"/>
  <c r="I32" i="19"/>
  <c r="J32" i="19"/>
  <c r="K32" i="19"/>
  <c r="M32" i="19"/>
  <c r="N32" i="19"/>
  <c r="O32" i="19"/>
  <c r="Q32" i="19"/>
  <c r="A33" i="19"/>
  <c r="B33" i="19"/>
  <c r="C33" i="19"/>
  <c r="D33" i="19"/>
  <c r="E33" i="19"/>
  <c r="F33" i="19"/>
  <c r="G33" i="19"/>
  <c r="H33" i="19"/>
  <c r="I33" i="19"/>
  <c r="J33" i="19"/>
  <c r="K33" i="19"/>
  <c r="M33" i="19"/>
  <c r="N33" i="19"/>
  <c r="O33" i="19"/>
  <c r="Q33" i="19"/>
  <c r="A34" i="19"/>
  <c r="B34" i="19"/>
  <c r="C34" i="19"/>
  <c r="D34" i="19"/>
  <c r="E34" i="19"/>
  <c r="F34" i="19"/>
  <c r="G34" i="19"/>
  <c r="H34" i="19"/>
  <c r="I34" i="19"/>
  <c r="J34" i="19"/>
  <c r="K34" i="19"/>
  <c r="M34" i="19"/>
  <c r="N34" i="19"/>
  <c r="O34" i="19"/>
  <c r="Q34" i="19"/>
  <c r="A35" i="19"/>
  <c r="B35" i="19"/>
  <c r="C35" i="19"/>
  <c r="D35" i="19"/>
  <c r="E35" i="19"/>
  <c r="F35" i="19"/>
  <c r="G35" i="19"/>
  <c r="H35" i="19"/>
  <c r="I35" i="19"/>
  <c r="J35" i="19"/>
  <c r="K35" i="19"/>
  <c r="M35" i="19"/>
  <c r="N35" i="19"/>
  <c r="O35" i="19"/>
  <c r="Q35" i="19"/>
  <c r="A36" i="19"/>
  <c r="B36" i="19"/>
  <c r="C36" i="19"/>
  <c r="D36" i="19"/>
  <c r="E36" i="19"/>
  <c r="F36" i="19"/>
  <c r="G36" i="19"/>
  <c r="H36" i="19"/>
  <c r="I36" i="19"/>
  <c r="J36" i="19"/>
  <c r="K36" i="19"/>
  <c r="M36" i="19"/>
  <c r="N36" i="19"/>
  <c r="O36" i="19"/>
  <c r="Q36" i="19"/>
  <c r="A37" i="19"/>
  <c r="B37" i="19"/>
  <c r="C37" i="19"/>
  <c r="D37" i="19"/>
  <c r="E37" i="19"/>
  <c r="F37" i="19"/>
  <c r="G37" i="19"/>
  <c r="H37" i="19"/>
  <c r="I37" i="19"/>
  <c r="J37" i="19"/>
  <c r="K37" i="19"/>
  <c r="M37" i="19"/>
  <c r="N37" i="19"/>
  <c r="O37" i="19"/>
  <c r="Q37" i="19"/>
  <c r="A38" i="19"/>
  <c r="B38" i="19"/>
  <c r="C38" i="19"/>
  <c r="D38" i="19"/>
  <c r="E38" i="19"/>
  <c r="F38" i="19"/>
  <c r="G38" i="19"/>
  <c r="H38" i="19"/>
  <c r="I38" i="19"/>
  <c r="J38" i="19"/>
  <c r="K38" i="19"/>
  <c r="M38" i="19"/>
  <c r="N38" i="19"/>
  <c r="O38" i="19"/>
  <c r="Q38" i="19"/>
  <c r="A39" i="19"/>
  <c r="B39" i="19"/>
  <c r="C39" i="19"/>
  <c r="D39" i="19"/>
  <c r="E39" i="19"/>
  <c r="F39" i="19"/>
  <c r="G39" i="19"/>
  <c r="H39" i="19"/>
  <c r="I39" i="19"/>
  <c r="J39" i="19"/>
  <c r="K39" i="19"/>
  <c r="M39" i="19"/>
  <c r="N39" i="19"/>
  <c r="O39" i="19"/>
  <c r="Q39" i="19"/>
  <c r="A40" i="19"/>
  <c r="B40" i="19"/>
  <c r="C40" i="19"/>
  <c r="D40" i="19"/>
  <c r="E40" i="19"/>
  <c r="F40" i="19"/>
  <c r="G40" i="19"/>
  <c r="H40" i="19"/>
  <c r="I40" i="19"/>
  <c r="J40" i="19"/>
  <c r="K40" i="19"/>
  <c r="M40" i="19"/>
  <c r="N40" i="19"/>
  <c r="O40" i="19"/>
  <c r="Q40" i="19"/>
  <c r="A41" i="19"/>
  <c r="B41" i="19"/>
  <c r="C41" i="19"/>
  <c r="D41" i="19"/>
  <c r="E41" i="19"/>
  <c r="F41" i="19"/>
  <c r="G41" i="19"/>
  <c r="H41" i="19"/>
  <c r="I41" i="19"/>
  <c r="J41" i="19"/>
  <c r="K41" i="19"/>
  <c r="M41" i="19"/>
  <c r="N41" i="19"/>
  <c r="O41" i="19"/>
  <c r="Q41" i="19"/>
  <c r="A42" i="19"/>
  <c r="B42" i="19"/>
  <c r="C42" i="19"/>
  <c r="D42" i="19"/>
  <c r="E42" i="19"/>
  <c r="F42" i="19"/>
  <c r="G42" i="19"/>
  <c r="H42" i="19"/>
  <c r="I42" i="19"/>
  <c r="J42" i="19"/>
  <c r="K42" i="19"/>
  <c r="M42" i="19"/>
  <c r="N42" i="19"/>
  <c r="O42" i="19"/>
  <c r="Q42" i="19"/>
  <c r="A43" i="19"/>
  <c r="B43" i="19"/>
  <c r="C43" i="19"/>
  <c r="D43" i="19"/>
  <c r="E43" i="19"/>
  <c r="F43" i="19"/>
  <c r="G43" i="19"/>
  <c r="H43" i="19"/>
  <c r="I43" i="19"/>
  <c r="J43" i="19"/>
  <c r="K43" i="19"/>
  <c r="M43" i="19"/>
  <c r="N43" i="19"/>
  <c r="O43" i="19"/>
  <c r="Q43" i="19"/>
  <c r="A44" i="19"/>
  <c r="B44" i="19"/>
  <c r="C44" i="19"/>
  <c r="D44" i="19"/>
  <c r="E44" i="19"/>
  <c r="F44" i="19"/>
  <c r="G44" i="19"/>
  <c r="H44" i="19"/>
  <c r="I44" i="19"/>
  <c r="J44" i="19"/>
  <c r="K44" i="19"/>
  <c r="M44" i="19"/>
  <c r="N44" i="19"/>
  <c r="O44" i="19"/>
  <c r="Q44" i="19"/>
  <c r="A45" i="19"/>
  <c r="B45" i="19"/>
  <c r="C45" i="19"/>
  <c r="D45" i="19"/>
  <c r="E45" i="19"/>
  <c r="F45" i="19"/>
  <c r="G45" i="19"/>
  <c r="H45" i="19"/>
  <c r="I45" i="19"/>
  <c r="J45" i="19"/>
  <c r="K45" i="19"/>
  <c r="M45" i="19"/>
  <c r="N45" i="19"/>
  <c r="O45" i="19"/>
  <c r="Q45" i="19"/>
  <c r="A46" i="19"/>
  <c r="B46" i="19"/>
  <c r="C46" i="19"/>
  <c r="D46" i="19"/>
  <c r="E46" i="19"/>
  <c r="F46" i="19"/>
  <c r="G46" i="19"/>
  <c r="H46" i="19"/>
  <c r="I46" i="19"/>
  <c r="J46" i="19"/>
  <c r="K46" i="19"/>
  <c r="M46" i="19"/>
  <c r="N46" i="19"/>
  <c r="O46" i="19"/>
  <c r="Q46" i="19"/>
  <c r="A47" i="19"/>
  <c r="B47" i="19"/>
  <c r="C47" i="19"/>
  <c r="D47" i="19"/>
  <c r="E47" i="19"/>
  <c r="F47" i="19"/>
  <c r="G47" i="19"/>
  <c r="H47" i="19"/>
  <c r="I47" i="19"/>
  <c r="J47" i="19"/>
  <c r="K47" i="19"/>
  <c r="M47" i="19"/>
  <c r="N47" i="19"/>
  <c r="O47" i="19"/>
  <c r="Q47" i="19"/>
  <c r="A48" i="19"/>
  <c r="B48" i="19"/>
  <c r="C48" i="19"/>
  <c r="D48" i="19"/>
  <c r="E48" i="19"/>
  <c r="F48" i="19"/>
  <c r="G48" i="19"/>
  <c r="H48" i="19"/>
  <c r="I48" i="19"/>
  <c r="J48" i="19"/>
  <c r="K48" i="19"/>
  <c r="M48" i="19"/>
  <c r="N48" i="19"/>
  <c r="O48" i="19"/>
  <c r="Q48" i="19"/>
  <c r="A49" i="19"/>
  <c r="B49" i="19"/>
  <c r="C49" i="19"/>
  <c r="D49" i="19"/>
  <c r="E49" i="19"/>
  <c r="F49" i="19"/>
  <c r="G49" i="19"/>
  <c r="H49" i="19"/>
  <c r="I49" i="19"/>
  <c r="J49" i="19"/>
  <c r="K49" i="19"/>
  <c r="M49" i="19"/>
  <c r="N49" i="19"/>
  <c r="O49" i="19"/>
  <c r="Q49" i="19"/>
  <c r="A50" i="19"/>
  <c r="B50" i="19"/>
  <c r="C50" i="19"/>
  <c r="D50" i="19"/>
  <c r="E50" i="19"/>
  <c r="F50" i="19"/>
  <c r="G50" i="19"/>
  <c r="H50" i="19"/>
  <c r="I50" i="19"/>
  <c r="J50" i="19"/>
  <c r="K50" i="19"/>
  <c r="M50" i="19"/>
  <c r="N50" i="19"/>
  <c r="O50" i="19"/>
  <c r="Q50" i="19"/>
  <c r="A51" i="19"/>
  <c r="B51" i="19"/>
  <c r="C51" i="19"/>
  <c r="D51" i="19"/>
  <c r="E51" i="19"/>
  <c r="F51" i="19"/>
  <c r="G51" i="19"/>
  <c r="H51" i="19"/>
  <c r="I51" i="19"/>
  <c r="J51" i="19"/>
  <c r="K51" i="19"/>
  <c r="M51" i="19"/>
  <c r="N51" i="19"/>
  <c r="O51" i="19"/>
  <c r="Q51" i="19"/>
  <c r="A52" i="19"/>
  <c r="B52" i="19"/>
  <c r="C52" i="19"/>
  <c r="D52" i="19"/>
  <c r="E52" i="19"/>
  <c r="F52" i="19"/>
  <c r="G52" i="19"/>
  <c r="H52" i="19"/>
  <c r="I52" i="19"/>
  <c r="J52" i="19"/>
  <c r="K52" i="19"/>
  <c r="M52" i="19"/>
  <c r="N52" i="19"/>
  <c r="O52" i="19"/>
  <c r="Q52" i="19"/>
  <c r="A53" i="19"/>
  <c r="B53" i="19"/>
  <c r="C53" i="19"/>
  <c r="D53" i="19"/>
  <c r="E53" i="19"/>
  <c r="F53" i="19"/>
  <c r="G53" i="19"/>
  <c r="H53" i="19"/>
  <c r="I53" i="19"/>
  <c r="J53" i="19"/>
  <c r="K53" i="19"/>
  <c r="M53" i="19"/>
  <c r="N53" i="19"/>
  <c r="O53" i="19"/>
  <c r="Q53" i="19"/>
  <c r="A54" i="19"/>
  <c r="B54" i="19"/>
  <c r="C54" i="19"/>
  <c r="D54" i="19"/>
  <c r="E54" i="19"/>
  <c r="F54" i="19"/>
  <c r="G54" i="19"/>
  <c r="H54" i="19"/>
  <c r="I54" i="19"/>
  <c r="J54" i="19"/>
  <c r="K54" i="19"/>
  <c r="M54" i="19"/>
  <c r="N54" i="19"/>
  <c r="O54" i="19"/>
  <c r="Q54" i="19"/>
  <c r="A55" i="19"/>
  <c r="B55" i="19"/>
  <c r="C55" i="19"/>
  <c r="D55" i="19"/>
  <c r="E55" i="19"/>
  <c r="F55" i="19"/>
  <c r="G55" i="19"/>
  <c r="H55" i="19"/>
  <c r="I55" i="19"/>
  <c r="J55" i="19"/>
  <c r="K55" i="19"/>
  <c r="M55" i="19"/>
  <c r="N55" i="19"/>
  <c r="O55" i="19"/>
  <c r="Q55" i="19"/>
  <c r="A56" i="19"/>
  <c r="B56" i="19"/>
  <c r="C56" i="19"/>
  <c r="D56" i="19"/>
  <c r="E56" i="19"/>
  <c r="F56" i="19"/>
  <c r="G56" i="19"/>
  <c r="H56" i="19"/>
  <c r="I56" i="19"/>
  <c r="J56" i="19"/>
  <c r="K56" i="19"/>
  <c r="M56" i="19"/>
  <c r="N56" i="19"/>
  <c r="O56" i="19"/>
  <c r="Q56" i="19"/>
  <c r="A57" i="19"/>
  <c r="B57" i="19"/>
  <c r="C57" i="19"/>
  <c r="D57" i="19"/>
  <c r="E57" i="19"/>
  <c r="F57" i="19"/>
  <c r="G57" i="19"/>
  <c r="H57" i="19"/>
  <c r="I57" i="19"/>
  <c r="J57" i="19"/>
  <c r="K57" i="19"/>
  <c r="M57" i="19"/>
  <c r="N57" i="19"/>
  <c r="O57" i="19"/>
  <c r="Q57" i="19"/>
  <c r="A58" i="19"/>
  <c r="B58" i="19"/>
  <c r="C58" i="19"/>
  <c r="D58" i="19"/>
  <c r="E58" i="19"/>
  <c r="F58" i="19"/>
  <c r="G58" i="19"/>
  <c r="H58" i="19"/>
  <c r="I58" i="19"/>
  <c r="J58" i="19"/>
  <c r="K58" i="19"/>
  <c r="M58" i="19"/>
  <c r="N58" i="19"/>
  <c r="O58" i="19"/>
  <c r="Q58" i="19"/>
  <c r="A59" i="19"/>
  <c r="B59" i="19"/>
  <c r="C59" i="19"/>
  <c r="D59" i="19"/>
  <c r="E59" i="19"/>
  <c r="F59" i="19"/>
  <c r="G59" i="19"/>
  <c r="H59" i="19"/>
  <c r="I59" i="19"/>
  <c r="J59" i="19"/>
  <c r="K59" i="19"/>
  <c r="M59" i="19"/>
  <c r="N59" i="19"/>
  <c r="O59" i="19"/>
  <c r="Q59" i="19"/>
  <c r="A60" i="19"/>
  <c r="B60" i="19"/>
  <c r="C60" i="19"/>
  <c r="D60" i="19"/>
  <c r="E60" i="19"/>
  <c r="F60" i="19"/>
  <c r="G60" i="19"/>
  <c r="H60" i="19"/>
  <c r="I60" i="19"/>
  <c r="J60" i="19"/>
  <c r="K60" i="19"/>
  <c r="M60" i="19"/>
  <c r="N60" i="19"/>
  <c r="O60" i="19"/>
  <c r="Q60" i="19"/>
  <c r="A61" i="19"/>
  <c r="B61" i="19"/>
  <c r="C61" i="19"/>
  <c r="D61" i="19"/>
  <c r="E61" i="19"/>
  <c r="F61" i="19"/>
  <c r="G61" i="19"/>
  <c r="H61" i="19"/>
  <c r="I61" i="19"/>
  <c r="J61" i="19"/>
  <c r="K61" i="19"/>
  <c r="M61" i="19"/>
  <c r="N61" i="19"/>
  <c r="O61" i="19"/>
  <c r="Q61" i="19"/>
  <c r="A62" i="19"/>
  <c r="B62" i="19"/>
  <c r="C62" i="19"/>
  <c r="D62" i="19"/>
  <c r="E62" i="19"/>
  <c r="F62" i="19"/>
  <c r="G62" i="19"/>
  <c r="H62" i="19"/>
  <c r="I62" i="19"/>
  <c r="J62" i="19"/>
  <c r="K62" i="19"/>
  <c r="M62" i="19"/>
  <c r="N62" i="19"/>
  <c r="O62" i="19"/>
  <c r="Q62" i="19"/>
  <c r="A63" i="19"/>
  <c r="B63" i="19"/>
  <c r="C63" i="19"/>
  <c r="D63" i="19"/>
  <c r="E63" i="19"/>
  <c r="F63" i="19"/>
  <c r="G63" i="19"/>
  <c r="H63" i="19"/>
  <c r="I63" i="19"/>
  <c r="J63" i="19"/>
  <c r="K63" i="19"/>
  <c r="M63" i="19"/>
  <c r="N63" i="19"/>
  <c r="O63" i="19"/>
  <c r="Q63" i="19"/>
  <c r="A64" i="19"/>
  <c r="B64" i="19"/>
  <c r="C64" i="19"/>
  <c r="D64" i="19"/>
  <c r="E64" i="19"/>
  <c r="F64" i="19"/>
  <c r="G64" i="19"/>
  <c r="H64" i="19"/>
  <c r="I64" i="19"/>
  <c r="J64" i="19"/>
  <c r="K64" i="19"/>
  <c r="M64" i="19"/>
  <c r="N64" i="19"/>
  <c r="O64" i="19"/>
  <c r="Q64" i="19"/>
  <c r="A65" i="19"/>
  <c r="B65" i="19"/>
  <c r="C65" i="19"/>
  <c r="D65" i="19"/>
  <c r="E65" i="19"/>
  <c r="F65" i="19"/>
  <c r="G65" i="19"/>
  <c r="H65" i="19"/>
  <c r="I65" i="19"/>
  <c r="J65" i="19"/>
  <c r="K65" i="19"/>
  <c r="M65" i="19"/>
  <c r="N65" i="19"/>
  <c r="O65" i="19"/>
  <c r="Q65" i="19"/>
  <c r="A66" i="19"/>
  <c r="B66" i="19"/>
  <c r="C66" i="19"/>
  <c r="D66" i="19"/>
  <c r="E66" i="19"/>
  <c r="F66" i="19"/>
  <c r="G66" i="19"/>
  <c r="H66" i="19"/>
  <c r="I66" i="19"/>
  <c r="J66" i="19"/>
  <c r="K66" i="19"/>
  <c r="M66" i="19"/>
  <c r="N66" i="19"/>
  <c r="O66" i="19"/>
  <c r="Q66" i="19"/>
  <c r="A67" i="19"/>
  <c r="B67" i="19"/>
  <c r="C67" i="19"/>
  <c r="D67" i="19"/>
  <c r="E67" i="19"/>
  <c r="F67" i="19"/>
  <c r="G67" i="19"/>
  <c r="H67" i="19"/>
  <c r="I67" i="19"/>
  <c r="J67" i="19"/>
  <c r="K67" i="19"/>
  <c r="M67" i="19"/>
  <c r="N67" i="19"/>
  <c r="O67" i="19"/>
  <c r="Q67" i="19"/>
  <c r="A68" i="19"/>
  <c r="B68" i="19"/>
  <c r="C68" i="19"/>
  <c r="D68" i="19"/>
  <c r="E68" i="19"/>
  <c r="F68" i="19"/>
  <c r="G68" i="19"/>
  <c r="H68" i="19"/>
  <c r="I68" i="19"/>
  <c r="J68" i="19"/>
  <c r="K68" i="19"/>
  <c r="M68" i="19"/>
  <c r="N68" i="19"/>
  <c r="O68" i="19"/>
  <c r="Q68" i="19"/>
  <c r="A69" i="19"/>
  <c r="B69" i="19"/>
  <c r="C69" i="19"/>
  <c r="D69" i="19"/>
  <c r="E69" i="19"/>
  <c r="F69" i="19"/>
  <c r="G69" i="19"/>
  <c r="H69" i="19"/>
  <c r="I69" i="19"/>
  <c r="J69" i="19"/>
  <c r="K69" i="19"/>
  <c r="M69" i="19"/>
  <c r="N69" i="19"/>
  <c r="O69" i="19"/>
  <c r="Q69" i="19"/>
  <c r="A70" i="19"/>
  <c r="B70" i="19"/>
  <c r="C70" i="19"/>
  <c r="D70" i="19"/>
  <c r="E70" i="19"/>
  <c r="F70" i="19"/>
  <c r="G70" i="19"/>
  <c r="H70" i="19"/>
  <c r="I70" i="19"/>
  <c r="J70" i="19"/>
  <c r="K70" i="19"/>
  <c r="M70" i="19"/>
  <c r="N70" i="19"/>
  <c r="O70" i="19"/>
  <c r="Q70" i="19"/>
  <c r="A71" i="19"/>
  <c r="B71" i="19"/>
  <c r="C71" i="19"/>
  <c r="D71" i="19"/>
  <c r="E71" i="19"/>
  <c r="F71" i="19"/>
  <c r="G71" i="19"/>
  <c r="H71" i="19"/>
  <c r="I71" i="19"/>
  <c r="J71" i="19"/>
  <c r="K71" i="19"/>
  <c r="M71" i="19"/>
  <c r="N71" i="19"/>
  <c r="O71" i="19"/>
  <c r="Q71" i="19"/>
  <c r="A72" i="19"/>
  <c r="B72" i="19"/>
  <c r="C72" i="19"/>
  <c r="D72" i="19"/>
  <c r="E72" i="19"/>
  <c r="F72" i="19"/>
  <c r="G72" i="19"/>
  <c r="H72" i="19"/>
  <c r="I72" i="19"/>
  <c r="J72" i="19"/>
  <c r="K72" i="19"/>
  <c r="M72" i="19"/>
  <c r="N72" i="19"/>
  <c r="O72" i="19"/>
  <c r="Q72" i="19"/>
  <c r="A73" i="19"/>
  <c r="B73" i="19"/>
  <c r="C73" i="19"/>
  <c r="D73" i="19"/>
  <c r="E73" i="19"/>
  <c r="F73" i="19"/>
  <c r="G73" i="19"/>
  <c r="H73" i="19"/>
  <c r="I73" i="19"/>
  <c r="J73" i="19"/>
  <c r="K73" i="19"/>
  <c r="M73" i="19"/>
  <c r="N73" i="19"/>
  <c r="O73" i="19"/>
  <c r="Q73" i="19"/>
  <c r="A74" i="19"/>
  <c r="B74" i="19"/>
  <c r="C74" i="19"/>
  <c r="D74" i="19"/>
  <c r="E74" i="19"/>
  <c r="F74" i="19"/>
  <c r="G74" i="19"/>
  <c r="H74" i="19"/>
  <c r="I74" i="19"/>
  <c r="J74" i="19"/>
  <c r="K74" i="19"/>
  <c r="M74" i="19"/>
  <c r="N74" i="19"/>
  <c r="O74" i="19"/>
  <c r="Q74" i="19"/>
  <c r="A75" i="19"/>
  <c r="B75" i="19"/>
  <c r="C75" i="19"/>
  <c r="D75" i="19"/>
  <c r="E75" i="19"/>
  <c r="F75" i="19"/>
  <c r="G75" i="19"/>
  <c r="H75" i="19"/>
  <c r="I75" i="19"/>
  <c r="J75" i="19"/>
  <c r="K75" i="19"/>
  <c r="M75" i="19"/>
  <c r="N75" i="19"/>
  <c r="O75" i="19"/>
  <c r="Q75" i="19"/>
  <c r="A76" i="19"/>
  <c r="B76" i="19"/>
  <c r="C76" i="19"/>
  <c r="D76" i="19"/>
  <c r="E76" i="19"/>
  <c r="F76" i="19"/>
  <c r="G76" i="19"/>
  <c r="H76" i="19"/>
  <c r="I76" i="19"/>
  <c r="J76" i="19"/>
  <c r="K76" i="19"/>
  <c r="M76" i="19"/>
  <c r="N76" i="19"/>
  <c r="O76" i="19"/>
  <c r="Q76" i="19"/>
  <c r="A77" i="19"/>
  <c r="B77" i="19"/>
  <c r="C77" i="19"/>
  <c r="D77" i="19"/>
  <c r="E77" i="19"/>
  <c r="F77" i="19"/>
  <c r="G77" i="19"/>
  <c r="H77" i="19"/>
  <c r="I77" i="19"/>
  <c r="J77" i="19"/>
  <c r="K77" i="19"/>
  <c r="M77" i="19"/>
  <c r="N77" i="19"/>
  <c r="O77" i="19"/>
  <c r="Q77" i="19"/>
  <c r="A78" i="19"/>
  <c r="B78" i="19"/>
  <c r="C78" i="19"/>
  <c r="D78" i="19"/>
  <c r="E78" i="19"/>
  <c r="F78" i="19"/>
  <c r="G78" i="19"/>
  <c r="H78" i="19"/>
  <c r="I78" i="19"/>
  <c r="J78" i="19"/>
  <c r="K78" i="19"/>
  <c r="M78" i="19"/>
  <c r="N78" i="19"/>
  <c r="O78" i="19"/>
  <c r="Q78" i="19"/>
  <c r="A79" i="19"/>
  <c r="B79" i="19"/>
  <c r="C79" i="19"/>
  <c r="D79" i="19"/>
  <c r="E79" i="19"/>
  <c r="F79" i="19"/>
  <c r="G79" i="19"/>
  <c r="H79" i="19"/>
  <c r="I79" i="19"/>
  <c r="J79" i="19"/>
  <c r="K79" i="19"/>
  <c r="M79" i="19"/>
  <c r="N79" i="19"/>
  <c r="O79" i="19"/>
  <c r="Q79" i="19"/>
  <c r="A80" i="19"/>
  <c r="B80" i="19"/>
  <c r="C80" i="19"/>
  <c r="D80" i="19"/>
  <c r="E80" i="19"/>
  <c r="F80" i="19"/>
  <c r="G80" i="19"/>
  <c r="H80" i="19"/>
  <c r="I80" i="19"/>
  <c r="J80" i="19"/>
  <c r="K80" i="19"/>
  <c r="M80" i="19"/>
  <c r="N80" i="19"/>
  <c r="O80" i="19"/>
  <c r="Q80" i="19"/>
  <c r="A81" i="19"/>
  <c r="B81" i="19"/>
  <c r="C81" i="19"/>
  <c r="D81" i="19"/>
  <c r="E81" i="19"/>
  <c r="F81" i="19"/>
  <c r="G81" i="19"/>
  <c r="H81" i="19"/>
  <c r="I81" i="19"/>
  <c r="J81" i="19"/>
  <c r="K81" i="19"/>
  <c r="M81" i="19"/>
  <c r="N81" i="19"/>
  <c r="O81" i="19"/>
  <c r="Q81" i="19"/>
  <c r="A82" i="19"/>
  <c r="B82" i="19"/>
  <c r="C82" i="19"/>
  <c r="D82" i="19"/>
  <c r="E82" i="19"/>
  <c r="F82" i="19"/>
  <c r="G82" i="19"/>
  <c r="H82" i="19"/>
  <c r="I82" i="19"/>
  <c r="J82" i="19"/>
  <c r="K82" i="19"/>
  <c r="M82" i="19"/>
  <c r="N82" i="19"/>
  <c r="O82" i="19"/>
  <c r="Q82" i="19"/>
  <c r="A83" i="19"/>
  <c r="B83" i="19"/>
  <c r="C83" i="19"/>
  <c r="D83" i="19"/>
  <c r="E83" i="19"/>
  <c r="F83" i="19"/>
  <c r="G83" i="19"/>
  <c r="H83" i="19"/>
  <c r="I83" i="19"/>
  <c r="J83" i="19"/>
  <c r="K83" i="19"/>
  <c r="M83" i="19"/>
  <c r="N83" i="19"/>
  <c r="O83" i="19"/>
  <c r="Q83" i="19"/>
  <c r="A84" i="19"/>
  <c r="B84" i="19"/>
  <c r="C84" i="19"/>
  <c r="D84" i="19"/>
  <c r="E84" i="19"/>
  <c r="F84" i="19"/>
  <c r="G84" i="19"/>
  <c r="H84" i="19"/>
  <c r="I84" i="19"/>
  <c r="J84" i="19"/>
  <c r="K84" i="19"/>
  <c r="M84" i="19"/>
  <c r="N84" i="19"/>
  <c r="O84" i="19"/>
  <c r="Q84" i="19"/>
  <c r="A85" i="19"/>
  <c r="B85" i="19"/>
  <c r="C85" i="19"/>
  <c r="D85" i="19"/>
  <c r="E85" i="19"/>
  <c r="F85" i="19"/>
  <c r="G85" i="19"/>
  <c r="H85" i="19"/>
  <c r="I85" i="19"/>
  <c r="J85" i="19"/>
  <c r="K85" i="19"/>
  <c r="M85" i="19"/>
  <c r="N85" i="19"/>
  <c r="O85" i="19"/>
  <c r="Q85" i="19"/>
  <c r="A86" i="19"/>
  <c r="B86" i="19"/>
  <c r="C86" i="19"/>
  <c r="D86" i="19"/>
  <c r="E86" i="19"/>
  <c r="F86" i="19"/>
  <c r="G86" i="19"/>
  <c r="H86" i="19"/>
  <c r="I86" i="19"/>
  <c r="J86" i="19"/>
  <c r="K86" i="19"/>
  <c r="M86" i="19"/>
  <c r="N86" i="19"/>
  <c r="O86" i="19"/>
  <c r="Q86" i="19"/>
  <c r="A87" i="19"/>
  <c r="B87" i="19"/>
  <c r="C87" i="19"/>
  <c r="D87" i="19"/>
  <c r="E87" i="19"/>
  <c r="F87" i="19"/>
  <c r="G87" i="19"/>
  <c r="H87" i="19"/>
  <c r="I87" i="19"/>
  <c r="J87" i="19"/>
  <c r="K87" i="19"/>
  <c r="M87" i="19"/>
  <c r="N87" i="19"/>
  <c r="O87" i="19"/>
  <c r="Q87" i="19"/>
  <c r="A88" i="19"/>
  <c r="B88" i="19"/>
  <c r="C88" i="19"/>
  <c r="D88" i="19"/>
  <c r="E88" i="19"/>
  <c r="F88" i="19"/>
  <c r="G88" i="19"/>
  <c r="H88" i="19"/>
  <c r="I88" i="19"/>
  <c r="J88" i="19"/>
  <c r="K88" i="19"/>
  <c r="M88" i="19"/>
  <c r="N88" i="19"/>
  <c r="O88" i="19"/>
  <c r="Q88" i="19"/>
  <c r="A89" i="19"/>
  <c r="B89" i="19"/>
  <c r="C89" i="19"/>
  <c r="D89" i="19"/>
  <c r="E89" i="19"/>
  <c r="F89" i="19"/>
  <c r="G89" i="19"/>
  <c r="H89" i="19"/>
  <c r="I89" i="19"/>
  <c r="J89" i="19"/>
  <c r="K89" i="19"/>
  <c r="M89" i="19"/>
  <c r="N89" i="19"/>
  <c r="O89" i="19"/>
  <c r="Q89" i="19"/>
  <c r="A90" i="19"/>
  <c r="B90" i="19"/>
  <c r="C90" i="19"/>
  <c r="D90" i="19"/>
  <c r="E90" i="19"/>
  <c r="F90" i="19"/>
  <c r="G90" i="19"/>
  <c r="H90" i="19"/>
  <c r="I90" i="19"/>
  <c r="J90" i="19"/>
  <c r="K90" i="19"/>
  <c r="M90" i="19"/>
  <c r="N90" i="19"/>
  <c r="O90" i="19"/>
  <c r="Q90" i="19"/>
  <c r="A91" i="19"/>
  <c r="B91" i="19"/>
  <c r="C91" i="19"/>
  <c r="D91" i="19"/>
  <c r="E91" i="19"/>
  <c r="F91" i="19"/>
  <c r="G91" i="19"/>
  <c r="H91" i="19"/>
  <c r="I91" i="19"/>
  <c r="J91" i="19"/>
  <c r="K91" i="19"/>
  <c r="M91" i="19"/>
  <c r="N91" i="19"/>
  <c r="O91" i="19"/>
  <c r="Q91" i="19"/>
  <c r="A92" i="19"/>
  <c r="B92" i="19"/>
  <c r="C92" i="19"/>
  <c r="D92" i="19"/>
  <c r="E92" i="19"/>
  <c r="F92" i="19"/>
  <c r="G92" i="19"/>
  <c r="H92" i="19"/>
  <c r="I92" i="19"/>
  <c r="J92" i="19"/>
  <c r="K92" i="19"/>
  <c r="M92" i="19"/>
  <c r="N92" i="19"/>
  <c r="O92" i="19"/>
  <c r="Q92" i="19"/>
  <c r="A93" i="19"/>
  <c r="B93" i="19"/>
  <c r="C93" i="19"/>
  <c r="D93" i="19"/>
  <c r="E93" i="19"/>
  <c r="F93" i="19"/>
  <c r="G93" i="19"/>
  <c r="H93" i="19"/>
  <c r="I93" i="19"/>
  <c r="J93" i="19"/>
  <c r="K93" i="19"/>
  <c r="M93" i="19"/>
  <c r="N93" i="19"/>
  <c r="O93" i="19"/>
  <c r="Q93" i="19"/>
  <c r="A94" i="19"/>
  <c r="B94" i="19"/>
  <c r="C94" i="19"/>
  <c r="D94" i="19"/>
  <c r="E94" i="19"/>
  <c r="F94" i="19"/>
  <c r="G94" i="19"/>
  <c r="H94" i="19"/>
  <c r="I94" i="19"/>
  <c r="J94" i="19"/>
  <c r="K94" i="19"/>
  <c r="M94" i="19"/>
  <c r="N94" i="19"/>
  <c r="O94" i="19"/>
  <c r="Q94" i="19"/>
  <c r="A95" i="19"/>
  <c r="B95" i="19"/>
  <c r="C95" i="19"/>
  <c r="D95" i="19"/>
  <c r="E95" i="19"/>
  <c r="F95" i="19"/>
  <c r="G95" i="19"/>
  <c r="H95" i="19"/>
  <c r="I95" i="19"/>
  <c r="J95" i="19"/>
  <c r="K95" i="19"/>
  <c r="M95" i="19"/>
  <c r="N95" i="19"/>
  <c r="O95" i="19"/>
  <c r="Q95" i="19"/>
  <c r="A96" i="19"/>
  <c r="B96" i="19"/>
  <c r="C96" i="19"/>
  <c r="D96" i="19"/>
  <c r="E96" i="19"/>
  <c r="F96" i="19"/>
  <c r="G96" i="19"/>
  <c r="H96" i="19"/>
  <c r="I96" i="19"/>
  <c r="J96" i="19"/>
  <c r="K96" i="19"/>
  <c r="M96" i="19"/>
  <c r="N96" i="19"/>
  <c r="O96" i="19"/>
  <c r="Q96" i="19"/>
  <c r="A97" i="19"/>
  <c r="B97" i="19"/>
  <c r="C97" i="19"/>
  <c r="D97" i="19"/>
  <c r="E97" i="19"/>
  <c r="F97" i="19"/>
  <c r="G97" i="19"/>
  <c r="H97" i="19"/>
  <c r="I97" i="19"/>
  <c r="J97" i="19"/>
  <c r="K97" i="19"/>
  <c r="M97" i="19"/>
  <c r="N97" i="19"/>
  <c r="O97" i="19"/>
  <c r="Q97" i="19"/>
  <c r="A98" i="19"/>
  <c r="B98" i="19"/>
  <c r="C98" i="19"/>
  <c r="D98" i="19"/>
  <c r="E98" i="19"/>
  <c r="F98" i="19"/>
  <c r="G98" i="19"/>
  <c r="H98" i="19"/>
  <c r="I98" i="19"/>
  <c r="J98" i="19"/>
  <c r="K98" i="19"/>
  <c r="M98" i="19"/>
  <c r="N98" i="19"/>
  <c r="O98" i="19"/>
  <c r="Q98" i="19"/>
  <c r="A99" i="19"/>
  <c r="B99" i="19"/>
  <c r="C99" i="19"/>
  <c r="D99" i="19"/>
  <c r="E99" i="19"/>
  <c r="F99" i="19"/>
  <c r="G99" i="19"/>
  <c r="H99" i="19"/>
  <c r="I99" i="19"/>
  <c r="J99" i="19"/>
  <c r="K99" i="19"/>
  <c r="M99" i="19"/>
  <c r="N99" i="19"/>
  <c r="O99" i="19"/>
  <c r="Q99" i="19"/>
  <c r="A100" i="19"/>
  <c r="B100" i="19"/>
  <c r="C100" i="19"/>
  <c r="D100" i="19"/>
  <c r="E100" i="19"/>
  <c r="F100" i="19"/>
  <c r="G100" i="19"/>
  <c r="H100" i="19"/>
  <c r="I100" i="19"/>
  <c r="J100" i="19"/>
  <c r="K100" i="19"/>
  <c r="M100" i="19"/>
  <c r="N100" i="19"/>
  <c r="O100" i="19"/>
  <c r="Q100" i="19"/>
  <c r="A101" i="19"/>
  <c r="B101" i="19"/>
  <c r="C101" i="19"/>
  <c r="D101" i="19"/>
  <c r="E101" i="19"/>
  <c r="F101" i="19"/>
  <c r="G101" i="19"/>
  <c r="H101" i="19"/>
  <c r="I101" i="19"/>
  <c r="J101" i="19"/>
  <c r="K101" i="19"/>
  <c r="M101" i="19"/>
  <c r="N101" i="19"/>
  <c r="O101" i="19"/>
  <c r="Q101" i="19"/>
  <c r="A102" i="19"/>
  <c r="B102" i="19"/>
  <c r="C102" i="19"/>
  <c r="D102" i="19"/>
  <c r="E102" i="19"/>
  <c r="F102" i="19"/>
  <c r="G102" i="19"/>
  <c r="H102" i="19"/>
  <c r="I102" i="19"/>
  <c r="J102" i="19"/>
  <c r="K102" i="19"/>
  <c r="M102" i="19"/>
  <c r="N102" i="19"/>
  <c r="O102" i="19"/>
  <c r="Q102" i="19"/>
  <c r="A103" i="19"/>
  <c r="B103" i="19"/>
  <c r="C103" i="19"/>
  <c r="D103" i="19"/>
  <c r="E103" i="19"/>
  <c r="F103" i="19"/>
  <c r="G103" i="19"/>
  <c r="H103" i="19"/>
  <c r="I103" i="19"/>
  <c r="J103" i="19"/>
  <c r="K103" i="19"/>
  <c r="M103" i="19"/>
  <c r="N103" i="19"/>
  <c r="O103" i="19"/>
  <c r="Q103" i="19"/>
  <c r="A104" i="19"/>
  <c r="B104" i="19"/>
  <c r="C104" i="19"/>
  <c r="D104" i="19"/>
  <c r="E104" i="19"/>
  <c r="F104" i="19"/>
  <c r="G104" i="19"/>
  <c r="H104" i="19"/>
  <c r="I104" i="19"/>
  <c r="J104" i="19"/>
  <c r="K104" i="19"/>
  <c r="M104" i="19"/>
  <c r="N104" i="19"/>
  <c r="O104" i="19"/>
  <c r="Q104" i="19"/>
  <c r="A105" i="19"/>
  <c r="B105" i="19"/>
  <c r="C105" i="19"/>
  <c r="D105" i="19"/>
  <c r="E105" i="19"/>
  <c r="F105" i="19"/>
  <c r="G105" i="19"/>
  <c r="H105" i="19"/>
  <c r="I105" i="19"/>
  <c r="J105" i="19"/>
  <c r="K105" i="19"/>
  <c r="M105" i="19"/>
  <c r="N105" i="19"/>
  <c r="O105" i="19"/>
  <c r="Q105" i="19"/>
  <c r="A106" i="19"/>
  <c r="B106" i="19"/>
  <c r="C106" i="19"/>
  <c r="D106" i="19"/>
  <c r="E106" i="19"/>
  <c r="F106" i="19"/>
  <c r="G106" i="19"/>
  <c r="H106" i="19"/>
  <c r="I106" i="19"/>
  <c r="J106" i="19"/>
  <c r="K106" i="19"/>
  <c r="M106" i="19"/>
  <c r="N106" i="19"/>
  <c r="O106" i="19"/>
  <c r="Q106" i="19"/>
  <c r="A107" i="19"/>
  <c r="B107" i="19"/>
  <c r="C107" i="19"/>
  <c r="D107" i="19"/>
  <c r="E107" i="19"/>
  <c r="F107" i="19"/>
  <c r="G107" i="19"/>
  <c r="H107" i="19"/>
  <c r="I107" i="19"/>
  <c r="J107" i="19"/>
  <c r="K107" i="19"/>
  <c r="M107" i="19"/>
  <c r="N107" i="19"/>
  <c r="O107" i="19"/>
  <c r="Q107" i="19"/>
  <c r="A108" i="19"/>
  <c r="B108" i="19"/>
  <c r="C108" i="19"/>
  <c r="D108" i="19"/>
  <c r="E108" i="19"/>
  <c r="F108" i="19"/>
  <c r="G108" i="19"/>
  <c r="H108" i="19"/>
  <c r="I108" i="19"/>
  <c r="J108" i="19"/>
  <c r="K108" i="19"/>
  <c r="M108" i="19"/>
  <c r="N108" i="19"/>
  <c r="O108" i="19"/>
  <c r="Q108" i="19"/>
  <c r="A109" i="19"/>
  <c r="B109" i="19"/>
  <c r="C109" i="19"/>
  <c r="D109" i="19"/>
  <c r="E109" i="19"/>
  <c r="F109" i="19"/>
  <c r="G109" i="19"/>
  <c r="H109" i="19"/>
  <c r="I109" i="19"/>
  <c r="J109" i="19"/>
  <c r="K109" i="19"/>
  <c r="M109" i="19"/>
  <c r="N109" i="19"/>
  <c r="O109" i="19"/>
  <c r="Q109" i="19"/>
  <c r="A110" i="19"/>
  <c r="B110" i="19"/>
  <c r="C110" i="19"/>
  <c r="D110" i="19"/>
  <c r="E110" i="19"/>
  <c r="F110" i="19"/>
  <c r="G110" i="19"/>
  <c r="H110" i="19"/>
  <c r="I110" i="19"/>
  <c r="J110" i="19"/>
  <c r="K110" i="19"/>
  <c r="M110" i="19"/>
  <c r="N110" i="19"/>
  <c r="O110" i="19"/>
  <c r="Q110" i="19"/>
  <c r="A111" i="19"/>
  <c r="B111" i="19"/>
  <c r="C111" i="19"/>
  <c r="D111" i="19"/>
  <c r="E111" i="19"/>
  <c r="F111" i="19"/>
  <c r="G111" i="19"/>
  <c r="H111" i="19"/>
  <c r="I111" i="19"/>
  <c r="J111" i="19"/>
  <c r="K111" i="19"/>
  <c r="M111" i="19"/>
  <c r="N111" i="19"/>
  <c r="O111" i="19"/>
  <c r="Q111" i="19"/>
  <c r="A112" i="19"/>
  <c r="B112" i="19"/>
  <c r="C112" i="19"/>
  <c r="D112" i="19"/>
  <c r="E112" i="19"/>
  <c r="F112" i="19"/>
  <c r="G112" i="19"/>
  <c r="H112" i="19"/>
  <c r="I112" i="19"/>
  <c r="J112" i="19"/>
  <c r="K112" i="19"/>
  <c r="M112" i="19"/>
  <c r="N112" i="19"/>
  <c r="O112" i="19"/>
  <c r="Q112" i="19"/>
  <c r="A113" i="19"/>
  <c r="B113" i="19"/>
  <c r="D113" i="19"/>
  <c r="E113" i="19"/>
  <c r="F113" i="19"/>
  <c r="G113" i="19"/>
  <c r="H113" i="19"/>
  <c r="I113" i="19"/>
  <c r="J113" i="19"/>
  <c r="K113" i="19"/>
  <c r="M113" i="19"/>
  <c r="N113" i="19"/>
  <c r="O113" i="19"/>
  <c r="Q113" i="19"/>
  <c r="A114" i="19"/>
  <c r="B114" i="19"/>
  <c r="C114" i="19"/>
  <c r="D114" i="19"/>
  <c r="E114" i="19"/>
  <c r="F114" i="19"/>
  <c r="G114" i="19"/>
  <c r="H114" i="19"/>
  <c r="I114" i="19"/>
  <c r="J114" i="19"/>
  <c r="K114" i="19"/>
  <c r="M114" i="19"/>
  <c r="N114" i="19"/>
  <c r="O114" i="19"/>
  <c r="Q114" i="19"/>
  <c r="A115" i="19"/>
  <c r="B115" i="19"/>
  <c r="C115" i="19"/>
  <c r="D115" i="19"/>
  <c r="E115" i="19"/>
  <c r="F115" i="19"/>
  <c r="G115" i="19"/>
  <c r="H115" i="19"/>
  <c r="I115" i="19"/>
  <c r="J115" i="19"/>
  <c r="K115" i="19"/>
  <c r="M115" i="19"/>
  <c r="N115" i="19"/>
  <c r="O115" i="19"/>
  <c r="Q115" i="19"/>
  <c r="A116" i="19"/>
  <c r="B116" i="19"/>
  <c r="C116" i="19"/>
  <c r="D116" i="19"/>
  <c r="E116" i="19"/>
  <c r="F116" i="19"/>
  <c r="G116" i="19"/>
  <c r="H116" i="19"/>
  <c r="I116" i="19"/>
  <c r="J116" i="19"/>
  <c r="K116" i="19"/>
  <c r="M116" i="19"/>
  <c r="N116" i="19"/>
  <c r="O116" i="19"/>
  <c r="Q116" i="19"/>
  <c r="A117" i="19"/>
  <c r="B117" i="19"/>
  <c r="C117" i="19"/>
  <c r="D117" i="19"/>
  <c r="E117" i="19"/>
  <c r="F117" i="19"/>
  <c r="G117" i="19"/>
  <c r="H117" i="19"/>
  <c r="I117" i="19"/>
  <c r="J117" i="19"/>
  <c r="K117" i="19"/>
  <c r="M117" i="19"/>
  <c r="N117" i="19"/>
  <c r="O117" i="19"/>
  <c r="Q117" i="19"/>
  <c r="A118" i="19"/>
  <c r="B118" i="19"/>
  <c r="C118" i="19"/>
  <c r="D118" i="19"/>
  <c r="E118" i="19"/>
  <c r="F118" i="19"/>
  <c r="G118" i="19"/>
  <c r="H118" i="19"/>
  <c r="I118" i="19"/>
  <c r="J118" i="19"/>
  <c r="K118" i="19"/>
  <c r="M118" i="19"/>
  <c r="N118" i="19"/>
  <c r="O118" i="19"/>
  <c r="Q118" i="19"/>
  <c r="A119" i="19"/>
  <c r="B119" i="19"/>
  <c r="C119" i="19"/>
  <c r="D119" i="19"/>
  <c r="E119" i="19"/>
  <c r="F119" i="19"/>
  <c r="G119" i="19"/>
  <c r="H119" i="19"/>
  <c r="I119" i="19"/>
  <c r="J119" i="19"/>
  <c r="K119" i="19"/>
  <c r="M119" i="19"/>
  <c r="N119" i="19"/>
  <c r="O119" i="19"/>
  <c r="Q119" i="19"/>
  <c r="A120" i="19"/>
  <c r="B120" i="19"/>
  <c r="C120" i="19"/>
  <c r="E120" i="19"/>
  <c r="F120" i="19"/>
  <c r="G120" i="19"/>
  <c r="H120" i="19"/>
  <c r="I120" i="19"/>
  <c r="J120" i="19"/>
  <c r="K120" i="19"/>
  <c r="M120" i="19"/>
  <c r="N120" i="19"/>
  <c r="O120" i="19"/>
  <c r="Q120" i="19"/>
  <c r="A121" i="19"/>
  <c r="B121" i="19"/>
  <c r="C121" i="19"/>
  <c r="D121" i="19"/>
  <c r="E121" i="19"/>
  <c r="F121" i="19"/>
  <c r="G121" i="19"/>
  <c r="H121" i="19"/>
  <c r="I121" i="19"/>
  <c r="J121" i="19"/>
  <c r="K121" i="19"/>
  <c r="M121" i="19"/>
  <c r="N121" i="19"/>
  <c r="O121" i="19"/>
  <c r="Q121" i="19"/>
  <c r="A122" i="19"/>
  <c r="B122" i="19"/>
  <c r="C122" i="19"/>
  <c r="D122" i="19"/>
  <c r="E122" i="19"/>
  <c r="F122" i="19"/>
  <c r="G122" i="19"/>
  <c r="H122" i="19"/>
  <c r="I122" i="19"/>
  <c r="J122" i="19"/>
  <c r="K122" i="19"/>
  <c r="M122" i="19"/>
  <c r="N122" i="19"/>
  <c r="O122" i="19"/>
  <c r="Q122" i="19"/>
  <c r="A123" i="19"/>
  <c r="B123" i="19"/>
  <c r="C123" i="19"/>
  <c r="D123" i="19"/>
  <c r="E123" i="19"/>
  <c r="F123" i="19"/>
  <c r="G123" i="19"/>
  <c r="H123" i="19"/>
  <c r="I123" i="19"/>
  <c r="J123" i="19"/>
  <c r="K123" i="19"/>
  <c r="M123" i="19"/>
  <c r="N123" i="19"/>
  <c r="O123" i="19"/>
  <c r="Q123" i="19"/>
  <c r="A124" i="19"/>
  <c r="B124" i="19"/>
  <c r="C124" i="19"/>
  <c r="D124" i="19"/>
  <c r="E124" i="19"/>
  <c r="F124" i="19"/>
  <c r="G124" i="19"/>
  <c r="H124" i="19"/>
  <c r="I124" i="19"/>
  <c r="J124" i="19"/>
  <c r="K124" i="19"/>
  <c r="M124" i="19"/>
  <c r="N124" i="19"/>
  <c r="O124" i="19"/>
  <c r="Q124" i="19"/>
  <c r="A125" i="19"/>
  <c r="B125" i="19"/>
  <c r="C125" i="19"/>
  <c r="D125" i="19"/>
  <c r="E125" i="19"/>
  <c r="F125" i="19"/>
  <c r="G125" i="19"/>
  <c r="H125" i="19"/>
  <c r="I125" i="19"/>
  <c r="J125" i="19"/>
  <c r="K125" i="19"/>
  <c r="M125" i="19"/>
  <c r="N125" i="19"/>
  <c r="O125" i="19"/>
  <c r="Q125" i="19"/>
  <c r="A126" i="19"/>
  <c r="B126" i="19"/>
  <c r="C126" i="19"/>
  <c r="D126" i="19"/>
  <c r="E126" i="19"/>
  <c r="F126" i="19"/>
  <c r="G126" i="19"/>
  <c r="H126" i="19"/>
  <c r="I126" i="19"/>
  <c r="J126" i="19"/>
  <c r="K126" i="19"/>
  <c r="M126" i="19"/>
  <c r="N126" i="19"/>
  <c r="O126" i="19"/>
  <c r="Q126" i="19"/>
  <c r="A127" i="19"/>
  <c r="B127" i="19"/>
  <c r="C127" i="19"/>
  <c r="D127" i="19"/>
  <c r="E127" i="19"/>
  <c r="F127" i="19"/>
  <c r="G127" i="19"/>
  <c r="H127" i="19"/>
  <c r="I127" i="19"/>
  <c r="J127" i="19"/>
  <c r="K127" i="19"/>
  <c r="M127" i="19"/>
  <c r="N127" i="19"/>
  <c r="O127" i="19"/>
  <c r="Q127" i="19"/>
  <c r="A128" i="19"/>
  <c r="B128" i="19"/>
  <c r="C128" i="19"/>
  <c r="D128" i="19"/>
  <c r="E128" i="19"/>
  <c r="F128" i="19"/>
  <c r="G128" i="19"/>
  <c r="H128" i="19"/>
  <c r="I128" i="19"/>
  <c r="J128" i="19"/>
  <c r="K128" i="19"/>
  <c r="M128" i="19"/>
  <c r="N128" i="19"/>
  <c r="O128" i="19"/>
  <c r="Q128" i="19"/>
  <c r="A129" i="19"/>
  <c r="B129" i="19"/>
  <c r="C129" i="19"/>
  <c r="D129" i="19"/>
  <c r="E129" i="19"/>
  <c r="F129" i="19"/>
  <c r="G129" i="19"/>
  <c r="H129" i="19"/>
  <c r="I129" i="19"/>
  <c r="J129" i="19"/>
  <c r="K129" i="19"/>
  <c r="M129" i="19"/>
  <c r="N129" i="19"/>
  <c r="O129" i="19"/>
  <c r="Q129" i="19"/>
  <c r="A130" i="19"/>
  <c r="B130" i="19"/>
  <c r="C130" i="19"/>
  <c r="D130" i="19"/>
  <c r="E130" i="19"/>
  <c r="F130" i="19"/>
  <c r="G130" i="19"/>
  <c r="H130" i="19"/>
  <c r="I130" i="19"/>
  <c r="J130" i="19"/>
  <c r="K130" i="19"/>
  <c r="M130" i="19"/>
  <c r="N130" i="19"/>
  <c r="O130" i="19"/>
  <c r="Q130" i="19"/>
  <c r="A131" i="19"/>
  <c r="B131" i="19"/>
  <c r="C131" i="19"/>
  <c r="D131" i="19"/>
  <c r="E131" i="19"/>
  <c r="F131" i="19"/>
  <c r="G131" i="19"/>
  <c r="H131" i="19"/>
  <c r="I131" i="19"/>
  <c r="J131" i="19"/>
  <c r="K131" i="19"/>
  <c r="M131" i="19"/>
  <c r="N131" i="19"/>
  <c r="O131" i="19"/>
  <c r="Q131" i="19"/>
  <c r="A132" i="19"/>
  <c r="B132" i="19"/>
  <c r="C132" i="19"/>
  <c r="D132" i="19"/>
  <c r="E132" i="19"/>
  <c r="F132" i="19"/>
  <c r="G132" i="19"/>
  <c r="H132" i="19"/>
  <c r="I132" i="19"/>
  <c r="J132" i="19"/>
  <c r="K132" i="19"/>
  <c r="M132" i="19"/>
  <c r="N132" i="19"/>
  <c r="O132" i="19"/>
  <c r="Q132" i="19"/>
  <c r="A133" i="19"/>
  <c r="B133" i="19"/>
  <c r="C133" i="19"/>
  <c r="D133" i="19"/>
  <c r="E133" i="19"/>
  <c r="F133" i="19"/>
  <c r="G133" i="19"/>
  <c r="H133" i="19"/>
  <c r="I133" i="19"/>
  <c r="J133" i="19"/>
  <c r="K133" i="19"/>
  <c r="M133" i="19"/>
  <c r="N133" i="19"/>
  <c r="O133" i="19"/>
  <c r="Q133" i="19"/>
  <c r="A134" i="19"/>
  <c r="B134" i="19"/>
  <c r="C134" i="19"/>
  <c r="D134" i="19"/>
  <c r="E134" i="19"/>
  <c r="F134" i="19"/>
  <c r="G134" i="19"/>
  <c r="H134" i="19"/>
  <c r="I134" i="19"/>
  <c r="J134" i="19"/>
  <c r="K134" i="19"/>
  <c r="M134" i="19"/>
  <c r="N134" i="19"/>
  <c r="O134" i="19"/>
  <c r="Q134" i="19"/>
  <c r="A135" i="19"/>
  <c r="B135" i="19"/>
  <c r="C135" i="19"/>
  <c r="D135" i="19"/>
  <c r="E135" i="19"/>
  <c r="F135" i="19"/>
  <c r="G135" i="19"/>
  <c r="H135" i="19"/>
  <c r="I135" i="19"/>
  <c r="J135" i="19"/>
  <c r="K135" i="19"/>
  <c r="M135" i="19"/>
  <c r="N135" i="19"/>
  <c r="O135" i="19"/>
  <c r="Q135" i="19"/>
  <c r="A136" i="19"/>
  <c r="B136" i="19"/>
  <c r="C136" i="19"/>
  <c r="D136" i="19"/>
  <c r="E136" i="19"/>
  <c r="F136" i="19"/>
  <c r="G136" i="19"/>
  <c r="H136" i="19"/>
  <c r="I136" i="19"/>
  <c r="J136" i="19"/>
  <c r="K136" i="19"/>
  <c r="M136" i="19"/>
  <c r="N136" i="19"/>
  <c r="O136" i="19"/>
  <c r="Q136" i="19"/>
  <c r="A137" i="19"/>
  <c r="B137" i="19"/>
  <c r="C137" i="19"/>
  <c r="E137" i="19"/>
  <c r="F137" i="19"/>
  <c r="G137" i="19"/>
  <c r="H137" i="19"/>
  <c r="I137" i="19"/>
  <c r="J137" i="19"/>
  <c r="K137" i="19"/>
  <c r="M137" i="19"/>
  <c r="N137" i="19"/>
  <c r="O137" i="19"/>
  <c r="Q137" i="19"/>
  <c r="A138" i="19"/>
  <c r="B138" i="19"/>
  <c r="C138" i="19"/>
  <c r="D138" i="19"/>
  <c r="E138" i="19"/>
  <c r="F138" i="19"/>
  <c r="G138" i="19"/>
  <c r="H138" i="19"/>
  <c r="I138" i="19"/>
  <c r="J138" i="19"/>
  <c r="K138" i="19"/>
  <c r="M138" i="19"/>
  <c r="N138" i="19"/>
  <c r="O138" i="19"/>
  <c r="Q138" i="19"/>
  <c r="A139" i="19"/>
  <c r="B139" i="19"/>
  <c r="C139" i="19"/>
  <c r="D139" i="19"/>
  <c r="E139" i="19"/>
  <c r="F139" i="19"/>
  <c r="G139" i="19"/>
  <c r="H139" i="19"/>
  <c r="I139" i="19"/>
  <c r="J139" i="19"/>
  <c r="K139" i="19"/>
  <c r="M139" i="19"/>
  <c r="N139" i="19"/>
  <c r="O139" i="19"/>
  <c r="Q139" i="19"/>
  <c r="A140" i="19"/>
  <c r="B140" i="19"/>
  <c r="C140" i="19"/>
  <c r="D140" i="19"/>
  <c r="E140" i="19"/>
  <c r="F140" i="19"/>
  <c r="G140" i="19"/>
  <c r="H140" i="19"/>
  <c r="I140" i="19"/>
  <c r="J140" i="19"/>
  <c r="K140" i="19"/>
  <c r="M140" i="19"/>
  <c r="N140" i="19"/>
  <c r="O140" i="19"/>
  <c r="Q140" i="19"/>
  <c r="A141" i="19"/>
  <c r="B141" i="19"/>
  <c r="C141" i="19"/>
  <c r="D141" i="19"/>
  <c r="E141" i="19"/>
  <c r="F141" i="19"/>
  <c r="G141" i="19"/>
  <c r="H141" i="19"/>
  <c r="I141" i="19"/>
  <c r="J141" i="19"/>
  <c r="K141" i="19"/>
  <c r="M141" i="19"/>
  <c r="N141" i="19"/>
  <c r="O141" i="19"/>
  <c r="Q141" i="19"/>
  <c r="A142" i="19"/>
  <c r="B142" i="19"/>
  <c r="C142" i="19"/>
  <c r="D142" i="19"/>
  <c r="E142" i="19"/>
  <c r="F142" i="19"/>
  <c r="G142" i="19"/>
  <c r="H142" i="19"/>
  <c r="I142" i="19"/>
  <c r="J142" i="19"/>
  <c r="K142" i="19"/>
  <c r="M142" i="19"/>
  <c r="N142" i="19"/>
  <c r="O142" i="19"/>
  <c r="Q142" i="19"/>
  <c r="A143" i="19"/>
  <c r="B143" i="19"/>
  <c r="C143" i="19"/>
  <c r="E143" i="19"/>
  <c r="F143" i="19"/>
  <c r="G143" i="19"/>
  <c r="H143" i="19"/>
  <c r="I143" i="19"/>
  <c r="J143" i="19"/>
  <c r="K143" i="19"/>
  <c r="M143" i="19"/>
  <c r="N143" i="19"/>
  <c r="O143" i="19"/>
  <c r="Q143" i="19"/>
  <c r="A144" i="19"/>
  <c r="B144" i="19"/>
  <c r="C144" i="19"/>
  <c r="D144" i="19"/>
  <c r="E144" i="19"/>
  <c r="F144" i="19"/>
  <c r="G144" i="19"/>
  <c r="H144" i="19"/>
  <c r="I144" i="19"/>
  <c r="J144" i="19"/>
  <c r="K144" i="19"/>
  <c r="M144" i="19"/>
  <c r="N144" i="19"/>
  <c r="O144" i="19"/>
  <c r="Q144" i="19"/>
  <c r="A145" i="19"/>
  <c r="B145" i="19"/>
  <c r="C145" i="19"/>
  <c r="D145" i="19"/>
  <c r="E145" i="19"/>
  <c r="F145" i="19"/>
  <c r="G145" i="19"/>
  <c r="H145" i="19"/>
  <c r="I145" i="19"/>
  <c r="J145" i="19"/>
  <c r="K145" i="19"/>
  <c r="M145" i="19"/>
  <c r="N145" i="19"/>
  <c r="O145" i="19"/>
  <c r="Q145" i="19"/>
  <c r="A146" i="19"/>
  <c r="B146" i="19"/>
  <c r="C146" i="19"/>
  <c r="D146" i="19"/>
  <c r="E146" i="19"/>
  <c r="F146" i="19"/>
  <c r="G146" i="19"/>
  <c r="H146" i="19"/>
  <c r="I146" i="19"/>
  <c r="J146" i="19"/>
  <c r="K146" i="19"/>
  <c r="M146" i="19"/>
  <c r="N146" i="19"/>
  <c r="O146" i="19"/>
  <c r="Q146" i="19"/>
  <c r="A147" i="19"/>
  <c r="B147" i="19"/>
  <c r="C147" i="19"/>
  <c r="D147" i="19"/>
  <c r="E147" i="19"/>
  <c r="F147" i="19"/>
  <c r="G147" i="19"/>
  <c r="H147" i="19"/>
  <c r="I147" i="19"/>
  <c r="J147" i="19"/>
  <c r="K147" i="19"/>
  <c r="M147" i="19"/>
  <c r="N147" i="19"/>
  <c r="O147" i="19"/>
  <c r="Q147" i="19"/>
  <c r="A148" i="19"/>
  <c r="B148" i="19"/>
  <c r="C148" i="19"/>
  <c r="D148" i="19"/>
  <c r="E148" i="19"/>
  <c r="F148" i="19"/>
  <c r="G148" i="19"/>
  <c r="H148" i="19"/>
  <c r="I148" i="19"/>
  <c r="J148" i="19"/>
  <c r="K148" i="19"/>
  <c r="M148" i="19"/>
  <c r="N148" i="19"/>
  <c r="O148" i="19"/>
  <c r="Q148" i="19"/>
  <c r="A149" i="19"/>
  <c r="B149" i="19"/>
  <c r="C149" i="19"/>
  <c r="D149" i="19"/>
  <c r="E149" i="19"/>
  <c r="F149" i="19"/>
  <c r="G149" i="19"/>
  <c r="H149" i="19"/>
  <c r="I149" i="19"/>
  <c r="J149" i="19"/>
  <c r="K149" i="19"/>
  <c r="M149" i="19"/>
  <c r="N149" i="19"/>
  <c r="O149" i="19"/>
  <c r="Q149" i="19"/>
  <c r="A150" i="19"/>
  <c r="B150" i="19"/>
  <c r="C150" i="19"/>
  <c r="D150" i="19"/>
  <c r="E150" i="19"/>
  <c r="F150" i="19"/>
  <c r="G150" i="19"/>
  <c r="H150" i="19"/>
  <c r="I150" i="19"/>
  <c r="J150" i="19"/>
  <c r="K150" i="19"/>
  <c r="M150" i="19"/>
  <c r="N150" i="19"/>
  <c r="O150" i="19"/>
  <c r="Q150" i="19"/>
  <c r="A151" i="19"/>
  <c r="B151" i="19"/>
  <c r="C151" i="19"/>
  <c r="D151" i="19"/>
  <c r="E151" i="19"/>
  <c r="F151" i="19"/>
  <c r="G151" i="19"/>
  <c r="H151" i="19"/>
  <c r="I151" i="19"/>
  <c r="J151" i="19"/>
  <c r="K151" i="19"/>
  <c r="M151" i="19"/>
  <c r="N151" i="19"/>
  <c r="O151" i="19"/>
  <c r="Q151" i="19"/>
  <c r="A152" i="19"/>
  <c r="B152" i="19"/>
  <c r="C152" i="19"/>
  <c r="D152" i="19"/>
  <c r="E152" i="19"/>
  <c r="F152" i="19"/>
  <c r="G152" i="19"/>
  <c r="H152" i="19"/>
  <c r="I152" i="19"/>
  <c r="J152" i="19"/>
  <c r="K152" i="19"/>
  <c r="M152" i="19"/>
  <c r="N152" i="19"/>
  <c r="O152" i="19"/>
  <c r="Q152" i="19"/>
  <c r="A153" i="19"/>
  <c r="B153" i="19"/>
  <c r="C153" i="19"/>
  <c r="D153" i="19"/>
  <c r="E153" i="19"/>
  <c r="F153" i="19"/>
  <c r="G153" i="19"/>
  <c r="H153" i="19"/>
  <c r="I153" i="19"/>
  <c r="J153" i="19"/>
  <c r="K153" i="19"/>
  <c r="M153" i="19"/>
  <c r="N153" i="19"/>
  <c r="O153" i="19"/>
  <c r="Q153" i="19"/>
  <c r="A154" i="19"/>
  <c r="B154" i="19"/>
  <c r="C154" i="19"/>
  <c r="D154" i="19"/>
  <c r="E154" i="19"/>
  <c r="F154" i="19"/>
  <c r="G154" i="19"/>
  <c r="H154" i="19"/>
  <c r="I154" i="19"/>
  <c r="J154" i="19"/>
  <c r="K154" i="19"/>
  <c r="M154" i="19"/>
  <c r="N154" i="19"/>
  <c r="O154" i="19"/>
  <c r="Q154" i="19"/>
  <c r="A155" i="19"/>
  <c r="B155" i="19"/>
  <c r="C155" i="19"/>
  <c r="D155" i="19"/>
  <c r="E155" i="19"/>
  <c r="F155" i="19"/>
  <c r="G155" i="19"/>
  <c r="H155" i="19"/>
  <c r="I155" i="19"/>
  <c r="J155" i="19"/>
  <c r="K155" i="19"/>
  <c r="M155" i="19"/>
  <c r="N155" i="19"/>
  <c r="O155" i="19"/>
  <c r="Q155" i="19"/>
  <c r="A156" i="19"/>
  <c r="B156" i="19"/>
  <c r="C156" i="19"/>
  <c r="D156" i="19"/>
  <c r="E156" i="19"/>
  <c r="F156" i="19"/>
  <c r="G156" i="19"/>
  <c r="H156" i="19"/>
  <c r="I156" i="19"/>
  <c r="J156" i="19"/>
  <c r="K156" i="19"/>
  <c r="M156" i="19"/>
  <c r="N156" i="19"/>
  <c r="O156" i="19"/>
  <c r="Q156" i="19"/>
  <c r="A157" i="19"/>
  <c r="B157" i="19"/>
  <c r="C157" i="19"/>
  <c r="D157" i="19"/>
  <c r="E157" i="19"/>
  <c r="F157" i="19"/>
  <c r="G157" i="19"/>
  <c r="H157" i="19"/>
  <c r="I157" i="19"/>
  <c r="J157" i="19"/>
  <c r="K157" i="19"/>
  <c r="M157" i="19"/>
  <c r="N157" i="19"/>
  <c r="O157" i="19"/>
  <c r="Q157" i="19"/>
  <c r="A158" i="19"/>
  <c r="B158" i="19"/>
  <c r="C158" i="19"/>
  <c r="D158" i="19"/>
  <c r="E158" i="19"/>
  <c r="F158" i="19"/>
  <c r="G158" i="19"/>
  <c r="H158" i="19"/>
  <c r="I158" i="19"/>
  <c r="J158" i="19"/>
  <c r="K158" i="19"/>
  <c r="M158" i="19"/>
  <c r="N158" i="19"/>
  <c r="O158" i="19"/>
  <c r="Q158" i="19"/>
  <c r="A159" i="19"/>
  <c r="B159" i="19"/>
  <c r="C159" i="19"/>
  <c r="D159" i="19"/>
  <c r="E159" i="19"/>
  <c r="F159" i="19"/>
  <c r="G159" i="19"/>
  <c r="H159" i="19"/>
  <c r="I159" i="19"/>
  <c r="J159" i="19"/>
  <c r="K159" i="19"/>
  <c r="M159" i="19"/>
  <c r="N159" i="19"/>
  <c r="O159" i="19"/>
  <c r="Q159" i="19"/>
  <c r="A160" i="19"/>
  <c r="B160" i="19"/>
  <c r="C160" i="19"/>
  <c r="D160" i="19"/>
  <c r="E160" i="19"/>
  <c r="F160" i="19"/>
  <c r="G160" i="19"/>
  <c r="H160" i="19"/>
  <c r="I160" i="19"/>
  <c r="J160" i="19"/>
  <c r="K160" i="19"/>
  <c r="M160" i="19"/>
  <c r="N160" i="19"/>
  <c r="O160" i="19"/>
  <c r="Q160" i="19"/>
  <c r="A161" i="19"/>
  <c r="B161" i="19"/>
  <c r="C161" i="19"/>
  <c r="D161" i="19"/>
  <c r="E161" i="19"/>
  <c r="F161" i="19"/>
  <c r="G161" i="19"/>
  <c r="H161" i="19"/>
  <c r="I161" i="19"/>
  <c r="J161" i="19"/>
  <c r="K161" i="19"/>
  <c r="M161" i="19"/>
  <c r="N161" i="19"/>
  <c r="O161" i="19"/>
  <c r="Q161" i="19"/>
  <c r="A162" i="19"/>
  <c r="B162" i="19"/>
  <c r="C162" i="19"/>
  <c r="D162" i="19"/>
  <c r="E162" i="19"/>
  <c r="F162" i="19"/>
  <c r="G162" i="19"/>
  <c r="H162" i="19"/>
  <c r="I162" i="19"/>
  <c r="J162" i="19"/>
  <c r="K162" i="19"/>
  <c r="M162" i="19"/>
  <c r="N162" i="19"/>
  <c r="O162" i="19"/>
  <c r="Q162" i="19"/>
  <c r="A163" i="19"/>
  <c r="B163" i="19"/>
  <c r="C163" i="19"/>
  <c r="D163" i="19"/>
  <c r="E163" i="19"/>
  <c r="F163" i="19"/>
  <c r="G163" i="19"/>
  <c r="H163" i="19"/>
  <c r="I163" i="19"/>
  <c r="J163" i="19"/>
  <c r="K163" i="19"/>
  <c r="M163" i="19"/>
  <c r="N163" i="19"/>
  <c r="O163" i="19"/>
  <c r="Q163" i="19"/>
  <c r="A164" i="19"/>
  <c r="B164" i="19"/>
  <c r="C164" i="19"/>
  <c r="D164" i="19"/>
  <c r="E164" i="19"/>
  <c r="F164" i="19"/>
  <c r="G164" i="19"/>
  <c r="H164" i="19"/>
  <c r="I164" i="19"/>
  <c r="J164" i="19"/>
  <c r="K164" i="19"/>
  <c r="M164" i="19"/>
  <c r="N164" i="19"/>
  <c r="O164" i="19"/>
  <c r="Q164" i="19"/>
  <c r="A165" i="19"/>
  <c r="B165" i="19"/>
  <c r="C165" i="19"/>
  <c r="D165" i="19"/>
  <c r="E165" i="19"/>
  <c r="F165" i="19"/>
  <c r="G165" i="19"/>
  <c r="H165" i="19"/>
  <c r="I165" i="19"/>
  <c r="J165" i="19"/>
  <c r="K165" i="19"/>
  <c r="M165" i="19"/>
  <c r="N165" i="19"/>
  <c r="O165" i="19"/>
  <c r="Q165" i="19"/>
  <c r="A166" i="19"/>
  <c r="B166" i="19"/>
  <c r="C166" i="19"/>
  <c r="D166" i="19"/>
  <c r="E166" i="19"/>
  <c r="F166" i="19"/>
  <c r="G166" i="19"/>
  <c r="H166" i="19"/>
  <c r="I166" i="19"/>
  <c r="J166" i="19"/>
  <c r="K166" i="19"/>
  <c r="M166" i="19"/>
  <c r="N166" i="19"/>
  <c r="O166" i="19"/>
  <c r="Q166" i="19"/>
  <c r="A167" i="19"/>
  <c r="B167" i="19"/>
  <c r="C167" i="19"/>
  <c r="D167" i="19"/>
  <c r="E167" i="19"/>
  <c r="F167" i="19"/>
  <c r="G167" i="19"/>
  <c r="H167" i="19"/>
  <c r="I167" i="19"/>
  <c r="J167" i="19"/>
  <c r="K167" i="19"/>
  <c r="M167" i="19"/>
  <c r="N167" i="19"/>
  <c r="O167" i="19"/>
  <c r="Q167" i="19"/>
  <c r="A168" i="19"/>
  <c r="B168" i="19"/>
  <c r="C168" i="19"/>
  <c r="D168" i="19"/>
  <c r="E168" i="19"/>
  <c r="F168" i="19"/>
  <c r="G168" i="19"/>
  <c r="H168" i="19"/>
  <c r="I168" i="19"/>
  <c r="J168" i="19"/>
  <c r="K168" i="19"/>
  <c r="M168" i="19"/>
  <c r="N168" i="19"/>
  <c r="O168" i="19"/>
  <c r="Q168" i="19"/>
  <c r="A169" i="19"/>
  <c r="B169" i="19"/>
  <c r="C169" i="19"/>
  <c r="D169" i="19"/>
  <c r="E169" i="19"/>
  <c r="F169" i="19"/>
  <c r="G169" i="19"/>
  <c r="H169" i="19"/>
  <c r="I169" i="19"/>
  <c r="J169" i="19"/>
  <c r="K169" i="19"/>
  <c r="M169" i="19"/>
  <c r="N169" i="19"/>
  <c r="O169" i="19"/>
  <c r="Q169" i="19"/>
  <c r="A170" i="19"/>
  <c r="B170" i="19"/>
  <c r="C170" i="19"/>
  <c r="D170" i="19"/>
  <c r="E170" i="19"/>
  <c r="F170" i="19"/>
  <c r="G170" i="19"/>
  <c r="H170" i="19"/>
  <c r="I170" i="19"/>
  <c r="J170" i="19"/>
  <c r="K170" i="19"/>
  <c r="M170" i="19"/>
  <c r="N170" i="19"/>
  <c r="O170" i="19"/>
  <c r="Q170" i="19"/>
  <c r="A171" i="19"/>
  <c r="B171" i="19"/>
  <c r="C171" i="19"/>
  <c r="D171" i="19"/>
  <c r="E171" i="19"/>
  <c r="F171" i="19"/>
  <c r="G171" i="19"/>
  <c r="H171" i="19"/>
  <c r="I171" i="19"/>
  <c r="J171" i="19"/>
  <c r="K171" i="19"/>
  <c r="M171" i="19"/>
  <c r="N171" i="19"/>
  <c r="O171" i="19"/>
  <c r="Q171" i="19"/>
  <c r="A172" i="19"/>
  <c r="B172" i="19"/>
  <c r="C172" i="19"/>
  <c r="D172" i="19"/>
  <c r="E172" i="19"/>
  <c r="F172" i="19"/>
  <c r="G172" i="19"/>
  <c r="H172" i="19"/>
  <c r="I172" i="19"/>
  <c r="J172" i="19"/>
  <c r="K172" i="19"/>
  <c r="M172" i="19"/>
  <c r="N172" i="19"/>
  <c r="O172" i="19"/>
  <c r="Q172" i="19"/>
  <c r="A173" i="19"/>
  <c r="B173" i="19"/>
  <c r="C173" i="19"/>
  <c r="D173" i="19"/>
  <c r="E173" i="19"/>
  <c r="F173" i="19"/>
  <c r="G173" i="19"/>
  <c r="H173" i="19"/>
  <c r="I173" i="19"/>
  <c r="J173" i="19"/>
  <c r="K173" i="19"/>
  <c r="M173" i="19"/>
  <c r="N173" i="19"/>
  <c r="O173" i="19"/>
  <c r="Q173" i="19"/>
  <c r="A174" i="19"/>
  <c r="B174" i="19"/>
  <c r="C174" i="19"/>
  <c r="D174" i="19"/>
  <c r="E174" i="19"/>
  <c r="F174" i="19"/>
  <c r="G174" i="19"/>
  <c r="H174" i="19"/>
  <c r="I174" i="19"/>
  <c r="J174" i="19"/>
  <c r="K174" i="19"/>
  <c r="M174" i="19"/>
  <c r="N174" i="19"/>
  <c r="O174" i="19"/>
  <c r="Q174" i="19"/>
  <c r="A175" i="19"/>
  <c r="B175" i="19"/>
  <c r="D175" i="19"/>
  <c r="E175" i="19"/>
  <c r="F175" i="19"/>
  <c r="G175" i="19"/>
  <c r="H175" i="19"/>
  <c r="I175" i="19"/>
  <c r="J175" i="19"/>
  <c r="K175" i="19"/>
  <c r="M175" i="19"/>
  <c r="N175" i="19"/>
  <c r="O175" i="19"/>
  <c r="Q175" i="19"/>
  <c r="A176" i="19"/>
  <c r="B176" i="19"/>
  <c r="C176" i="19"/>
  <c r="D176" i="19"/>
  <c r="E176" i="19"/>
  <c r="F176" i="19"/>
  <c r="G176" i="19"/>
  <c r="H176" i="19"/>
  <c r="I176" i="19"/>
  <c r="J176" i="19"/>
  <c r="K176" i="19"/>
  <c r="M176" i="19"/>
  <c r="N176" i="19"/>
  <c r="O176" i="19"/>
  <c r="Q176" i="19"/>
  <c r="A177" i="19"/>
  <c r="B177" i="19"/>
  <c r="C177" i="19"/>
  <c r="D177" i="19"/>
  <c r="E177" i="19"/>
  <c r="F177" i="19"/>
  <c r="G177" i="19"/>
  <c r="H177" i="19"/>
  <c r="I177" i="19"/>
  <c r="J177" i="19"/>
  <c r="K177" i="19"/>
  <c r="M177" i="19"/>
  <c r="N177" i="19"/>
  <c r="O177" i="19"/>
  <c r="Q177" i="19"/>
  <c r="A178" i="19"/>
  <c r="B178" i="19"/>
  <c r="C178" i="19"/>
  <c r="D178" i="19"/>
  <c r="E178" i="19"/>
  <c r="F178" i="19"/>
  <c r="G178" i="19"/>
  <c r="H178" i="19"/>
  <c r="I178" i="19"/>
  <c r="J178" i="19"/>
  <c r="K178" i="19"/>
  <c r="M178" i="19"/>
  <c r="N178" i="19"/>
  <c r="O178" i="19"/>
  <c r="Q178" i="19"/>
  <c r="A179" i="19"/>
  <c r="B179" i="19"/>
  <c r="C179" i="19"/>
  <c r="D179" i="19"/>
  <c r="E179" i="19"/>
  <c r="F179" i="19"/>
  <c r="G179" i="19"/>
  <c r="H179" i="19"/>
  <c r="I179" i="19"/>
  <c r="J179" i="19"/>
  <c r="K179" i="19"/>
  <c r="M179" i="19"/>
  <c r="N179" i="19"/>
  <c r="O179" i="19"/>
  <c r="Q179" i="19"/>
  <c r="A180" i="19"/>
  <c r="B180" i="19"/>
  <c r="C180" i="19"/>
  <c r="D180" i="19"/>
  <c r="E180" i="19"/>
  <c r="F180" i="19"/>
  <c r="G180" i="19"/>
  <c r="H180" i="19"/>
  <c r="I180" i="19"/>
  <c r="J180" i="19"/>
  <c r="K180" i="19"/>
  <c r="M180" i="19"/>
  <c r="N180" i="19"/>
  <c r="O180" i="19"/>
  <c r="Q180" i="19"/>
  <c r="A181" i="19"/>
  <c r="B181" i="19"/>
  <c r="C181" i="19"/>
  <c r="D181" i="19"/>
  <c r="E181" i="19"/>
  <c r="F181" i="19"/>
  <c r="G181" i="19"/>
  <c r="H181" i="19"/>
  <c r="I181" i="19"/>
  <c r="J181" i="19"/>
  <c r="K181" i="19"/>
  <c r="M181" i="19"/>
  <c r="N181" i="19"/>
  <c r="O181" i="19"/>
  <c r="Q181" i="19"/>
  <c r="C180" i="25" s="1"/>
  <c r="A182" i="19"/>
  <c r="B182" i="19"/>
  <c r="C182" i="19"/>
  <c r="D182" i="19"/>
  <c r="E182" i="19"/>
  <c r="F182" i="19"/>
  <c r="G182" i="19"/>
  <c r="H182" i="19"/>
  <c r="I182" i="19"/>
  <c r="J182" i="19"/>
  <c r="K182" i="19"/>
  <c r="M182" i="19"/>
  <c r="N182" i="19"/>
  <c r="O182" i="19"/>
  <c r="Q182" i="19"/>
  <c r="A183" i="19"/>
  <c r="B183" i="19"/>
  <c r="C183" i="19"/>
  <c r="D183" i="19"/>
  <c r="E183" i="19"/>
  <c r="F183" i="19"/>
  <c r="G183" i="19"/>
  <c r="H183" i="19"/>
  <c r="I183" i="19"/>
  <c r="J183" i="19"/>
  <c r="K183" i="19"/>
  <c r="M183" i="19"/>
  <c r="N183" i="19"/>
  <c r="O183" i="19"/>
  <c r="Q183" i="19"/>
  <c r="A184" i="19"/>
  <c r="B184" i="19"/>
  <c r="C184" i="19"/>
  <c r="D184" i="19"/>
  <c r="E184" i="19"/>
  <c r="F184" i="19"/>
  <c r="G184" i="19"/>
  <c r="H184" i="19"/>
  <c r="I184" i="19"/>
  <c r="J184" i="19"/>
  <c r="K184" i="19"/>
  <c r="M184" i="19"/>
  <c r="N184" i="19"/>
  <c r="O184" i="19"/>
  <c r="Q184" i="19"/>
  <c r="A185" i="19"/>
  <c r="B185" i="19"/>
  <c r="C185" i="19"/>
  <c r="D185" i="19"/>
  <c r="E185" i="19"/>
  <c r="F185" i="19"/>
  <c r="G185" i="19"/>
  <c r="H185" i="19"/>
  <c r="I185" i="19"/>
  <c r="J185" i="19"/>
  <c r="K185" i="19"/>
  <c r="M185" i="19"/>
  <c r="N185" i="19"/>
  <c r="O185" i="19"/>
  <c r="Q185" i="19"/>
  <c r="A186" i="19"/>
  <c r="B186" i="19"/>
  <c r="C186" i="19"/>
  <c r="D186" i="19"/>
  <c r="E186" i="19"/>
  <c r="F186" i="19"/>
  <c r="G186" i="19"/>
  <c r="H186" i="19"/>
  <c r="I186" i="19"/>
  <c r="J186" i="19"/>
  <c r="K186" i="19"/>
  <c r="M186" i="19"/>
  <c r="N186" i="19"/>
  <c r="O186" i="19"/>
  <c r="Q186" i="19"/>
  <c r="A187" i="19"/>
  <c r="B187" i="19"/>
  <c r="C187" i="19"/>
  <c r="D187" i="19"/>
  <c r="E187" i="19"/>
  <c r="F187" i="19"/>
  <c r="G187" i="19"/>
  <c r="H187" i="19"/>
  <c r="I187" i="19"/>
  <c r="J187" i="19"/>
  <c r="K187" i="19"/>
  <c r="M187" i="19"/>
  <c r="N187" i="19"/>
  <c r="O187" i="19"/>
  <c r="Q187" i="19"/>
  <c r="A188" i="19"/>
  <c r="B188" i="19"/>
  <c r="C188" i="19"/>
  <c r="D188" i="19"/>
  <c r="E188" i="19"/>
  <c r="F188" i="19"/>
  <c r="G188" i="19"/>
  <c r="H188" i="19"/>
  <c r="I188" i="19"/>
  <c r="J188" i="19"/>
  <c r="K188" i="19"/>
  <c r="M188" i="19"/>
  <c r="N188" i="19"/>
  <c r="O188" i="19"/>
  <c r="Q188" i="19"/>
  <c r="A189" i="19"/>
  <c r="B189" i="19"/>
  <c r="C189" i="19"/>
  <c r="D189" i="19"/>
  <c r="E189" i="19"/>
  <c r="F189" i="19"/>
  <c r="G189" i="19"/>
  <c r="H189" i="19"/>
  <c r="I189" i="19"/>
  <c r="J189" i="19"/>
  <c r="K189" i="19"/>
  <c r="M189" i="19"/>
  <c r="N189" i="19"/>
  <c r="O189" i="19"/>
  <c r="Q189" i="19"/>
  <c r="A190" i="19"/>
  <c r="B190" i="19"/>
  <c r="C190" i="19"/>
  <c r="D190" i="19"/>
  <c r="E190" i="19"/>
  <c r="F190" i="19"/>
  <c r="G190" i="19"/>
  <c r="H190" i="19"/>
  <c r="I190" i="19"/>
  <c r="J190" i="19"/>
  <c r="K190" i="19"/>
  <c r="M190" i="19"/>
  <c r="N190" i="19"/>
  <c r="O190" i="19"/>
  <c r="Q190" i="19"/>
  <c r="A191" i="19"/>
  <c r="B191" i="19"/>
  <c r="C191" i="19"/>
  <c r="D191" i="19"/>
  <c r="E191" i="19"/>
  <c r="F191" i="19"/>
  <c r="G191" i="19"/>
  <c r="H191" i="19"/>
  <c r="I191" i="19"/>
  <c r="J191" i="19"/>
  <c r="K191" i="19"/>
  <c r="M191" i="19"/>
  <c r="N191" i="19"/>
  <c r="O191" i="19"/>
  <c r="Q191" i="19"/>
  <c r="A192" i="19"/>
  <c r="B192" i="19"/>
  <c r="C192" i="19"/>
  <c r="D192" i="19"/>
  <c r="E192" i="19"/>
  <c r="F192" i="19"/>
  <c r="G192" i="19"/>
  <c r="H192" i="19"/>
  <c r="I192" i="19"/>
  <c r="J192" i="19"/>
  <c r="K192" i="19"/>
  <c r="M192" i="19"/>
  <c r="N192" i="19"/>
  <c r="O192" i="19"/>
  <c r="Q192" i="19"/>
  <c r="A193" i="19"/>
  <c r="B193" i="19"/>
  <c r="C193" i="19"/>
  <c r="D193" i="19"/>
  <c r="E193" i="19"/>
  <c r="F193" i="19"/>
  <c r="G193" i="19"/>
  <c r="H193" i="19"/>
  <c r="I193" i="19"/>
  <c r="J193" i="19"/>
  <c r="K193" i="19"/>
  <c r="M193" i="19"/>
  <c r="N193" i="19"/>
  <c r="O193" i="19"/>
  <c r="Q193" i="19"/>
  <c r="A194" i="19"/>
  <c r="B194" i="19"/>
  <c r="C194" i="19"/>
  <c r="D194" i="19"/>
  <c r="E194" i="19"/>
  <c r="F194" i="19"/>
  <c r="G194" i="19"/>
  <c r="H194" i="19"/>
  <c r="I194" i="19"/>
  <c r="J194" i="19"/>
  <c r="K194" i="19"/>
  <c r="M194" i="19"/>
  <c r="N194" i="19"/>
  <c r="O194" i="19"/>
  <c r="Q194" i="19"/>
  <c r="A195" i="19"/>
  <c r="B195" i="19"/>
  <c r="C195" i="19"/>
  <c r="D195" i="19"/>
  <c r="E195" i="19"/>
  <c r="F195" i="19"/>
  <c r="G195" i="19"/>
  <c r="H195" i="19"/>
  <c r="I195" i="19"/>
  <c r="J195" i="19"/>
  <c r="K195" i="19"/>
  <c r="M195" i="19"/>
  <c r="N195" i="19"/>
  <c r="O195" i="19"/>
  <c r="Q195" i="19"/>
  <c r="A196" i="19"/>
  <c r="B196" i="19"/>
  <c r="C196" i="19"/>
  <c r="D196" i="19"/>
  <c r="E196" i="19"/>
  <c r="F196" i="19"/>
  <c r="G196" i="19"/>
  <c r="H196" i="19"/>
  <c r="I196" i="19"/>
  <c r="J196" i="19"/>
  <c r="K196" i="19"/>
  <c r="M196" i="19"/>
  <c r="N196" i="19"/>
  <c r="O196" i="19"/>
  <c r="Q196" i="19"/>
  <c r="A197" i="19"/>
  <c r="B197" i="19"/>
  <c r="C197" i="19"/>
  <c r="D197" i="19"/>
  <c r="E197" i="19"/>
  <c r="F197" i="19"/>
  <c r="G197" i="19"/>
  <c r="H197" i="19"/>
  <c r="I197" i="19"/>
  <c r="J197" i="19"/>
  <c r="K197" i="19"/>
  <c r="M197" i="19"/>
  <c r="N197" i="19"/>
  <c r="O197" i="19"/>
  <c r="Q197" i="19"/>
  <c r="A198" i="19"/>
  <c r="B198" i="19"/>
  <c r="C198" i="19"/>
  <c r="D198" i="19"/>
  <c r="E198" i="19"/>
  <c r="F198" i="19"/>
  <c r="G198" i="19"/>
  <c r="H198" i="19"/>
  <c r="I198" i="19"/>
  <c r="J198" i="19"/>
  <c r="K198" i="19"/>
  <c r="M198" i="19"/>
  <c r="N198" i="19"/>
  <c r="O198" i="19"/>
  <c r="Q198" i="19"/>
  <c r="A199" i="19"/>
  <c r="B199" i="19"/>
  <c r="C199" i="19"/>
  <c r="D199" i="19"/>
  <c r="E199" i="19"/>
  <c r="F199" i="19"/>
  <c r="G199" i="19"/>
  <c r="H199" i="19"/>
  <c r="I199" i="19"/>
  <c r="J199" i="19"/>
  <c r="K199" i="19"/>
  <c r="M199" i="19"/>
  <c r="N199" i="19"/>
  <c r="O199" i="19"/>
  <c r="Q199" i="19"/>
  <c r="A200" i="19"/>
  <c r="B200" i="19"/>
  <c r="C200" i="19"/>
  <c r="D200" i="19"/>
  <c r="E200" i="19"/>
  <c r="F200" i="19"/>
  <c r="G200" i="19"/>
  <c r="H200" i="19"/>
  <c r="I200" i="19"/>
  <c r="J200" i="19"/>
  <c r="K200" i="19"/>
  <c r="M200" i="19"/>
  <c r="N200" i="19"/>
  <c r="O200" i="19"/>
  <c r="Q200" i="19"/>
  <c r="A201" i="19"/>
  <c r="B201" i="19"/>
  <c r="C201" i="19"/>
  <c r="D201" i="19"/>
  <c r="E201" i="19"/>
  <c r="F201" i="19"/>
  <c r="G201" i="19"/>
  <c r="H201" i="19"/>
  <c r="I201" i="19"/>
  <c r="J201" i="19"/>
  <c r="K201" i="19"/>
  <c r="M201" i="19"/>
  <c r="N201" i="19"/>
  <c r="O201" i="19"/>
  <c r="Q201" i="19"/>
  <c r="A202" i="19"/>
  <c r="B202" i="19"/>
  <c r="C202" i="19"/>
  <c r="D202" i="19"/>
  <c r="E202" i="19"/>
  <c r="F202" i="19"/>
  <c r="G202" i="19"/>
  <c r="H202" i="19"/>
  <c r="I202" i="19"/>
  <c r="J202" i="19"/>
  <c r="K202" i="19"/>
  <c r="M202" i="19"/>
  <c r="N202" i="19"/>
  <c r="O202" i="19"/>
  <c r="Q202" i="19"/>
  <c r="A203" i="19"/>
  <c r="B203" i="19"/>
  <c r="C203" i="19"/>
  <c r="D203" i="19"/>
  <c r="E203" i="19"/>
  <c r="F203" i="19"/>
  <c r="G203" i="19"/>
  <c r="H203" i="19"/>
  <c r="I203" i="19"/>
  <c r="J203" i="19"/>
  <c r="K203" i="19"/>
  <c r="M203" i="19"/>
  <c r="N203" i="19"/>
  <c r="O203" i="19"/>
  <c r="Q203" i="19"/>
  <c r="A204" i="19"/>
  <c r="B204" i="19"/>
  <c r="C204" i="19"/>
  <c r="D204" i="19"/>
  <c r="E204" i="19"/>
  <c r="F204" i="19"/>
  <c r="G204" i="19"/>
  <c r="H204" i="19"/>
  <c r="I204" i="19"/>
  <c r="J204" i="19"/>
  <c r="K204" i="19"/>
  <c r="M204" i="19"/>
  <c r="N204" i="19"/>
  <c r="O204" i="19"/>
  <c r="Q204" i="19"/>
  <c r="A205" i="19"/>
  <c r="B205" i="19"/>
  <c r="C205" i="19"/>
  <c r="D205" i="19"/>
  <c r="E205" i="19"/>
  <c r="F205" i="19"/>
  <c r="G205" i="19"/>
  <c r="H205" i="19"/>
  <c r="I205" i="19"/>
  <c r="J205" i="19"/>
  <c r="K205" i="19"/>
  <c r="M205" i="19"/>
  <c r="N205" i="19"/>
  <c r="O205" i="19"/>
  <c r="Q205" i="19"/>
  <c r="A206" i="19"/>
  <c r="B206" i="19"/>
  <c r="C206" i="19"/>
  <c r="D206" i="19"/>
  <c r="E206" i="19"/>
  <c r="F206" i="19"/>
  <c r="G206" i="19"/>
  <c r="H206" i="19"/>
  <c r="I206" i="19"/>
  <c r="J206" i="19"/>
  <c r="K206" i="19"/>
  <c r="M206" i="19"/>
  <c r="N206" i="19"/>
  <c r="O206" i="19"/>
  <c r="Q206" i="19"/>
  <c r="A207" i="19"/>
  <c r="B207" i="19"/>
  <c r="C207" i="19"/>
  <c r="D207" i="19"/>
  <c r="E207" i="19"/>
  <c r="F207" i="19"/>
  <c r="G207" i="19"/>
  <c r="H207" i="19"/>
  <c r="I207" i="19"/>
  <c r="J207" i="19"/>
  <c r="K207" i="19"/>
  <c r="M207" i="19"/>
  <c r="N207" i="19"/>
  <c r="O207" i="19"/>
  <c r="Q207" i="19"/>
  <c r="A208" i="19"/>
  <c r="B208" i="19"/>
  <c r="C208" i="19"/>
  <c r="D208" i="19"/>
  <c r="E208" i="19"/>
  <c r="F208" i="19"/>
  <c r="G208" i="19"/>
  <c r="H208" i="19"/>
  <c r="I208" i="19"/>
  <c r="J208" i="19"/>
  <c r="K208" i="19"/>
  <c r="M208" i="19"/>
  <c r="N208" i="19"/>
  <c r="O208" i="19"/>
  <c r="Q208" i="19"/>
  <c r="A209" i="19"/>
  <c r="B209" i="19"/>
  <c r="C209" i="19"/>
  <c r="D209" i="19"/>
  <c r="E209" i="19"/>
  <c r="F209" i="19"/>
  <c r="G209" i="19"/>
  <c r="H209" i="19"/>
  <c r="I209" i="19"/>
  <c r="J209" i="19"/>
  <c r="K209" i="19"/>
  <c r="M209" i="19"/>
  <c r="N209" i="19"/>
  <c r="O209" i="19"/>
  <c r="Q209" i="19"/>
  <c r="A210" i="19"/>
  <c r="B210" i="19"/>
  <c r="C210" i="19"/>
  <c r="D210" i="19"/>
  <c r="E210" i="19"/>
  <c r="F210" i="19"/>
  <c r="G210" i="19"/>
  <c r="H210" i="19"/>
  <c r="I210" i="19"/>
  <c r="J210" i="19"/>
  <c r="K210" i="19"/>
  <c r="M210" i="19"/>
  <c r="N210" i="19"/>
  <c r="O210" i="19"/>
  <c r="Q210" i="19"/>
  <c r="A211" i="19"/>
  <c r="B211" i="19"/>
  <c r="C211" i="19"/>
  <c r="D211" i="19"/>
  <c r="E211" i="19"/>
  <c r="F211" i="19"/>
  <c r="G211" i="19"/>
  <c r="H211" i="19"/>
  <c r="I211" i="19"/>
  <c r="J211" i="19"/>
  <c r="K211" i="19"/>
  <c r="M211" i="19"/>
  <c r="N211" i="19"/>
  <c r="O211" i="19"/>
  <c r="Q211" i="19"/>
  <c r="A212" i="19"/>
  <c r="B212" i="19"/>
  <c r="C212" i="19"/>
  <c r="D212" i="19"/>
  <c r="E212" i="19"/>
  <c r="F212" i="19"/>
  <c r="G212" i="19"/>
  <c r="H212" i="19"/>
  <c r="I212" i="19"/>
  <c r="J212" i="19"/>
  <c r="K212" i="19"/>
  <c r="M212" i="19"/>
  <c r="N212" i="19"/>
  <c r="O212" i="19"/>
  <c r="Q212" i="19"/>
  <c r="A213" i="19"/>
  <c r="B213" i="19"/>
  <c r="C213" i="19"/>
  <c r="D213" i="19"/>
  <c r="E213" i="19"/>
  <c r="F213" i="19"/>
  <c r="G213" i="19"/>
  <c r="H213" i="19"/>
  <c r="I213" i="19"/>
  <c r="J213" i="19"/>
  <c r="K213" i="19"/>
  <c r="M213" i="19"/>
  <c r="N213" i="19"/>
  <c r="O213" i="19"/>
  <c r="Q213" i="19"/>
  <c r="A214" i="19"/>
  <c r="B214" i="19"/>
  <c r="C214" i="19"/>
  <c r="D214" i="19"/>
  <c r="E214" i="19"/>
  <c r="F214" i="19"/>
  <c r="G214" i="19"/>
  <c r="H214" i="19"/>
  <c r="I214" i="19"/>
  <c r="J214" i="19"/>
  <c r="K214" i="19"/>
  <c r="M214" i="19"/>
  <c r="N214" i="19"/>
  <c r="O214" i="19"/>
  <c r="Q214" i="19"/>
  <c r="A215" i="19"/>
  <c r="B215" i="19"/>
  <c r="C215" i="19"/>
  <c r="D215" i="19"/>
  <c r="E215" i="19"/>
  <c r="F215" i="19"/>
  <c r="G215" i="19"/>
  <c r="H215" i="19"/>
  <c r="I215" i="19"/>
  <c r="J215" i="19"/>
  <c r="K215" i="19"/>
  <c r="M215" i="19"/>
  <c r="N215" i="19"/>
  <c r="O215" i="19"/>
  <c r="Q215" i="19"/>
  <c r="A216" i="19"/>
  <c r="B216" i="19"/>
  <c r="C216" i="19"/>
  <c r="D216" i="19"/>
  <c r="E216" i="19"/>
  <c r="F216" i="19"/>
  <c r="G216" i="19"/>
  <c r="H216" i="19"/>
  <c r="I216" i="19"/>
  <c r="J216" i="19"/>
  <c r="K216" i="19"/>
  <c r="M216" i="19"/>
  <c r="N216" i="19"/>
  <c r="O216" i="19"/>
  <c r="Q216" i="19"/>
  <c r="A217" i="19"/>
  <c r="B217" i="19"/>
  <c r="C217" i="19"/>
  <c r="D217" i="19"/>
  <c r="E217" i="19"/>
  <c r="F217" i="19"/>
  <c r="G217" i="19"/>
  <c r="H217" i="19"/>
  <c r="I217" i="19"/>
  <c r="J217" i="19"/>
  <c r="K217" i="19"/>
  <c r="M217" i="19"/>
  <c r="N217" i="19"/>
  <c r="O217" i="19"/>
  <c r="Q217" i="19"/>
  <c r="A218" i="19"/>
  <c r="B218" i="19"/>
  <c r="C218" i="19"/>
  <c r="D218" i="19"/>
  <c r="E218" i="19"/>
  <c r="F218" i="19"/>
  <c r="G218" i="19"/>
  <c r="H218" i="19"/>
  <c r="I218" i="19"/>
  <c r="J218" i="19"/>
  <c r="K218" i="19"/>
  <c r="M218" i="19"/>
  <c r="N218" i="19"/>
  <c r="O218" i="19"/>
  <c r="Q218" i="19"/>
  <c r="A219" i="19"/>
  <c r="B219" i="19"/>
  <c r="C219" i="19"/>
  <c r="D219" i="19"/>
  <c r="E219" i="19"/>
  <c r="F219" i="19"/>
  <c r="G219" i="19"/>
  <c r="H219" i="19"/>
  <c r="I219" i="19"/>
  <c r="J219" i="19"/>
  <c r="K219" i="19"/>
  <c r="M219" i="19"/>
  <c r="N219" i="19"/>
  <c r="O219" i="19"/>
  <c r="Q219" i="19"/>
  <c r="A220" i="19"/>
  <c r="B220" i="19"/>
  <c r="C220" i="19"/>
  <c r="D220" i="19"/>
  <c r="E220" i="19"/>
  <c r="F220" i="19"/>
  <c r="G220" i="19"/>
  <c r="H220" i="19"/>
  <c r="I220" i="19"/>
  <c r="J220" i="19"/>
  <c r="K220" i="19"/>
  <c r="M220" i="19"/>
  <c r="N220" i="19"/>
  <c r="O220" i="19"/>
  <c r="Q220" i="19"/>
  <c r="A221" i="19"/>
  <c r="B221" i="19"/>
  <c r="C221" i="19"/>
  <c r="D221" i="19"/>
  <c r="E221" i="19"/>
  <c r="F221" i="19"/>
  <c r="G221" i="19"/>
  <c r="H221" i="19"/>
  <c r="I221" i="19"/>
  <c r="J221" i="19"/>
  <c r="K221" i="19"/>
  <c r="M221" i="19"/>
  <c r="N221" i="19"/>
  <c r="O221" i="19"/>
  <c r="Q221" i="19"/>
  <c r="A222" i="19"/>
  <c r="B222" i="19"/>
  <c r="C222" i="19"/>
  <c r="D222" i="19"/>
  <c r="E222" i="19"/>
  <c r="F222" i="19"/>
  <c r="G222" i="19"/>
  <c r="H222" i="19"/>
  <c r="I222" i="19"/>
  <c r="J222" i="19"/>
  <c r="K222" i="19"/>
  <c r="M222" i="19"/>
  <c r="N222" i="19"/>
  <c r="O222" i="19"/>
  <c r="Q222" i="19"/>
  <c r="A223" i="19"/>
  <c r="B223" i="19"/>
  <c r="C223" i="19"/>
  <c r="D223" i="19"/>
  <c r="E223" i="19"/>
  <c r="F223" i="19"/>
  <c r="G223" i="19"/>
  <c r="H223" i="19"/>
  <c r="I223" i="19"/>
  <c r="J223" i="19"/>
  <c r="K223" i="19"/>
  <c r="M223" i="19"/>
  <c r="N223" i="19"/>
  <c r="O223" i="19"/>
  <c r="Q223" i="19"/>
  <c r="A224" i="19"/>
  <c r="B224" i="19"/>
  <c r="C224" i="19"/>
  <c r="D224" i="19"/>
  <c r="E224" i="19"/>
  <c r="F224" i="19"/>
  <c r="G224" i="19"/>
  <c r="H224" i="19"/>
  <c r="I224" i="19"/>
  <c r="J224" i="19"/>
  <c r="K224" i="19"/>
  <c r="M224" i="19"/>
  <c r="N224" i="19"/>
  <c r="O224" i="19"/>
  <c r="Q224" i="19"/>
  <c r="A225" i="19"/>
  <c r="B225" i="19"/>
  <c r="C225" i="19"/>
  <c r="D225" i="19"/>
  <c r="E225" i="19"/>
  <c r="F225" i="19"/>
  <c r="G225" i="19"/>
  <c r="H225" i="19"/>
  <c r="I225" i="19"/>
  <c r="J225" i="19"/>
  <c r="K225" i="19"/>
  <c r="M225" i="19"/>
  <c r="N225" i="19"/>
  <c r="O225" i="19"/>
  <c r="Q225" i="19"/>
  <c r="A226" i="19"/>
  <c r="B226" i="19"/>
  <c r="C226" i="19"/>
  <c r="D226" i="19"/>
  <c r="E226" i="19"/>
  <c r="F226" i="19"/>
  <c r="G226" i="19"/>
  <c r="H226" i="19"/>
  <c r="I226" i="19"/>
  <c r="J226" i="19"/>
  <c r="K226" i="19"/>
  <c r="M226" i="19"/>
  <c r="N226" i="19"/>
  <c r="O226" i="19"/>
  <c r="Q226" i="19"/>
  <c r="A227" i="19"/>
  <c r="B227" i="19"/>
  <c r="C227" i="19"/>
  <c r="D227" i="19"/>
  <c r="E227" i="19"/>
  <c r="F227" i="19"/>
  <c r="G227" i="19"/>
  <c r="H227" i="19"/>
  <c r="I227" i="19"/>
  <c r="J227" i="19"/>
  <c r="K227" i="19"/>
  <c r="M227" i="19"/>
  <c r="N227" i="19"/>
  <c r="O227" i="19"/>
  <c r="Q227" i="19"/>
  <c r="A228" i="19"/>
  <c r="B228" i="19"/>
  <c r="D228" i="19"/>
  <c r="E228" i="19"/>
  <c r="F228" i="19"/>
  <c r="G228" i="19"/>
  <c r="H228" i="19"/>
  <c r="I228" i="19"/>
  <c r="J228" i="19"/>
  <c r="K228" i="19"/>
  <c r="M228" i="19"/>
  <c r="N228" i="19"/>
  <c r="O228" i="19"/>
  <c r="Q228" i="19"/>
  <c r="A229" i="19"/>
  <c r="B229" i="19"/>
  <c r="C229" i="19"/>
  <c r="D229" i="19"/>
  <c r="E229" i="19"/>
  <c r="F229" i="19"/>
  <c r="G229" i="19"/>
  <c r="H229" i="19"/>
  <c r="I229" i="19"/>
  <c r="J229" i="19"/>
  <c r="K229" i="19"/>
  <c r="M229" i="19"/>
  <c r="N229" i="19"/>
  <c r="O229" i="19"/>
  <c r="Q229" i="19"/>
  <c r="A230" i="19"/>
  <c r="B230" i="19"/>
  <c r="C230" i="19"/>
  <c r="D230" i="19"/>
  <c r="E230" i="19"/>
  <c r="F230" i="19"/>
  <c r="G230" i="19"/>
  <c r="H230" i="19"/>
  <c r="I230" i="19"/>
  <c r="J230" i="19"/>
  <c r="K230" i="19"/>
  <c r="M230" i="19"/>
  <c r="N230" i="19"/>
  <c r="O230" i="19"/>
  <c r="Q230" i="19"/>
  <c r="A231" i="19"/>
  <c r="B231" i="19"/>
  <c r="C231" i="19"/>
  <c r="D231" i="19"/>
  <c r="E231" i="19"/>
  <c r="F231" i="19"/>
  <c r="G231" i="19"/>
  <c r="H231" i="19"/>
  <c r="I231" i="19"/>
  <c r="J231" i="19"/>
  <c r="K231" i="19"/>
  <c r="M231" i="19"/>
  <c r="N231" i="19"/>
  <c r="O231" i="19"/>
  <c r="Q231" i="19"/>
  <c r="A232" i="19"/>
  <c r="B232" i="19"/>
  <c r="C232" i="19"/>
  <c r="D232" i="19"/>
  <c r="E232" i="19"/>
  <c r="F232" i="19"/>
  <c r="G232" i="19"/>
  <c r="H232" i="19"/>
  <c r="I232" i="19"/>
  <c r="J232" i="19"/>
  <c r="K232" i="19"/>
  <c r="M232" i="19"/>
  <c r="N232" i="19"/>
  <c r="O232" i="19"/>
  <c r="Q232" i="19"/>
  <c r="A233" i="19"/>
  <c r="B233" i="19"/>
  <c r="C233" i="19"/>
  <c r="D233" i="19"/>
  <c r="E233" i="19"/>
  <c r="F233" i="19"/>
  <c r="G233" i="19"/>
  <c r="H233" i="19"/>
  <c r="I233" i="19"/>
  <c r="J233" i="19"/>
  <c r="K233" i="19"/>
  <c r="M233" i="19"/>
  <c r="N233" i="19"/>
  <c r="O233" i="19"/>
  <c r="Q233" i="19"/>
  <c r="A234" i="19"/>
  <c r="B234" i="19"/>
  <c r="C234" i="19"/>
  <c r="D234" i="19"/>
  <c r="E234" i="19"/>
  <c r="F234" i="19"/>
  <c r="G234" i="19"/>
  <c r="H234" i="19"/>
  <c r="I234" i="19"/>
  <c r="J234" i="19"/>
  <c r="K234" i="19"/>
  <c r="M234" i="19"/>
  <c r="N234" i="19"/>
  <c r="O234" i="19"/>
  <c r="Q234" i="19"/>
  <c r="A235" i="19"/>
  <c r="B235" i="19"/>
  <c r="C235" i="19"/>
  <c r="D235" i="19"/>
  <c r="E235" i="19"/>
  <c r="F235" i="19"/>
  <c r="G235" i="19"/>
  <c r="H235" i="19"/>
  <c r="I235" i="19"/>
  <c r="J235" i="19"/>
  <c r="K235" i="19"/>
  <c r="M235" i="19"/>
  <c r="N235" i="19"/>
  <c r="O235" i="19"/>
  <c r="Q235" i="19"/>
  <c r="A236" i="19"/>
  <c r="B236" i="19"/>
  <c r="C236" i="19"/>
  <c r="D236" i="19"/>
  <c r="E236" i="19"/>
  <c r="F236" i="19"/>
  <c r="G236" i="19"/>
  <c r="H236" i="19"/>
  <c r="I236" i="19"/>
  <c r="J236" i="19"/>
  <c r="K236" i="19"/>
  <c r="M236" i="19"/>
  <c r="N236" i="19"/>
  <c r="O236" i="19"/>
  <c r="Q236" i="19"/>
  <c r="A237" i="19"/>
  <c r="B237" i="19"/>
  <c r="C237" i="19"/>
  <c r="D237" i="19"/>
  <c r="E237" i="19"/>
  <c r="F237" i="19"/>
  <c r="G237" i="19"/>
  <c r="H237" i="19"/>
  <c r="I237" i="19"/>
  <c r="J237" i="19"/>
  <c r="K237" i="19"/>
  <c r="M237" i="19"/>
  <c r="N237" i="19"/>
  <c r="O237" i="19"/>
  <c r="Q237" i="19"/>
  <c r="A238" i="19"/>
  <c r="B238" i="19"/>
  <c r="C238" i="19"/>
  <c r="D238" i="19"/>
  <c r="E238" i="19"/>
  <c r="F238" i="19"/>
  <c r="G238" i="19"/>
  <c r="H238" i="19"/>
  <c r="I238" i="19"/>
  <c r="J238" i="19"/>
  <c r="K238" i="19"/>
  <c r="M238" i="19"/>
  <c r="N238" i="19"/>
  <c r="O238" i="19"/>
  <c r="Q238" i="19"/>
  <c r="A239" i="19"/>
  <c r="B239" i="19"/>
  <c r="C239" i="19"/>
  <c r="D239" i="19"/>
  <c r="E239" i="19"/>
  <c r="F239" i="19"/>
  <c r="G239" i="19"/>
  <c r="H239" i="19"/>
  <c r="I239" i="19"/>
  <c r="J239" i="19"/>
  <c r="K239" i="19"/>
  <c r="M239" i="19"/>
  <c r="N239" i="19"/>
  <c r="O239" i="19"/>
  <c r="Q239" i="19"/>
  <c r="A240" i="19"/>
  <c r="B240" i="19"/>
  <c r="C240" i="19"/>
  <c r="D240" i="19"/>
  <c r="E240" i="19"/>
  <c r="F240" i="19"/>
  <c r="G240" i="19"/>
  <c r="H240" i="19"/>
  <c r="I240" i="19"/>
  <c r="J240" i="19"/>
  <c r="K240" i="19"/>
  <c r="M240" i="19"/>
  <c r="N240" i="19"/>
  <c r="O240" i="19"/>
  <c r="Q240" i="19"/>
  <c r="A241" i="19"/>
  <c r="B241" i="19"/>
  <c r="C241" i="19"/>
  <c r="D241" i="19"/>
  <c r="E241" i="19"/>
  <c r="F241" i="19"/>
  <c r="G241" i="19"/>
  <c r="H241" i="19"/>
  <c r="I241" i="19"/>
  <c r="J241" i="19"/>
  <c r="K241" i="19"/>
  <c r="M241" i="19"/>
  <c r="N241" i="19"/>
  <c r="O241" i="19"/>
  <c r="Q241" i="19"/>
  <c r="A242" i="19"/>
  <c r="B242" i="19"/>
  <c r="C242" i="19"/>
  <c r="D242" i="19"/>
  <c r="E242" i="19"/>
  <c r="F242" i="19"/>
  <c r="G242" i="19"/>
  <c r="H242" i="19"/>
  <c r="I242" i="19"/>
  <c r="J242" i="19"/>
  <c r="K242" i="19"/>
  <c r="M242" i="19"/>
  <c r="N242" i="19"/>
  <c r="O242" i="19"/>
  <c r="Q242" i="19"/>
  <c r="A243" i="19"/>
  <c r="B243" i="19"/>
  <c r="C243" i="19"/>
  <c r="D243" i="19"/>
  <c r="E243" i="19"/>
  <c r="F243" i="19"/>
  <c r="G243" i="19"/>
  <c r="H243" i="19"/>
  <c r="I243" i="19"/>
  <c r="J243" i="19"/>
  <c r="K243" i="19"/>
  <c r="M243" i="19"/>
  <c r="N243" i="19"/>
  <c r="O243" i="19"/>
  <c r="Q243" i="19"/>
  <c r="A244" i="19"/>
  <c r="B244" i="19"/>
  <c r="C244" i="19"/>
  <c r="D244" i="19"/>
  <c r="E244" i="19"/>
  <c r="F244" i="19"/>
  <c r="G244" i="19"/>
  <c r="H244" i="19"/>
  <c r="I244" i="19"/>
  <c r="J244" i="19"/>
  <c r="K244" i="19"/>
  <c r="M244" i="19"/>
  <c r="N244" i="19"/>
  <c r="O244" i="19"/>
  <c r="Q244" i="19"/>
  <c r="A245" i="19"/>
  <c r="B245" i="19"/>
  <c r="C245" i="19"/>
  <c r="D245" i="19"/>
  <c r="E245" i="19"/>
  <c r="F245" i="19"/>
  <c r="G245" i="19"/>
  <c r="H245" i="19"/>
  <c r="I245" i="19"/>
  <c r="J245" i="19"/>
  <c r="K245" i="19"/>
  <c r="M245" i="19"/>
  <c r="N245" i="19"/>
  <c r="O245" i="19"/>
  <c r="Q245" i="19"/>
  <c r="A246" i="19"/>
  <c r="B246" i="19"/>
  <c r="C246" i="19"/>
  <c r="D246" i="19"/>
  <c r="E246" i="19"/>
  <c r="F246" i="19"/>
  <c r="G246" i="19"/>
  <c r="H246" i="19"/>
  <c r="I246" i="19"/>
  <c r="J246" i="19"/>
  <c r="K246" i="19"/>
  <c r="M246" i="19"/>
  <c r="N246" i="19"/>
  <c r="O246" i="19"/>
  <c r="Q246" i="19"/>
  <c r="A247" i="19"/>
  <c r="B247" i="19"/>
  <c r="C247" i="19"/>
  <c r="D247" i="19"/>
  <c r="E247" i="19"/>
  <c r="F247" i="19"/>
  <c r="G247" i="19"/>
  <c r="H247" i="19"/>
  <c r="I247" i="19"/>
  <c r="J247" i="19"/>
  <c r="K247" i="19"/>
  <c r="M247" i="19"/>
  <c r="N247" i="19"/>
  <c r="O247" i="19"/>
  <c r="Q247" i="19"/>
  <c r="A248" i="19"/>
  <c r="B248" i="19"/>
  <c r="C248" i="19"/>
  <c r="D248" i="19"/>
  <c r="E248" i="19"/>
  <c r="F248" i="19"/>
  <c r="G248" i="19"/>
  <c r="H248" i="19"/>
  <c r="I248" i="19"/>
  <c r="J248" i="19"/>
  <c r="K248" i="19"/>
  <c r="M248" i="19"/>
  <c r="N248" i="19"/>
  <c r="O248" i="19"/>
  <c r="Q248" i="19"/>
  <c r="A249" i="19"/>
  <c r="B249" i="19"/>
  <c r="C249" i="19"/>
  <c r="D249" i="19"/>
  <c r="E249" i="19"/>
  <c r="F249" i="19"/>
  <c r="G249" i="19"/>
  <c r="H249" i="19"/>
  <c r="I249" i="19"/>
  <c r="J249" i="19"/>
  <c r="K249" i="19"/>
  <c r="M249" i="19"/>
  <c r="N249" i="19"/>
  <c r="O249" i="19"/>
  <c r="Q249" i="19"/>
  <c r="A250" i="19"/>
  <c r="B250" i="19"/>
  <c r="C250" i="19"/>
  <c r="D250" i="19"/>
  <c r="E250" i="19"/>
  <c r="F250" i="19"/>
  <c r="G250" i="19"/>
  <c r="H250" i="19"/>
  <c r="I250" i="19"/>
  <c r="J250" i="19"/>
  <c r="K250" i="19"/>
  <c r="M250" i="19"/>
  <c r="N250" i="19"/>
  <c r="O250" i="19"/>
  <c r="Q250" i="19"/>
  <c r="A251" i="19"/>
  <c r="B251" i="19"/>
  <c r="C251" i="19"/>
  <c r="D251" i="19"/>
  <c r="E251" i="19"/>
  <c r="F251" i="19"/>
  <c r="G251" i="19"/>
  <c r="H251" i="19"/>
  <c r="I251" i="19"/>
  <c r="J251" i="19"/>
  <c r="K251" i="19"/>
  <c r="M251" i="19"/>
  <c r="N251" i="19"/>
  <c r="O251" i="19"/>
  <c r="Q251" i="19"/>
  <c r="A252" i="19"/>
  <c r="B252" i="19"/>
  <c r="C252" i="19"/>
  <c r="D252" i="19"/>
  <c r="E252" i="19"/>
  <c r="F252" i="19"/>
  <c r="G252" i="19"/>
  <c r="H252" i="19"/>
  <c r="I252" i="19"/>
  <c r="J252" i="19"/>
  <c r="K252" i="19"/>
  <c r="M252" i="19"/>
  <c r="N252" i="19"/>
  <c r="O252" i="19"/>
  <c r="Q252" i="19"/>
  <c r="A253" i="19"/>
  <c r="B253" i="19"/>
  <c r="C253" i="19"/>
  <c r="D253" i="19"/>
  <c r="E253" i="19"/>
  <c r="F253" i="19"/>
  <c r="G253" i="19"/>
  <c r="H253" i="19"/>
  <c r="I253" i="19"/>
  <c r="J253" i="19"/>
  <c r="K253" i="19"/>
  <c r="M253" i="19"/>
  <c r="N253" i="19"/>
  <c r="O253" i="19"/>
  <c r="Q253" i="19"/>
  <c r="A254" i="19"/>
  <c r="B254" i="19"/>
  <c r="C254" i="19"/>
  <c r="D254" i="19"/>
  <c r="E254" i="19"/>
  <c r="F254" i="19"/>
  <c r="G254" i="19"/>
  <c r="H254" i="19"/>
  <c r="I254" i="19"/>
  <c r="J254" i="19"/>
  <c r="K254" i="19"/>
  <c r="M254" i="19"/>
  <c r="N254" i="19"/>
  <c r="O254" i="19"/>
  <c r="Q254" i="19"/>
  <c r="A255" i="19"/>
  <c r="B255" i="19"/>
  <c r="C255" i="19"/>
  <c r="D255" i="19"/>
  <c r="E255" i="19"/>
  <c r="F255" i="19"/>
  <c r="G255" i="19"/>
  <c r="H255" i="19"/>
  <c r="I255" i="19"/>
  <c r="J255" i="19"/>
  <c r="K255" i="19"/>
  <c r="M255" i="19"/>
  <c r="N255" i="19"/>
  <c r="O255" i="19"/>
  <c r="Q255" i="19"/>
  <c r="A256" i="19"/>
  <c r="B256" i="19"/>
  <c r="C256" i="19"/>
  <c r="D256" i="19"/>
  <c r="E256" i="19"/>
  <c r="F256" i="19"/>
  <c r="G256" i="19"/>
  <c r="H256" i="19"/>
  <c r="I256" i="19"/>
  <c r="J256" i="19"/>
  <c r="K256" i="19"/>
  <c r="M256" i="19"/>
  <c r="N256" i="19"/>
  <c r="O256" i="19"/>
  <c r="Q256" i="19"/>
  <c r="A257" i="19"/>
  <c r="B257" i="19"/>
  <c r="C257" i="19"/>
  <c r="D257" i="19"/>
  <c r="E257" i="19"/>
  <c r="F257" i="19"/>
  <c r="G257" i="19"/>
  <c r="H257" i="19"/>
  <c r="I257" i="19"/>
  <c r="J257" i="19"/>
  <c r="K257" i="19"/>
  <c r="M257" i="19"/>
  <c r="N257" i="19"/>
  <c r="O257" i="19"/>
  <c r="Q257" i="19"/>
  <c r="A258" i="19"/>
  <c r="B258" i="19"/>
  <c r="C258" i="19"/>
  <c r="D258" i="19"/>
  <c r="E258" i="19"/>
  <c r="F258" i="19"/>
  <c r="G258" i="19"/>
  <c r="H258" i="19"/>
  <c r="I258" i="19"/>
  <c r="J258" i="19"/>
  <c r="K258" i="19"/>
  <c r="M258" i="19"/>
  <c r="N258" i="19"/>
  <c r="O258" i="19"/>
  <c r="Q258" i="19"/>
  <c r="A259" i="19"/>
  <c r="B259" i="19"/>
  <c r="C259" i="19"/>
  <c r="D259" i="19"/>
  <c r="E259" i="19"/>
  <c r="F259" i="19"/>
  <c r="G259" i="19"/>
  <c r="H259" i="19"/>
  <c r="I259" i="19"/>
  <c r="J259" i="19"/>
  <c r="K259" i="19"/>
  <c r="M259" i="19"/>
  <c r="N259" i="19"/>
  <c r="O259" i="19"/>
  <c r="Q259" i="19"/>
  <c r="A260" i="19"/>
  <c r="B260" i="19"/>
  <c r="C260" i="19"/>
  <c r="D260" i="19"/>
  <c r="E260" i="19"/>
  <c r="F260" i="19"/>
  <c r="G260" i="19"/>
  <c r="H260" i="19"/>
  <c r="I260" i="19"/>
  <c r="J260" i="19"/>
  <c r="K260" i="19"/>
  <c r="M260" i="19"/>
  <c r="N260" i="19"/>
  <c r="O260" i="19"/>
  <c r="Q260" i="19"/>
  <c r="A261" i="19"/>
  <c r="B261" i="19"/>
  <c r="C261" i="19"/>
  <c r="E261" i="19"/>
  <c r="F261" i="19"/>
  <c r="G261" i="19"/>
  <c r="H261" i="19"/>
  <c r="I261" i="19"/>
  <c r="J261" i="19"/>
  <c r="K261" i="19"/>
  <c r="M261" i="19"/>
  <c r="N261" i="19"/>
  <c r="O261" i="19"/>
  <c r="Q261" i="19"/>
  <c r="A262" i="19"/>
  <c r="B262" i="19"/>
  <c r="C262" i="19"/>
  <c r="D262" i="19"/>
  <c r="E262" i="19"/>
  <c r="F262" i="19"/>
  <c r="G262" i="19"/>
  <c r="H262" i="19"/>
  <c r="I262" i="19"/>
  <c r="J262" i="19"/>
  <c r="K262" i="19"/>
  <c r="M262" i="19"/>
  <c r="N262" i="19"/>
  <c r="O262" i="19"/>
  <c r="Q262" i="19"/>
  <c r="A263" i="19"/>
  <c r="B263" i="19"/>
  <c r="C263" i="19"/>
  <c r="D263" i="19"/>
  <c r="E263" i="19"/>
  <c r="F263" i="19"/>
  <c r="G263" i="19"/>
  <c r="H263" i="19"/>
  <c r="I263" i="19"/>
  <c r="J263" i="19"/>
  <c r="K263" i="19"/>
  <c r="M263" i="19"/>
  <c r="N263" i="19"/>
  <c r="O263" i="19"/>
  <c r="Q263" i="19"/>
  <c r="A264" i="19"/>
  <c r="B264" i="19"/>
  <c r="C264" i="19"/>
  <c r="D264" i="19"/>
  <c r="E264" i="19"/>
  <c r="F264" i="19"/>
  <c r="G264" i="19"/>
  <c r="H264" i="19"/>
  <c r="I264" i="19"/>
  <c r="J264" i="19"/>
  <c r="K264" i="19"/>
  <c r="M264" i="19"/>
  <c r="N264" i="19"/>
  <c r="O264" i="19"/>
  <c r="Q264" i="19"/>
  <c r="A265" i="19"/>
  <c r="B265" i="19"/>
  <c r="C265" i="19"/>
  <c r="D265" i="19"/>
  <c r="E265" i="19"/>
  <c r="F265" i="19"/>
  <c r="G265" i="19"/>
  <c r="H265" i="19"/>
  <c r="I265" i="19"/>
  <c r="J265" i="19"/>
  <c r="K265" i="19"/>
  <c r="M265" i="19"/>
  <c r="N265" i="19"/>
  <c r="O265" i="19"/>
  <c r="Q265" i="19"/>
  <c r="A266" i="19"/>
  <c r="B266" i="19"/>
  <c r="C266" i="19"/>
  <c r="D266" i="19"/>
  <c r="E266" i="19"/>
  <c r="F266" i="19"/>
  <c r="G266" i="19"/>
  <c r="H266" i="19"/>
  <c r="I266" i="19"/>
  <c r="J266" i="19"/>
  <c r="K266" i="19"/>
  <c r="M266" i="19"/>
  <c r="N266" i="19"/>
  <c r="O266" i="19"/>
  <c r="Q266" i="19"/>
  <c r="A267" i="19"/>
  <c r="B267" i="19"/>
  <c r="C267" i="19"/>
  <c r="D267" i="19"/>
  <c r="E267" i="19"/>
  <c r="F267" i="19"/>
  <c r="G267" i="19"/>
  <c r="H267" i="19"/>
  <c r="I267" i="19"/>
  <c r="J267" i="19"/>
  <c r="K267" i="19"/>
  <c r="M267" i="19"/>
  <c r="N267" i="19"/>
  <c r="O267" i="19"/>
  <c r="Q267" i="19"/>
  <c r="A268" i="19"/>
  <c r="B268" i="19"/>
  <c r="C268" i="19"/>
  <c r="D268" i="19"/>
  <c r="E268" i="19"/>
  <c r="F268" i="19"/>
  <c r="G268" i="19"/>
  <c r="H268" i="19"/>
  <c r="I268" i="19"/>
  <c r="J268" i="19"/>
  <c r="K268" i="19"/>
  <c r="M268" i="19"/>
  <c r="N268" i="19"/>
  <c r="O268" i="19"/>
  <c r="Q268" i="19"/>
  <c r="A269" i="19"/>
  <c r="B269" i="19"/>
  <c r="C269" i="19"/>
  <c r="D269" i="19"/>
  <c r="E269" i="19"/>
  <c r="F269" i="19"/>
  <c r="G269" i="19"/>
  <c r="H269" i="19"/>
  <c r="I269" i="19"/>
  <c r="J269" i="19"/>
  <c r="K269" i="19"/>
  <c r="M269" i="19"/>
  <c r="N269" i="19"/>
  <c r="O269" i="19"/>
  <c r="Q269" i="19"/>
  <c r="A270" i="19"/>
  <c r="B270" i="19"/>
  <c r="C270" i="19"/>
  <c r="D270" i="19"/>
  <c r="E270" i="19"/>
  <c r="F270" i="19"/>
  <c r="G270" i="19"/>
  <c r="H270" i="19"/>
  <c r="I270" i="19"/>
  <c r="J270" i="19"/>
  <c r="K270" i="19"/>
  <c r="M270" i="19"/>
  <c r="N270" i="19"/>
  <c r="O270" i="19"/>
  <c r="Q270" i="19"/>
  <c r="A271" i="19"/>
  <c r="B271" i="19"/>
  <c r="D271" i="19"/>
  <c r="E271" i="19"/>
  <c r="F271" i="19"/>
  <c r="G271" i="19"/>
  <c r="H271" i="19"/>
  <c r="I271" i="19"/>
  <c r="J271" i="19"/>
  <c r="K271" i="19"/>
  <c r="M271" i="19"/>
  <c r="N271" i="19"/>
  <c r="O271" i="19"/>
  <c r="Q271" i="19"/>
  <c r="A272" i="19"/>
  <c r="B272" i="19"/>
  <c r="C272" i="19"/>
  <c r="D272" i="19"/>
  <c r="E272" i="19"/>
  <c r="F272" i="19"/>
  <c r="G272" i="19"/>
  <c r="H272" i="19"/>
  <c r="I272" i="19"/>
  <c r="J272" i="19"/>
  <c r="K272" i="19"/>
  <c r="M272" i="19"/>
  <c r="N272" i="19"/>
  <c r="O272" i="19"/>
  <c r="Q272" i="19"/>
  <c r="A273" i="19"/>
  <c r="B273" i="19"/>
  <c r="C273" i="19"/>
  <c r="D273" i="19"/>
  <c r="E273" i="19"/>
  <c r="F273" i="19"/>
  <c r="G273" i="19"/>
  <c r="H273" i="19"/>
  <c r="I273" i="19"/>
  <c r="J273" i="19"/>
  <c r="K273" i="19"/>
  <c r="M273" i="19"/>
  <c r="N273" i="19"/>
  <c r="O273" i="19"/>
  <c r="Q273" i="19"/>
  <c r="A274" i="19"/>
  <c r="B274" i="19"/>
  <c r="C274" i="19"/>
  <c r="D274" i="19"/>
  <c r="E274" i="19"/>
  <c r="F274" i="19"/>
  <c r="G274" i="19"/>
  <c r="H274" i="19"/>
  <c r="I274" i="19"/>
  <c r="J274" i="19"/>
  <c r="K274" i="19"/>
  <c r="M274" i="19"/>
  <c r="N274" i="19"/>
  <c r="O274" i="19"/>
  <c r="Q274" i="19"/>
  <c r="A275" i="19"/>
  <c r="B275" i="19"/>
  <c r="C275" i="19"/>
  <c r="D275" i="19"/>
  <c r="E275" i="19"/>
  <c r="F275" i="19"/>
  <c r="G275" i="19"/>
  <c r="H275" i="19"/>
  <c r="I275" i="19"/>
  <c r="J275" i="19"/>
  <c r="K275" i="19"/>
  <c r="M275" i="19"/>
  <c r="N275" i="19"/>
  <c r="O275" i="19"/>
  <c r="Q275" i="19"/>
  <c r="A276" i="19"/>
  <c r="B276" i="19"/>
  <c r="C276" i="19"/>
  <c r="D276" i="19"/>
  <c r="E276" i="19"/>
  <c r="F276" i="19"/>
  <c r="G276" i="19"/>
  <c r="H276" i="19"/>
  <c r="I276" i="19"/>
  <c r="J276" i="19"/>
  <c r="K276" i="19"/>
  <c r="M276" i="19"/>
  <c r="N276" i="19"/>
  <c r="O276" i="19"/>
  <c r="Q276" i="19"/>
  <c r="A277" i="19"/>
  <c r="B277" i="19"/>
  <c r="C277" i="19"/>
  <c r="D277" i="19"/>
  <c r="E277" i="19"/>
  <c r="F277" i="19"/>
  <c r="G277" i="19"/>
  <c r="H277" i="19"/>
  <c r="I277" i="19"/>
  <c r="J277" i="19"/>
  <c r="K277" i="19"/>
  <c r="M277" i="19"/>
  <c r="N277" i="19"/>
  <c r="O277" i="19"/>
  <c r="Q277" i="19"/>
  <c r="A278" i="19"/>
  <c r="B278" i="19"/>
  <c r="C278" i="19"/>
  <c r="D278" i="19"/>
  <c r="E278" i="19"/>
  <c r="F278" i="19"/>
  <c r="G278" i="19"/>
  <c r="H278" i="19"/>
  <c r="I278" i="19"/>
  <c r="J278" i="19"/>
  <c r="K278" i="19"/>
  <c r="M278" i="19"/>
  <c r="N278" i="19"/>
  <c r="O278" i="19"/>
  <c r="Q278" i="19"/>
  <c r="A279" i="19"/>
  <c r="B279" i="19"/>
  <c r="C279" i="19"/>
  <c r="D279" i="19"/>
  <c r="E279" i="19"/>
  <c r="F279" i="19"/>
  <c r="G279" i="19"/>
  <c r="H279" i="19"/>
  <c r="I279" i="19"/>
  <c r="J279" i="19"/>
  <c r="K279" i="19"/>
  <c r="M279" i="19"/>
  <c r="N279" i="19"/>
  <c r="O279" i="19"/>
  <c r="Q279" i="19"/>
  <c r="A280" i="19"/>
  <c r="B280" i="19"/>
  <c r="C280" i="19"/>
  <c r="D280" i="19"/>
  <c r="E280" i="19"/>
  <c r="F280" i="19"/>
  <c r="G280" i="19"/>
  <c r="H280" i="19"/>
  <c r="I280" i="19"/>
  <c r="J280" i="19"/>
  <c r="K280" i="19"/>
  <c r="M280" i="19"/>
  <c r="N280" i="19"/>
  <c r="O280" i="19"/>
  <c r="Q280" i="19"/>
  <c r="A281" i="19"/>
  <c r="B281" i="19"/>
  <c r="C281" i="19"/>
  <c r="D281" i="19"/>
  <c r="E281" i="19"/>
  <c r="F281" i="19"/>
  <c r="G281" i="19"/>
  <c r="H281" i="19"/>
  <c r="I281" i="19"/>
  <c r="J281" i="19"/>
  <c r="K281" i="19"/>
  <c r="M281" i="19"/>
  <c r="N281" i="19"/>
  <c r="O281" i="19"/>
  <c r="Q281" i="19"/>
  <c r="A282" i="19"/>
  <c r="B282" i="19"/>
  <c r="C282" i="19"/>
  <c r="D282" i="19"/>
  <c r="E282" i="19"/>
  <c r="F282" i="19"/>
  <c r="G282" i="19"/>
  <c r="H282" i="19"/>
  <c r="I282" i="19"/>
  <c r="J282" i="19"/>
  <c r="K282" i="19"/>
  <c r="M282" i="19"/>
  <c r="N282" i="19"/>
  <c r="O282" i="19"/>
  <c r="Q282" i="19"/>
  <c r="A283" i="19"/>
  <c r="B283" i="19"/>
  <c r="C283" i="19"/>
  <c r="D283" i="19"/>
  <c r="E283" i="19"/>
  <c r="F283" i="19"/>
  <c r="G283" i="19"/>
  <c r="H283" i="19"/>
  <c r="I283" i="19"/>
  <c r="J283" i="19"/>
  <c r="K283" i="19"/>
  <c r="M283" i="19"/>
  <c r="N283" i="19"/>
  <c r="O283" i="19"/>
  <c r="Q283" i="19"/>
  <c r="A284" i="19"/>
  <c r="B284" i="19"/>
  <c r="C284" i="19"/>
  <c r="D284" i="19"/>
  <c r="E284" i="19"/>
  <c r="F284" i="19"/>
  <c r="G284" i="19"/>
  <c r="H284" i="19"/>
  <c r="I284" i="19"/>
  <c r="J284" i="19"/>
  <c r="K284" i="19"/>
  <c r="M284" i="19"/>
  <c r="N284" i="19"/>
  <c r="O284" i="19"/>
  <c r="Q284" i="19"/>
  <c r="A285" i="19"/>
  <c r="B285" i="19"/>
  <c r="C285" i="19"/>
  <c r="D285" i="19"/>
  <c r="E285" i="19"/>
  <c r="F285" i="19"/>
  <c r="G285" i="19"/>
  <c r="H285" i="19"/>
  <c r="I285" i="19"/>
  <c r="J285" i="19"/>
  <c r="K285" i="19"/>
  <c r="M285" i="19"/>
  <c r="N285" i="19"/>
  <c r="O285" i="19"/>
  <c r="Q285" i="19"/>
  <c r="A286" i="19"/>
  <c r="B286" i="19"/>
  <c r="C286" i="19"/>
  <c r="D286" i="19"/>
  <c r="E286" i="19"/>
  <c r="F286" i="19"/>
  <c r="G286" i="19"/>
  <c r="H286" i="19"/>
  <c r="I286" i="19"/>
  <c r="J286" i="19"/>
  <c r="K286" i="19"/>
  <c r="M286" i="19"/>
  <c r="N286" i="19"/>
  <c r="O286" i="19"/>
  <c r="Q286" i="19"/>
  <c r="A287" i="19"/>
  <c r="B287" i="19"/>
  <c r="C287" i="19"/>
  <c r="D287" i="19"/>
  <c r="E287" i="19"/>
  <c r="F287" i="19"/>
  <c r="G287" i="19"/>
  <c r="H287" i="19"/>
  <c r="I287" i="19"/>
  <c r="J287" i="19"/>
  <c r="K287" i="19"/>
  <c r="M287" i="19"/>
  <c r="N287" i="19"/>
  <c r="O287" i="19"/>
  <c r="Q287" i="19"/>
  <c r="A288" i="19"/>
  <c r="B288" i="19"/>
  <c r="C288" i="19"/>
  <c r="D288" i="19"/>
  <c r="E288" i="19"/>
  <c r="F288" i="19"/>
  <c r="G288" i="19"/>
  <c r="H288" i="19"/>
  <c r="I288" i="19"/>
  <c r="J288" i="19"/>
  <c r="K288" i="19"/>
  <c r="M288" i="19"/>
  <c r="N288" i="19"/>
  <c r="O288" i="19"/>
  <c r="Q288" i="19"/>
  <c r="A289" i="19"/>
  <c r="B289" i="19"/>
  <c r="C289" i="19"/>
  <c r="D289" i="19"/>
  <c r="E289" i="19"/>
  <c r="F289" i="19"/>
  <c r="G289" i="19"/>
  <c r="H289" i="19"/>
  <c r="I289" i="19"/>
  <c r="J289" i="19"/>
  <c r="K289" i="19"/>
  <c r="M289" i="19"/>
  <c r="N289" i="19"/>
  <c r="O289" i="19"/>
  <c r="Q289" i="19"/>
  <c r="A290" i="19"/>
  <c r="B290" i="19"/>
  <c r="C290" i="19"/>
  <c r="D290" i="19"/>
  <c r="E290" i="19"/>
  <c r="F290" i="19"/>
  <c r="G290" i="19"/>
  <c r="H290" i="19"/>
  <c r="I290" i="19"/>
  <c r="J290" i="19"/>
  <c r="K290" i="19"/>
  <c r="M290" i="19"/>
  <c r="N290" i="19"/>
  <c r="O290" i="19"/>
  <c r="Q290" i="19"/>
  <c r="A291" i="19"/>
  <c r="B291" i="19"/>
  <c r="C291" i="19"/>
  <c r="D291" i="19"/>
  <c r="E291" i="19"/>
  <c r="F291" i="19"/>
  <c r="G291" i="19"/>
  <c r="H291" i="19"/>
  <c r="I291" i="19"/>
  <c r="J291" i="19"/>
  <c r="K291" i="19"/>
  <c r="M291" i="19"/>
  <c r="N291" i="19"/>
  <c r="O291" i="19"/>
  <c r="Q291" i="19"/>
  <c r="A292" i="19"/>
  <c r="B292" i="19"/>
  <c r="C292" i="19"/>
  <c r="D292" i="19"/>
  <c r="E292" i="19"/>
  <c r="F292" i="19"/>
  <c r="G292" i="19"/>
  <c r="H292" i="19"/>
  <c r="I292" i="19"/>
  <c r="J292" i="19"/>
  <c r="K292" i="19"/>
  <c r="M292" i="19"/>
  <c r="N292" i="19"/>
  <c r="O292" i="19"/>
  <c r="Q292" i="19"/>
  <c r="A293" i="19"/>
  <c r="B293" i="19"/>
  <c r="C293" i="19"/>
  <c r="D293" i="19"/>
  <c r="E293" i="19"/>
  <c r="F293" i="19"/>
  <c r="G293" i="19"/>
  <c r="H293" i="19"/>
  <c r="I293" i="19"/>
  <c r="J293" i="19"/>
  <c r="K293" i="19"/>
  <c r="M293" i="19"/>
  <c r="N293" i="19"/>
  <c r="O293" i="19"/>
  <c r="Q293" i="19"/>
  <c r="A294" i="19"/>
  <c r="B294" i="19"/>
  <c r="C294" i="19"/>
  <c r="D294" i="19"/>
  <c r="E294" i="19"/>
  <c r="F294" i="19"/>
  <c r="G294" i="19"/>
  <c r="H294" i="19"/>
  <c r="I294" i="19"/>
  <c r="J294" i="19"/>
  <c r="K294" i="19"/>
  <c r="M294" i="19"/>
  <c r="N294" i="19"/>
  <c r="O294" i="19"/>
  <c r="Q294" i="19"/>
  <c r="A295" i="19"/>
  <c r="B295" i="19"/>
  <c r="C295" i="19"/>
  <c r="D295" i="19"/>
  <c r="E295" i="19"/>
  <c r="F295" i="19"/>
  <c r="G295" i="19"/>
  <c r="H295" i="19"/>
  <c r="I295" i="19"/>
  <c r="J295" i="19"/>
  <c r="K295" i="19"/>
  <c r="M295" i="19"/>
  <c r="N295" i="19"/>
  <c r="O295" i="19"/>
  <c r="Q295" i="19"/>
  <c r="A296" i="19"/>
  <c r="B296" i="19"/>
  <c r="C296" i="19"/>
  <c r="D296" i="19"/>
  <c r="E296" i="19"/>
  <c r="F296" i="19"/>
  <c r="G296" i="19"/>
  <c r="H296" i="19"/>
  <c r="I296" i="19"/>
  <c r="J296" i="19"/>
  <c r="K296" i="19"/>
  <c r="M296" i="19"/>
  <c r="N296" i="19"/>
  <c r="O296" i="19"/>
  <c r="Q296" i="19"/>
  <c r="A297" i="19"/>
  <c r="B297" i="19"/>
  <c r="C297" i="19"/>
  <c r="D297" i="19"/>
  <c r="E297" i="19"/>
  <c r="F297" i="19"/>
  <c r="G297" i="19"/>
  <c r="H297" i="19"/>
  <c r="I297" i="19"/>
  <c r="J297" i="19"/>
  <c r="K297" i="19"/>
  <c r="M297" i="19"/>
  <c r="N297" i="19"/>
  <c r="O297" i="19"/>
  <c r="Q297" i="19"/>
  <c r="A298" i="19"/>
  <c r="B298" i="19"/>
  <c r="C298" i="19"/>
  <c r="D298" i="19"/>
  <c r="E298" i="19"/>
  <c r="F298" i="19"/>
  <c r="G298" i="19"/>
  <c r="H298" i="19"/>
  <c r="I298" i="19"/>
  <c r="J298" i="19"/>
  <c r="K298" i="19"/>
  <c r="M298" i="19"/>
  <c r="N298" i="19"/>
  <c r="O298" i="19"/>
  <c r="Q298" i="19"/>
  <c r="A299" i="19"/>
  <c r="B299" i="19"/>
  <c r="C299" i="19"/>
  <c r="D299" i="19"/>
  <c r="E299" i="19"/>
  <c r="F299" i="19"/>
  <c r="G299" i="19"/>
  <c r="H299" i="19"/>
  <c r="I299" i="19"/>
  <c r="J299" i="19"/>
  <c r="K299" i="19"/>
  <c r="M299" i="19"/>
  <c r="N299" i="19"/>
  <c r="O299" i="19"/>
  <c r="Q299" i="19"/>
  <c r="A300" i="19"/>
  <c r="B300" i="19"/>
  <c r="C300" i="19"/>
  <c r="D300" i="19"/>
  <c r="E300" i="19"/>
  <c r="F300" i="19"/>
  <c r="G300" i="19"/>
  <c r="H300" i="19"/>
  <c r="I300" i="19"/>
  <c r="J300" i="19"/>
  <c r="K300" i="19"/>
  <c r="M300" i="19"/>
  <c r="N300" i="19"/>
  <c r="O300" i="19"/>
  <c r="Q300" i="19"/>
  <c r="A301" i="19"/>
  <c r="B301" i="19"/>
  <c r="C301" i="19"/>
  <c r="D301" i="19"/>
  <c r="E301" i="19"/>
  <c r="F301" i="19"/>
  <c r="G301" i="19"/>
  <c r="H301" i="19"/>
  <c r="I301" i="19"/>
  <c r="J301" i="19"/>
  <c r="K301" i="19"/>
  <c r="M301" i="19"/>
  <c r="N301" i="19"/>
  <c r="O301" i="19"/>
  <c r="Q301" i="19"/>
  <c r="A302" i="19"/>
  <c r="B302" i="19"/>
  <c r="C302" i="19"/>
  <c r="D302" i="19"/>
  <c r="E302" i="19"/>
  <c r="F302" i="19"/>
  <c r="G302" i="19"/>
  <c r="H302" i="19"/>
  <c r="I302" i="19"/>
  <c r="J302" i="19"/>
  <c r="K302" i="19"/>
  <c r="M302" i="19"/>
  <c r="N302" i="19"/>
  <c r="O302" i="19"/>
  <c r="Q302" i="19"/>
  <c r="A303" i="19"/>
  <c r="B303" i="19"/>
  <c r="C303" i="19"/>
  <c r="D303" i="19"/>
  <c r="E303" i="19"/>
  <c r="F303" i="19"/>
  <c r="G303" i="19"/>
  <c r="H303" i="19"/>
  <c r="I303" i="19"/>
  <c r="J303" i="19"/>
  <c r="K303" i="19"/>
  <c r="M303" i="19"/>
  <c r="N303" i="19"/>
  <c r="O303" i="19"/>
  <c r="Q303" i="19"/>
  <c r="A304" i="19"/>
  <c r="B304" i="19"/>
  <c r="C304" i="19"/>
  <c r="D304" i="19"/>
  <c r="E304" i="19"/>
  <c r="F304" i="19"/>
  <c r="G304" i="19"/>
  <c r="H304" i="19"/>
  <c r="I304" i="19"/>
  <c r="J304" i="19"/>
  <c r="K304" i="19"/>
  <c r="M304" i="19"/>
  <c r="N304" i="19"/>
  <c r="O304" i="19"/>
  <c r="Q304" i="19"/>
  <c r="A305" i="19"/>
  <c r="B305" i="19"/>
  <c r="C305" i="19"/>
  <c r="D305" i="19"/>
  <c r="E305" i="19"/>
  <c r="F305" i="19"/>
  <c r="G305" i="19"/>
  <c r="H305" i="19"/>
  <c r="I305" i="19"/>
  <c r="J305" i="19"/>
  <c r="K305" i="19"/>
  <c r="M305" i="19"/>
  <c r="N305" i="19"/>
  <c r="O305" i="19"/>
  <c r="Q305" i="19"/>
  <c r="L161" i="19" l="1"/>
  <c r="P161" i="19" s="1"/>
  <c r="R161" i="19" s="1"/>
  <c r="L133" i="19"/>
  <c r="F133" i="49" s="1"/>
  <c r="G133" i="49" s="1"/>
  <c r="L191" i="19"/>
  <c r="F191" i="49" s="1"/>
  <c r="G191" i="49" s="1"/>
  <c r="E181" i="13"/>
  <c r="F181" i="13" s="1"/>
  <c r="L294" i="19"/>
  <c r="F294" i="49" s="1"/>
  <c r="G294" i="49" s="1"/>
  <c r="L193" i="19"/>
  <c r="F193" i="49" s="1"/>
  <c r="G193" i="49" s="1"/>
  <c r="L205" i="19"/>
  <c r="F205" i="49" s="1"/>
  <c r="G205" i="49" s="1"/>
  <c r="L203" i="19"/>
  <c r="F203" i="49" s="1"/>
  <c r="G203" i="49" s="1"/>
  <c r="L197" i="19"/>
  <c r="F197" i="49" s="1"/>
  <c r="G197" i="49" s="1"/>
  <c r="L189" i="19"/>
  <c r="F189" i="49" s="1"/>
  <c r="G189" i="49" s="1"/>
  <c r="L292" i="19"/>
  <c r="P292" i="19" s="1"/>
  <c r="R292" i="19" s="1"/>
  <c r="L201" i="19"/>
  <c r="F201" i="49" s="1"/>
  <c r="G201" i="49" s="1"/>
  <c r="L102" i="19"/>
  <c r="P102" i="19" s="1"/>
  <c r="R102" i="19" s="1"/>
  <c r="L59" i="19"/>
  <c r="P59" i="19" s="1"/>
  <c r="R59" i="19" s="1"/>
  <c r="L51" i="19"/>
  <c r="P51" i="19" s="1"/>
  <c r="R51" i="19" s="1"/>
  <c r="L43" i="19"/>
  <c r="F43" i="49" s="1"/>
  <c r="G43" i="49" s="1"/>
  <c r="L207" i="19"/>
  <c r="P207" i="19" s="1"/>
  <c r="R207" i="19" s="1"/>
  <c r="L199" i="19"/>
  <c r="F199" i="49" s="1"/>
  <c r="G199" i="49" s="1"/>
  <c r="L183" i="19"/>
  <c r="F183" i="49" s="1"/>
  <c r="G183" i="49" s="1"/>
  <c r="L115" i="19"/>
  <c r="F115" i="49" s="1"/>
  <c r="G115" i="49" s="1"/>
  <c r="L13" i="19"/>
  <c r="P13" i="19" s="1"/>
  <c r="R13" i="19" s="1"/>
  <c r="L250" i="19"/>
  <c r="F250" i="49" s="1"/>
  <c r="G250" i="49" s="1"/>
  <c r="L234" i="19"/>
  <c r="F234" i="49" s="1"/>
  <c r="G234" i="49" s="1"/>
  <c r="L211" i="19"/>
  <c r="F211" i="49" s="1"/>
  <c r="G211" i="49" s="1"/>
  <c r="L163" i="19"/>
  <c r="P163" i="19" s="1"/>
  <c r="R163" i="19" s="1"/>
  <c r="L135" i="19"/>
  <c r="F135" i="49" s="1"/>
  <c r="G135" i="49" s="1"/>
  <c r="L127" i="19"/>
  <c r="F127" i="49" s="1"/>
  <c r="G127" i="49" s="1"/>
  <c r="L15" i="19"/>
  <c r="F15" i="49" s="1"/>
  <c r="G15" i="49" s="1"/>
  <c r="L200" i="19"/>
  <c r="F200" i="49" s="1"/>
  <c r="G200" i="49" s="1"/>
  <c r="L177" i="19"/>
  <c r="F177" i="49" s="1"/>
  <c r="G177" i="49" s="1"/>
  <c r="L165" i="19"/>
  <c r="F165" i="49" s="1"/>
  <c r="G165" i="49" s="1"/>
  <c r="L157" i="19"/>
  <c r="F157" i="49" s="1"/>
  <c r="G157" i="49" s="1"/>
  <c r="L129" i="19"/>
  <c r="F129" i="49" s="1"/>
  <c r="G129" i="49" s="1"/>
  <c r="L291" i="19"/>
  <c r="P291" i="19" s="1"/>
  <c r="R291" i="19" s="1"/>
  <c r="L284" i="19"/>
  <c r="F284" i="49" s="1"/>
  <c r="G284" i="49" s="1"/>
  <c r="L283" i="19"/>
  <c r="P283" i="19" s="1"/>
  <c r="R283" i="19" s="1"/>
  <c r="L276" i="19"/>
  <c r="P276" i="19" s="1"/>
  <c r="R276" i="19" s="1"/>
  <c r="L181" i="19"/>
  <c r="P181" i="19" s="1"/>
  <c r="R181" i="19" s="1"/>
  <c r="L179" i="19"/>
  <c r="F179" i="49" s="1"/>
  <c r="G179" i="49" s="1"/>
  <c r="L153" i="19"/>
  <c r="F153" i="49" s="1"/>
  <c r="G153" i="49" s="1"/>
  <c r="L57" i="19"/>
  <c r="F57" i="49" s="1"/>
  <c r="G57" i="49" s="1"/>
  <c r="L49" i="19"/>
  <c r="F49" i="49" s="1"/>
  <c r="G49" i="49" s="1"/>
  <c r="L41" i="19"/>
  <c r="F41" i="49" s="1"/>
  <c r="G41" i="49" s="1"/>
  <c r="L33" i="19"/>
  <c r="F33" i="49" s="1"/>
  <c r="G33" i="49" s="1"/>
  <c r="L25" i="19"/>
  <c r="F25" i="49" s="1"/>
  <c r="G25" i="49" s="1"/>
  <c r="L145" i="19"/>
  <c r="P145" i="19" s="1"/>
  <c r="R145" i="19" s="1"/>
  <c r="L131" i="19"/>
  <c r="F131" i="49" s="1"/>
  <c r="G131" i="49" s="1"/>
  <c r="L19" i="19"/>
  <c r="F19" i="49" s="1"/>
  <c r="G19" i="49" s="1"/>
  <c r="L11" i="19"/>
  <c r="F11" i="49" s="1"/>
  <c r="G11" i="49" s="1"/>
  <c r="L195" i="19"/>
  <c r="F195" i="49" s="1"/>
  <c r="G195" i="49" s="1"/>
  <c r="L171" i="19"/>
  <c r="F171" i="49" s="1"/>
  <c r="G171" i="49" s="1"/>
  <c r="L139" i="19"/>
  <c r="P139" i="19" s="1"/>
  <c r="R139" i="19" s="1"/>
  <c r="L35" i="19"/>
  <c r="P35" i="19" s="1"/>
  <c r="R35" i="19" s="1"/>
  <c r="L27" i="19"/>
  <c r="F27" i="49" s="1"/>
  <c r="G27" i="49" s="1"/>
  <c r="L125" i="19"/>
  <c r="P125" i="19" s="1"/>
  <c r="R125" i="19" s="1"/>
  <c r="L296" i="19"/>
  <c r="P296" i="19" s="1"/>
  <c r="R296" i="19" s="1"/>
  <c r="L185" i="19"/>
  <c r="F185" i="49" s="1"/>
  <c r="G185" i="49" s="1"/>
  <c r="L173" i="19"/>
  <c r="F173" i="49" s="1"/>
  <c r="G173" i="49" s="1"/>
  <c r="L149" i="19"/>
  <c r="F149" i="49" s="1"/>
  <c r="G149" i="49" s="1"/>
  <c r="L141" i="19"/>
  <c r="F141" i="49" s="1"/>
  <c r="G141" i="49" s="1"/>
  <c r="L110" i="19"/>
  <c r="P110" i="19" s="1"/>
  <c r="R110" i="19" s="1"/>
  <c r="C60" i="25"/>
  <c r="E61" i="13"/>
  <c r="F61" i="13" s="1"/>
  <c r="C52" i="25"/>
  <c r="E53" i="13"/>
  <c r="F53" i="13" s="1"/>
  <c r="C44" i="25"/>
  <c r="E45" i="13"/>
  <c r="F45" i="13" s="1"/>
  <c r="C36" i="25"/>
  <c r="E37" i="13"/>
  <c r="C28" i="25"/>
  <c r="E29" i="13"/>
  <c r="F29" i="13" s="1"/>
  <c r="C20" i="25"/>
  <c r="E21" i="13"/>
  <c r="C298" i="25"/>
  <c r="E299" i="13"/>
  <c r="F299" i="13" s="1"/>
  <c r="L226" i="19"/>
  <c r="F226" i="49" s="1"/>
  <c r="G226" i="49" s="1"/>
  <c r="C221" i="25"/>
  <c r="E222" i="13"/>
  <c r="F222" i="13" s="1"/>
  <c r="L218" i="19"/>
  <c r="F218" i="49" s="1"/>
  <c r="G218" i="49" s="1"/>
  <c r="C213" i="25"/>
  <c r="E214" i="13"/>
  <c r="F214" i="13" s="1"/>
  <c r="L196" i="19"/>
  <c r="C172" i="25"/>
  <c r="E173" i="13"/>
  <c r="F173" i="13" s="1"/>
  <c r="C164" i="25"/>
  <c r="E165" i="13"/>
  <c r="F165" i="13" s="1"/>
  <c r="C156" i="25"/>
  <c r="E157" i="13"/>
  <c r="F157" i="13" s="1"/>
  <c r="C14" i="25"/>
  <c r="E15" i="13"/>
  <c r="E7" i="13"/>
  <c r="C6" i="25"/>
  <c r="C229" i="25"/>
  <c r="E230" i="13"/>
  <c r="F230" i="13" s="1"/>
  <c r="L117" i="19"/>
  <c r="C62" i="25"/>
  <c r="E63" i="13"/>
  <c r="F63" i="13" s="1"/>
  <c r="C54" i="25"/>
  <c r="E55" i="13"/>
  <c r="F55" i="13" s="1"/>
  <c r="C46" i="25"/>
  <c r="E47" i="13"/>
  <c r="F47" i="13" s="1"/>
  <c r="C38" i="25"/>
  <c r="E39" i="13"/>
  <c r="F39" i="13" s="1"/>
  <c r="C30" i="25"/>
  <c r="E31" i="13"/>
  <c r="F31" i="13" s="1"/>
  <c r="E23" i="13"/>
  <c r="C22" i="25"/>
  <c r="L7" i="19"/>
  <c r="C237" i="25"/>
  <c r="E238" i="13"/>
  <c r="F238" i="13" s="1"/>
  <c r="C261" i="25"/>
  <c r="E262" i="13"/>
  <c r="F262" i="13" s="1"/>
  <c r="C96" i="25"/>
  <c r="E97" i="13"/>
  <c r="F97" i="13" s="1"/>
  <c r="E89" i="13"/>
  <c r="F89" i="13" s="1"/>
  <c r="C88" i="25"/>
  <c r="C80" i="25"/>
  <c r="E81" i="13"/>
  <c r="F81" i="13" s="1"/>
  <c r="E73" i="13"/>
  <c r="F73" i="13" s="1"/>
  <c r="C72" i="25"/>
  <c r="C64" i="25"/>
  <c r="E65" i="13"/>
  <c r="F65" i="13" s="1"/>
  <c r="C16" i="25"/>
  <c r="E17" i="13"/>
  <c r="F17" i="13" s="1"/>
  <c r="E9" i="13"/>
  <c r="F9" i="13" s="1"/>
  <c r="C8" i="25"/>
  <c r="C300" i="25"/>
  <c r="E301" i="13"/>
  <c r="F301" i="13" s="1"/>
  <c r="L298" i="19"/>
  <c r="C166" i="25"/>
  <c r="E167" i="13"/>
  <c r="F167" i="13" s="1"/>
  <c r="C158" i="25"/>
  <c r="E159" i="13"/>
  <c r="F159" i="13" s="1"/>
  <c r="C174" i="25"/>
  <c r="E175" i="13"/>
  <c r="F175" i="13" s="1"/>
  <c r="L167" i="19"/>
  <c r="L151" i="19"/>
  <c r="L119" i="19"/>
  <c r="C106" i="25"/>
  <c r="E107" i="13"/>
  <c r="F107" i="13" s="1"/>
  <c r="L64" i="19"/>
  <c r="L61" i="19"/>
  <c r="C56" i="25"/>
  <c r="E57" i="13"/>
  <c r="F57" i="13" s="1"/>
  <c r="L53" i="19"/>
  <c r="C48" i="25"/>
  <c r="E49" i="13"/>
  <c r="L45" i="19"/>
  <c r="C40" i="25"/>
  <c r="E41" i="13"/>
  <c r="F41" i="13" s="1"/>
  <c r="L37" i="19"/>
  <c r="C32" i="25"/>
  <c r="E33" i="13"/>
  <c r="F33" i="13" s="1"/>
  <c r="L29" i="19"/>
  <c r="E25" i="13"/>
  <c r="F25" i="13" s="1"/>
  <c r="C24" i="25"/>
  <c r="C253" i="25"/>
  <c r="E254" i="13"/>
  <c r="F254" i="13" s="1"/>
  <c r="C269" i="25"/>
  <c r="E270" i="13"/>
  <c r="F270" i="13" s="1"/>
  <c r="C278" i="25"/>
  <c r="E279" i="13"/>
  <c r="F279" i="13" s="1"/>
  <c r="L275" i="19"/>
  <c r="C270" i="25"/>
  <c r="E271" i="13"/>
  <c r="F271" i="13" s="1"/>
  <c r="L204" i="19"/>
  <c r="L188" i="19"/>
  <c r="C168" i="25"/>
  <c r="E169" i="13"/>
  <c r="F169" i="13" s="1"/>
  <c r="C160" i="25"/>
  <c r="E161" i="13"/>
  <c r="F161" i="13" s="1"/>
  <c r="C18" i="25"/>
  <c r="E19" i="13"/>
  <c r="F19" i="13" s="1"/>
  <c r="C10" i="25"/>
  <c r="E11" i="13"/>
  <c r="F11" i="13" s="1"/>
  <c r="C245" i="25"/>
  <c r="E246" i="13"/>
  <c r="F246" i="13" s="1"/>
  <c r="C286" i="25"/>
  <c r="E287" i="13"/>
  <c r="F287" i="13" s="1"/>
  <c r="C176" i="25"/>
  <c r="E177" i="13"/>
  <c r="F177" i="13" s="1"/>
  <c r="L169" i="19"/>
  <c r="L63" i="19"/>
  <c r="C58" i="25"/>
  <c r="E59" i="13"/>
  <c r="L55" i="19"/>
  <c r="C50" i="25"/>
  <c r="E51" i="13"/>
  <c r="F51" i="13" s="1"/>
  <c r="L47" i="19"/>
  <c r="C42" i="25"/>
  <c r="E43" i="13"/>
  <c r="F43" i="13" s="1"/>
  <c r="L39" i="19"/>
  <c r="C34" i="25"/>
  <c r="E35" i="13"/>
  <c r="F35" i="13" s="1"/>
  <c r="L31" i="19"/>
  <c r="C26" i="25"/>
  <c r="E27" i="13"/>
  <c r="F27" i="13" s="1"/>
  <c r="L23" i="19"/>
  <c r="C301" i="25"/>
  <c r="E302" i="13"/>
  <c r="F302" i="13" s="1"/>
  <c r="L300" i="19"/>
  <c r="L302" i="19"/>
  <c r="L192" i="19"/>
  <c r="F192" i="49" s="1"/>
  <c r="G192" i="49" s="1"/>
  <c r="C170" i="25"/>
  <c r="E171" i="13"/>
  <c r="F171" i="13" s="1"/>
  <c r="C162" i="25"/>
  <c r="E163" i="13"/>
  <c r="F163" i="13" s="1"/>
  <c r="L159" i="19"/>
  <c r="C154" i="25"/>
  <c r="E155" i="13"/>
  <c r="F155" i="13" s="1"/>
  <c r="L121" i="19"/>
  <c r="L17" i="19"/>
  <c r="C12" i="25"/>
  <c r="E13" i="13"/>
  <c r="L9" i="19"/>
  <c r="C287" i="25"/>
  <c r="E288" i="13"/>
  <c r="F288" i="13" s="1"/>
  <c r="C279" i="25"/>
  <c r="E280" i="13"/>
  <c r="F280" i="13" s="1"/>
  <c r="C271" i="25"/>
  <c r="E272" i="13"/>
  <c r="F272" i="13" s="1"/>
  <c r="L267" i="19"/>
  <c r="C262" i="25"/>
  <c r="E263" i="13"/>
  <c r="F263" i="13" s="1"/>
  <c r="L259" i="19"/>
  <c r="C254" i="25"/>
  <c r="E255" i="13"/>
  <c r="F255" i="13" s="1"/>
  <c r="E247" i="13"/>
  <c r="F247" i="13" s="1"/>
  <c r="C246" i="25"/>
  <c r="C238" i="25"/>
  <c r="E239" i="13"/>
  <c r="F239" i="13" s="1"/>
  <c r="C230" i="25"/>
  <c r="E231" i="13"/>
  <c r="F231" i="13" s="1"/>
  <c r="C222" i="25"/>
  <c r="E223" i="13"/>
  <c r="F223" i="13" s="1"/>
  <c r="E215" i="13"/>
  <c r="F215" i="13" s="1"/>
  <c r="C214" i="25"/>
  <c r="L213" i="19"/>
  <c r="C184" i="25"/>
  <c r="E185" i="13"/>
  <c r="F185" i="13" s="1"/>
  <c r="C182" i="25"/>
  <c r="E183" i="13"/>
  <c r="F183" i="13" s="1"/>
  <c r="C178" i="25"/>
  <c r="E179" i="13"/>
  <c r="F179" i="13" s="1"/>
  <c r="C177" i="25"/>
  <c r="E178" i="13"/>
  <c r="F178" i="13" s="1"/>
  <c r="C175" i="25"/>
  <c r="E176" i="13"/>
  <c r="F176" i="13" s="1"/>
  <c r="C173" i="25"/>
  <c r="E174" i="13"/>
  <c r="F174" i="13" s="1"/>
  <c r="C171" i="25"/>
  <c r="E172" i="13"/>
  <c r="F172" i="13" s="1"/>
  <c r="C169" i="25"/>
  <c r="E170" i="13"/>
  <c r="F170" i="13" s="1"/>
  <c r="C167" i="25"/>
  <c r="E168" i="13"/>
  <c r="F168" i="13" s="1"/>
  <c r="C165" i="25"/>
  <c r="E166" i="13"/>
  <c r="F166" i="13" s="1"/>
  <c r="C163" i="25"/>
  <c r="E164" i="13"/>
  <c r="F164" i="13" s="1"/>
  <c r="C161" i="25"/>
  <c r="E162" i="13"/>
  <c r="F162" i="13" s="1"/>
  <c r="C159" i="25"/>
  <c r="E160" i="13"/>
  <c r="F160" i="13" s="1"/>
  <c r="C157" i="25"/>
  <c r="E158" i="13"/>
  <c r="F158" i="13" s="1"/>
  <c r="C155" i="25"/>
  <c r="E156" i="13"/>
  <c r="F156" i="13" s="1"/>
  <c r="L147" i="19"/>
  <c r="L144" i="19"/>
  <c r="F144" i="49" s="1"/>
  <c r="G144" i="49" s="1"/>
  <c r="L140" i="19"/>
  <c r="L136" i="19"/>
  <c r="F136" i="49" s="1"/>
  <c r="G136" i="49" s="1"/>
  <c r="L132" i="19"/>
  <c r="L128" i="19"/>
  <c r="F128" i="49" s="1"/>
  <c r="G128" i="49" s="1"/>
  <c r="L124" i="19"/>
  <c r="C109" i="25"/>
  <c r="E110" i="13"/>
  <c r="F110" i="13" s="1"/>
  <c r="C107" i="25"/>
  <c r="E108" i="13"/>
  <c r="L108" i="19"/>
  <c r="C97" i="25"/>
  <c r="E98" i="13"/>
  <c r="F98" i="13" s="1"/>
  <c r="C89" i="25"/>
  <c r="E90" i="13"/>
  <c r="F90" i="13" s="1"/>
  <c r="C81" i="25"/>
  <c r="E82" i="13"/>
  <c r="F82" i="13" s="1"/>
  <c r="C73" i="25"/>
  <c r="E74" i="13"/>
  <c r="F74" i="13" s="1"/>
  <c r="C65" i="25"/>
  <c r="E66" i="13"/>
  <c r="F66" i="13" s="1"/>
  <c r="C61" i="25"/>
  <c r="E62" i="13"/>
  <c r="F62" i="13" s="1"/>
  <c r="C59" i="25"/>
  <c r="E60" i="13"/>
  <c r="F60" i="13" s="1"/>
  <c r="C57" i="25"/>
  <c r="E58" i="13"/>
  <c r="F58" i="13" s="1"/>
  <c r="C55" i="25"/>
  <c r="E56" i="13"/>
  <c r="F56" i="13" s="1"/>
  <c r="C53" i="25"/>
  <c r="E54" i="13"/>
  <c r="F54" i="13" s="1"/>
  <c r="C51" i="25"/>
  <c r="E52" i="13"/>
  <c r="F52" i="13" s="1"/>
  <c r="C49" i="25"/>
  <c r="E50" i="13"/>
  <c r="F50" i="13" s="1"/>
  <c r="C47" i="25"/>
  <c r="E48" i="13"/>
  <c r="F48" i="13" s="1"/>
  <c r="C45" i="25"/>
  <c r="E46" i="13"/>
  <c r="F46" i="13" s="1"/>
  <c r="C43" i="25"/>
  <c r="E44" i="13"/>
  <c r="F44" i="13" s="1"/>
  <c r="C41" i="25"/>
  <c r="E42" i="13"/>
  <c r="F42" i="13" s="1"/>
  <c r="C39" i="25"/>
  <c r="E40" i="13"/>
  <c r="F40" i="13" s="1"/>
  <c r="C37" i="25"/>
  <c r="E38" i="13"/>
  <c r="F38" i="13" s="1"/>
  <c r="C35" i="25"/>
  <c r="E36" i="13"/>
  <c r="F36" i="13" s="1"/>
  <c r="C33" i="25"/>
  <c r="E34" i="13"/>
  <c r="F34" i="13" s="1"/>
  <c r="C31" i="25"/>
  <c r="E32" i="13"/>
  <c r="F32" i="13" s="1"/>
  <c r="C29" i="25"/>
  <c r="E30" i="13"/>
  <c r="F30" i="13" s="1"/>
  <c r="C27" i="25"/>
  <c r="E28" i="13"/>
  <c r="F28" i="13" s="1"/>
  <c r="C25" i="25"/>
  <c r="E26" i="13"/>
  <c r="F26" i="13" s="1"/>
  <c r="C23" i="25"/>
  <c r="E24" i="13"/>
  <c r="F24" i="13" s="1"/>
  <c r="C21" i="25"/>
  <c r="E22" i="13"/>
  <c r="F22" i="13" s="1"/>
  <c r="C19" i="25"/>
  <c r="E20" i="13"/>
  <c r="F20" i="13" s="1"/>
  <c r="C17" i="25"/>
  <c r="E18" i="13"/>
  <c r="F18" i="13" s="1"/>
  <c r="C15" i="25"/>
  <c r="E16" i="13"/>
  <c r="F16" i="13" s="1"/>
  <c r="C13" i="25"/>
  <c r="E14" i="13"/>
  <c r="F14" i="13" s="1"/>
  <c r="C11" i="25"/>
  <c r="E12" i="13"/>
  <c r="F12" i="13" s="1"/>
  <c r="C9" i="25"/>
  <c r="E10" i="13"/>
  <c r="F10" i="13" s="1"/>
  <c r="C7" i="25"/>
  <c r="E8" i="13"/>
  <c r="F8" i="13" s="1"/>
  <c r="C303" i="25"/>
  <c r="E304" i="13"/>
  <c r="F304" i="13" s="1"/>
  <c r="L293" i="19"/>
  <c r="C288" i="25"/>
  <c r="E289" i="13"/>
  <c r="L286" i="19"/>
  <c r="L285" i="19"/>
  <c r="L282" i="19"/>
  <c r="C280" i="25"/>
  <c r="E281" i="13"/>
  <c r="F281" i="13" s="1"/>
  <c r="L278" i="19"/>
  <c r="L277" i="19"/>
  <c r="C272" i="25"/>
  <c r="E273" i="13"/>
  <c r="F273" i="13" s="1"/>
  <c r="L269" i="19"/>
  <c r="C263" i="25"/>
  <c r="E264" i="13"/>
  <c r="F264" i="13" s="1"/>
  <c r="C255" i="25"/>
  <c r="E256" i="13"/>
  <c r="F256" i="13" s="1"/>
  <c r="L253" i="19"/>
  <c r="C247" i="25"/>
  <c r="E248" i="13"/>
  <c r="F248" i="13" s="1"/>
  <c r="C239" i="25"/>
  <c r="E240" i="13"/>
  <c r="F240" i="13" s="1"/>
  <c r="C231" i="25"/>
  <c r="E232" i="13"/>
  <c r="F232" i="13" s="1"/>
  <c r="C223" i="25"/>
  <c r="E224" i="13"/>
  <c r="F224" i="13" s="1"/>
  <c r="C215" i="25"/>
  <c r="E216" i="13"/>
  <c r="F216" i="13" s="1"/>
  <c r="C185" i="25"/>
  <c r="E186" i="13"/>
  <c r="F186" i="13" s="1"/>
  <c r="C183" i="25"/>
  <c r="E184" i="13"/>
  <c r="F184" i="13" s="1"/>
  <c r="C181" i="25"/>
  <c r="E182" i="13"/>
  <c r="F182" i="13" s="1"/>
  <c r="C179" i="25"/>
  <c r="E180" i="13"/>
  <c r="F180" i="13" s="1"/>
  <c r="C120" i="25"/>
  <c r="E121" i="13"/>
  <c r="F121" i="13" s="1"/>
  <c r="C118" i="25"/>
  <c r="E119" i="13"/>
  <c r="F119" i="13" s="1"/>
  <c r="C116" i="25"/>
  <c r="E117" i="13"/>
  <c r="F117" i="13" s="1"/>
  <c r="C114" i="25"/>
  <c r="E115" i="13"/>
  <c r="F115" i="13" s="1"/>
  <c r="C112" i="25"/>
  <c r="E113" i="13"/>
  <c r="F113" i="13" s="1"/>
  <c r="C110" i="25"/>
  <c r="E111" i="13"/>
  <c r="F111" i="13" s="1"/>
  <c r="C108" i="25"/>
  <c r="E109" i="13"/>
  <c r="F109" i="13" s="1"/>
  <c r="C98" i="25"/>
  <c r="E99" i="13"/>
  <c r="F99" i="13" s="1"/>
  <c r="C90" i="25"/>
  <c r="E91" i="13"/>
  <c r="F91" i="13" s="1"/>
  <c r="C82" i="25"/>
  <c r="E83" i="13"/>
  <c r="F83" i="13" s="1"/>
  <c r="C74" i="25"/>
  <c r="E75" i="13"/>
  <c r="F75" i="13" s="1"/>
  <c r="C66" i="25"/>
  <c r="E67" i="13"/>
  <c r="F67" i="13" s="1"/>
  <c r="L297" i="19"/>
  <c r="C281" i="25"/>
  <c r="E282" i="13"/>
  <c r="F282" i="13" s="1"/>
  <c r="C273" i="25"/>
  <c r="E274" i="13"/>
  <c r="F274" i="13" s="1"/>
  <c r="C264" i="25"/>
  <c r="E265" i="13"/>
  <c r="C256" i="25"/>
  <c r="E257" i="13"/>
  <c r="F257" i="13" s="1"/>
  <c r="C248" i="25"/>
  <c r="E249" i="13"/>
  <c r="F249" i="13" s="1"/>
  <c r="C240" i="25"/>
  <c r="E241" i="13"/>
  <c r="F241" i="13" s="1"/>
  <c r="C232" i="25"/>
  <c r="E233" i="13"/>
  <c r="F233" i="13" s="1"/>
  <c r="L229" i="19"/>
  <c r="C224" i="25"/>
  <c r="E225" i="13"/>
  <c r="F225" i="13" s="1"/>
  <c r="L221" i="19"/>
  <c r="C216" i="25"/>
  <c r="E217" i="13"/>
  <c r="F217" i="13" s="1"/>
  <c r="L215" i="19"/>
  <c r="C206" i="25"/>
  <c r="E207" i="13"/>
  <c r="F207" i="13" s="1"/>
  <c r="C204" i="25"/>
  <c r="E205" i="13"/>
  <c r="F205" i="13" s="1"/>
  <c r="C202" i="25"/>
  <c r="E203" i="13"/>
  <c r="F203" i="13" s="1"/>
  <c r="C200" i="25"/>
  <c r="E201" i="13"/>
  <c r="F201" i="13" s="1"/>
  <c r="E199" i="13"/>
  <c r="F199" i="13" s="1"/>
  <c r="C198" i="25"/>
  <c r="C196" i="25"/>
  <c r="E197" i="13"/>
  <c r="F197" i="13" s="1"/>
  <c r="C194" i="25"/>
  <c r="E195" i="13"/>
  <c r="F195" i="13" s="1"/>
  <c r="C192" i="25"/>
  <c r="E193" i="13"/>
  <c r="F193" i="13" s="1"/>
  <c r="C190" i="25"/>
  <c r="E191" i="13"/>
  <c r="F191" i="13" s="1"/>
  <c r="C188" i="25"/>
  <c r="E189" i="13"/>
  <c r="F189" i="13" s="1"/>
  <c r="C186" i="25"/>
  <c r="E187" i="13"/>
  <c r="F187" i="13" s="1"/>
  <c r="L155" i="19"/>
  <c r="L152" i="19"/>
  <c r="F152" i="49" s="1"/>
  <c r="G152" i="49" s="1"/>
  <c r="L148" i="19"/>
  <c r="C121" i="25"/>
  <c r="E122" i="13"/>
  <c r="F122" i="13" s="1"/>
  <c r="C119" i="25"/>
  <c r="E120" i="13"/>
  <c r="F120" i="13" s="1"/>
  <c r="C117" i="25"/>
  <c r="E118" i="13"/>
  <c r="F118" i="13" s="1"/>
  <c r="C115" i="25"/>
  <c r="E116" i="13"/>
  <c r="C113" i="25"/>
  <c r="E114" i="13"/>
  <c r="F114" i="13" s="1"/>
  <c r="C111" i="25"/>
  <c r="E112" i="13"/>
  <c r="F112" i="13" s="1"/>
  <c r="L106" i="19"/>
  <c r="C101" i="25"/>
  <c r="E102" i="13"/>
  <c r="F102" i="13" s="1"/>
  <c r="C99" i="25"/>
  <c r="E100" i="13"/>
  <c r="F100" i="13" s="1"/>
  <c r="C91" i="25"/>
  <c r="E92" i="13"/>
  <c r="C83" i="25"/>
  <c r="E84" i="13"/>
  <c r="F84" i="13" s="1"/>
  <c r="C75" i="25"/>
  <c r="E76" i="13"/>
  <c r="F76" i="13" s="1"/>
  <c r="C67" i="25"/>
  <c r="E68" i="13"/>
  <c r="F68" i="13" s="1"/>
  <c r="C302" i="25"/>
  <c r="E303" i="13"/>
  <c r="F303" i="13" s="1"/>
  <c r="C304" i="25"/>
  <c r="E305" i="13"/>
  <c r="F305" i="13" s="1"/>
  <c r="L295" i="19"/>
  <c r="C289" i="25"/>
  <c r="E290" i="13"/>
  <c r="F290" i="13" s="1"/>
  <c r="L301" i="19"/>
  <c r="L299" i="19"/>
  <c r="C290" i="25"/>
  <c r="E291" i="13"/>
  <c r="F291" i="13" s="1"/>
  <c r="L288" i="19"/>
  <c r="L287" i="19"/>
  <c r="C282" i="25"/>
  <c r="E283" i="13"/>
  <c r="F283" i="13" s="1"/>
  <c r="L280" i="19"/>
  <c r="L279" i="19"/>
  <c r="C274" i="25"/>
  <c r="E275" i="13"/>
  <c r="F275" i="13" s="1"/>
  <c r="C265" i="25"/>
  <c r="E266" i="13"/>
  <c r="F266" i="13" s="1"/>
  <c r="L263" i="19"/>
  <c r="C257" i="25"/>
  <c r="E258" i="13"/>
  <c r="F258" i="13" s="1"/>
  <c r="L255" i="19"/>
  <c r="C249" i="25"/>
  <c r="E250" i="13"/>
  <c r="F250" i="13" s="1"/>
  <c r="L246" i="19"/>
  <c r="F246" i="49" s="1"/>
  <c r="G246" i="49" s="1"/>
  <c r="C241" i="25"/>
  <c r="E242" i="13"/>
  <c r="F242" i="13" s="1"/>
  <c r="L238" i="19"/>
  <c r="F238" i="49" s="1"/>
  <c r="G238" i="49" s="1"/>
  <c r="C233" i="25"/>
  <c r="E234" i="13"/>
  <c r="F234" i="13" s="1"/>
  <c r="L230" i="19"/>
  <c r="F230" i="49" s="1"/>
  <c r="G230" i="49" s="1"/>
  <c r="C225" i="25"/>
  <c r="E226" i="13"/>
  <c r="F226" i="13" s="1"/>
  <c r="C217" i="25"/>
  <c r="E218" i="13"/>
  <c r="F218" i="13" s="1"/>
  <c r="L214" i="19"/>
  <c r="C207" i="25"/>
  <c r="E208" i="13"/>
  <c r="F208" i="13" s="1"/>
  <c r="C205" i="25"/>
  <c r="E206" i="13"/>
  <c r="F206" i="13" s="1"/>
  <c r="C203" i="25"/>
  <c r="E204" i="13"/>
  <c r="F204" i="13" s="1"/>
  <c r="C201" i="25"/>
  <c r="E202" i="13"/>
  <c r="F202" i="13" s="1"/>
  <c r="C199" i="25"/>
  <c r="E200" i="13"/>
  <c r="F200" i="13" s="1"/>
  <c r="C197" i="25"/>
  <c r="E198" i="13"/>
  <c r="F198" i="13" s="1"/>
  <c r="C195" i="25"/>
  <c r="E196" i="13"/>
  <c r="F196" i="13" s="1"/>
  <c r="C193" i="25"/>
  <c r="E194" i="13"/>
  <c r="F194" i="13" s="1"/>
  <c r="C191" i="25"/>
  <c r="E192" i="13"/>
  <c r="F192" i="13" s="1"/>
  <c r="C189" i="25"/>
  <c r="E190" i="13"/>
  <c r="F190" i="13" s="1"/>
  <c r="C187" i="25"/>
  <c r="E188" i="13"/>
  <c r="F188" i="13" s="1"/>
  <c r="C144" i="25"/>
  <c r="E145" i="13"/>
  <c r="F145" i="13" s="1"/>
  <c r="C142" i="25"/>
  <c r="E143" i="13"/>
  <c r="F143" i="13" s="1"/>
  <c r="C140" i="25"/>
  <c r="E141" i="13"/>
  <c r="F141" i="13" s="1"/>
  <c r="C138" i="25"/>
  <c r="E139" i="13"/>
  <c r="F139" i="13" s="1"/>
  <c r="C136" i="25"/>
  <c r="E137" i="13"/>
  <c r="F137" i="13" s="1"/>
  <c r="C134" i="25"/>
  <c r="E135" i="13"/>
  <c r="F135" i="13" s="1"/>
  <c r="C132" i="25"/>
  <c r="E133" i="13"/>
  <c r="F133" i="13" s="1"/>
  <c r="C130" i="25"/>
  <c r="E131" i="13"/>
  <c r="F131" i="13" s="1"/>
  <c r="C128" i="25"/>
  <c r="E129" i="13"/>
  <c r="F129" i="13" s="1"/>
  <c r="C126" i="25"/>
  <c r="E127" i="13"/>
  <c r="F127" i="13" s="1"/>
  <c r="C124" i="25"/>
  <c r="E125" i="13"/>
  <c r="F125" i="13" s="1"/>
  <c r="C122" i="25"/>
  <c r="E123" i="13"/>
  <c r="F123" i="13" s="1"/>
  <c r="E103" i="13"/>
  <c r="F103" i="13" s="1"/>
  <c r="C102" i="25"/>
  <c r="C100" i="25"/>
  <c r="E101" i="13"/>
  <c r="F101" i="13" s="1"/>
  <c r="C92" i="25"/>
  <c r="E93" i="13"/>
  <c r="F93" i="13" s="1"/>
  <c r="C84" i="25"/>
  <c r="E85" i="13"/>
  <c r="F85" i="13" s="1"/>
  <c r="C76" i="25"/>
  <c r="E77" i="13"/>
  <c r="F77" i="13" s="1"/>
  <c r="C68" i="25"/>
  <c r="E69" i="13"/>
  <c r="F69" i="13" s="1"/>
  <c r="L304" i="19"/>
  <c r="C283" i="25"/>
  <c r="E284" i="13"/>
  <c r="F284" i="13" s="1"/>
  <c r="C275" i="25"/>
  <c r="E276" i="13"/>
  <c r="F276" i="13" s="1"/>
  <c r="C266" i="25"/>
  <c r="E267" i="13"/>
  <c r="F267" i="13" s="1"/>
  <c r="C258" i="25"/>
  <c r="E259" i="13"/>
  <c r="C250" i="25"/>
  <c r="E251" i="13"/>
  <c r="F251" i="13" s="1"/>
  <c r="C242" i="25"/>
  <c r="E243" i="13"/>
  <c r="F243" i="13" s="1"/>
  <c r="C234" i="25"/>
  <c r="E235" i="13"/>
  <c r="F235" i="13" s="1"/>
  <c r="C226" i="25"/>
  <c r="E227" i="13"/>
  <c r="F227" i="13" s="1"/>
  <c r="C218" i="25"/>
  <c r="E219" i="13"/>
  <c r="F219" i="13" s="1"/>
  <c r="C210" i="25"/>
  <c r="E211" i="13"/>
  <c r="F211" i="13" s="1"/>
  <c r="C208" i="25"/>
  <c r="E209" i="13"/>
  <c r="F209" i="13" s="1"/>
  <c r="L176" i="19"/>
  <c r="F176" i="49" s="1"/>
  <c r="G176" i="49" s="1"/>
  <c r="L172" i="19"/>
  <c r="L168" i="19"/>
  <c r="F168" i="49" s="1"/>
  <c r="G168" i="49" s="1"/>
  <c r="L164" i="19"/>
  <c r="L160" i="19"/>
  <c r="F160" i="49" s="1"/>
  <c r="G160" i="49" s="1"/>
  <c r="L156" i="19"/>
  <c r="C145" i="25"/>
  <c r="E146" i="13"/>
  <c r="F146" i="13" s="1"/>
  <c r="C143" i="25"/>
  <c r="E144" i="13"/>
  <c r="C141" i="25"/>
  <c r="E142" i="13"/>
  <c r="F142" i="13" s="1"/>
  <c r="C139" i="25"/>
  <c r="E140" i="13"/>
  <c r="F140" i="13" s="1"/>
  <c r="C137" i="25"/>
  <c r="E138" i="13"/>
  <c r="F138" i="13" s="1"/>
  <c r="C135" i="25"/>
  <c r="E136" i="13"/>
  <c r="C133" i="25"/>
  <c r="E134" i="13"/>
  <c r="F134" i="13" s="1"/>
  <c r="C131" i="25"/>
  <c r="E132" i="13"/>
  <c r="C129" i="25"/>
  <c r="E130" i="13"/>
  <c r="F130" i="13" s="1"/>
  <c r="C127" i="25"/>
  <c r="E128" i="13"/>
  <c r="C125" i="25"/>
  <c r="E126" i="13"/>
  <c r="F126" i="13" s="1"/>
  <c r="C123" i="25"/>
  <c r="E124" i="13"/>
  <c r="F124" i="13" s="1"/>
  <c r="C103" i="25"/>
  <c r="E104" i="13"/>
  <c r="F104" i="13" s="1"/>
  <c r="C93" i="25"/>
  <c r="E94" i="13"/>
  <c r="F94" i="13" s="1"/>
  <c r="C85" i="25"/>
  <c r="E86" i="13"/>
  <c r="F86" i="13" s="1"/>
  <c r="C77" i="25"/>
  <c r="E78" i="13"/>
  <c r="F78" i="13" s="1"/>
  <c r="C69" i="25"/>
  <c r="E70" i="13"/>
  <c r="F70" i="13" s="1"/>
  <c r="L303" i="19"/>
  <c r="C291" i="25"/>
  <c r="E292" i="13"/>
  <c r="F292" i="13" s="1"/>
  <c r="C295" i="25"/>
  <c r="E296" i="13"/>
  <c r="F296" i="13" s="1"/>
  <c r="C293" i="25"/>
  <c r="E294" i="13"/>
  <c r="F294" i="13" s="1"/>
  <c r="C292" i="25"/>
  <c r="E293" i="13"/>
  <c r="F293" i="13" s="1"/>
  <c r="L290" i="19"/>
  <c r="L289" i="19"/>
  <c r="C284" i="25"/>
  <c r="E285" i="13"/>
  <c r="F285" i="13" s="1"/>
  <c r="L281" i="19"/>
  <c r="C276" i="25"/>
  <c r="E277" i="13"/>
  <c r="F277" i="13" s="1"/>
  <c r="L273" i="19"/>
  <c r="C267" i="25"/>
  <c r="E268" i="13"/>
  <c r="F268" i="13" s="1"/>
  <c r="C259" i="25"/>
  <c r="E260" i="13"/>
  <c r="F260" i="13" s="1"/>
  <c r="L256" i="19"/>
  <c r="C251" i="25"/>
  <c r="E252" i="13"/>
  <c r="F252" i="13" s="1"/>
  <c r="C243" i="25"/>
  <c r="E244" i="13"/>
  <c r="F244" i="13" s="1"/>
  <c r="C235" i="25"/>
  <c r="E236" i="13"/>
  <c r="F236" i="13" s="1"/>
  <c r="C227" i="25"/>
  <c r="E228" i="13"/>
  <c r="F228" i="13" s="1"/>
  <c r="C219" i="25"/>
  <c r="E220" i="13"/>
  <c r="F220" i="13" s="1"/>
  <c r="L216" i="19"/>
  <c r="C211" i="25"/>
  <c r="E212" i="13"/>
  <c r="F212" i="13" s="1"/>
  <c r="C209" i="25"/>
  <c r="E210" i="13"/>
  <c r="F210" i="13" s="1"/>
  <c r="L187" i="19"/>
  <c r="L184" i="19"/>
  <c r="F184" i="49" s="1"/>
  <c r="G184" i="49" s="1"/>
  <c r="L180" i="19"/>
  <c r="C152" i="25"/>
  <c r="E153" i="13"/>
  <c r="F153" i="13" s="1"/>
  <c r="E151" i="13"/>
  <c r="F151" i="13" s="1"/>
  <c r="C150" i="25"/>
  <c r="C148" i="25"/>
  <c r="E149" i="13"/>
  <c r="F149" i="13" s="1"/>
  <c r="C146" i="25"/>
  <c r="E147" i="13"/>
  <c r="F147" i="13" s="1"/>
  <c r="C104" i="25"/>
  <c r="E105" i="13"/>
  <c r="F105" i="13" s="1"/>
  <c r="C94" i="25"/>
  <c r="E95" i="13"/>
  <c r="F95" i="13" s="1"/>
  <c r="E87" i="13"/>
  <c r="F87" i="13" s="1"/>
  <c r="C86" i="25"/>
  <c r="C78" i="25"/>
  <c r="E79" i="13"/>
  <c r="F79" i="13" s="1"/>
  <c r="E71" i="13"/>
  <c r="F71" i="13" s="1"/>
  <c r="C70" i="25"/>
  <c r="L305" i="19"/>
  <c r="C299" i="25"/>
  <c r="E300" i="13"/>
  <c r="F300" i="13" s="1"/>
  <c r="C297" i="25"/>
  <c r="E298" i="13"/>
  <c r="F298" i="13" s="1"/>
  <c r="C296" i="25"/>
  <c r="E297" i="13"/>
  <c r="F297" i="13" s="1"/>
  <c r="C294" i="25"/>
  <c r="E295" i="13"/>
  <c r="F295" i="13" s="1"/>
  <c r="C285" i="25"/>
  <c r="E286" i="13"/>
  <c r="F286" i="13" s="1"/>
  <c r="C277" i="25"/>
  <c r="E278" i="13"/>
  <c r="F278" i="13" s="1"/>
  <c r="C268" i="25"/>
  <c r="E269" i="13"/>
  <c r="F269" i="13" s="1"/>
  <c r="L265" i="19"/>
  <c r="C260" i="25"/>
  <c r="E261" i="13"/>
  <c r="F261" i="13" s="1"/>
  <c r="L257" i="19"/>
  <c r="C252" i="25"/>
  <c r="E253" i="13"/>
  <c r="F253" i="13" s="1"/>
  <c r="C244" i="25"/>
  <c r="E245" i="13"/>
  <c r="F245" i="13" s="1"/>
  <c r="C236" i="25"/>
  <c r="E237" i="13"/>
  <c r="F237" i="13" s="1"/>
  <c r="C228" i="25"/>
  <c r="E229" i="13"/>
  <c r="F229" i="13" s="1"/>
  <c r="L225" i="19"/>
  <c r="C220" i="25"/>
  <c r="E221" i="13"/>
  <c r="F221" i="13" s="1"/>
  <c r="C212" i="25"/>
  <c r="E213" i="13"/>
  <c r="F213" i="13" s="1"/>
  <c r="L209" i="19"/>
  <c r="C153" i="25"/>
  <c r="E154" i="13"/>
  <c r="F154" i="13" s="1"/>
  <c r="C151" i="25"/>
  <c r="E152" i="13"/>
  <c r="C149" i="25"/>
  <c r="E150" i="13"/>
  <c r="F150" i="13" s="1"/>
  <c r="C147" i="25"/>
  <c r="E148" i="13"/>
  <c r="F148" i="13" s="1"/>
  <c r="L123" i="19"/>
  <c r="L116" i="19"/>
  <c r="L112" i="19"/>
  <c r="F112" i="49" s="1"/>
  <c r="G112" i="49" s="1"/>
  <c r="C105" i="25"/>
  <c r="E106" i="13"/>
  <c r="F106" i="13" s="1"/>
  <c r="L100" i="19"/>
  <c r="C95" i="25"/>
  <c r="E96" i="13"/>
  <c r="F96" i="13" s="1"/>
  <c r="C87" i="25"/>
  <c r="E88" i="13"/>
  <c r="F88" i="13" s="1"/>
  <c r="C79" i="25"/>
  <c r="E80" i="13"/>
  <c r="F80" i="13" s="1"/>
  <c r="C71" i="25"/>
  <c r="E72" i="13"/>
  <c r="F72" i="13" s="1"/>
  <c r="C63" i="25"/>
  <c r="E64" i="13"/>
  <c r="F64" i="13" s="1"/>
  <c r="F7" i="13"/>
  <c r="F289" i="13"/>
  <c r="F265" i="13"/>
  <c r="F259" i="13"/>
  <c r="F132" i="13"/>
  <c r="F116" i="13"/>
  <c r="F108" i="13"/>
  <c r="F92" i="13"/>
  <c r="F152" i="13"/>
  <c r="F144" i="13"/>
  <c r="F136" i="13"/>
  <c r="F128" i="13"/>
  <c r="F59" i="13"/>
  <c r="F37" i="13"/>
  <c r="F21" i="13"/>
  <c r="F13" i="13"/>
  <c r="F49" i="13"/>
  <c r="F23" i="13"/>
  <c r="F15" i="13"/>
  <c r="L272" i="19"/>
  <c r="L249" i="19"/>
  <c r="L245" i="19"/>
  <c r="L237" i="19"/>
  <c r="L233" i="19"/>
  <c r="L270" i="19"/>
  <c r="L242" i="19"/>
  <c r="L50" i="19"/>
  <c r="L222" i="19"/>
  <c r="L268" i="19"/>
  <c r="L260" i="19"/>
  <c r="L252" i="19"/>
  <c r="L251" i="19"/>
  <c r="L247" i="19"/>
  <c r="L243" i="19"/>
  <c r="L239" i="19"/>
  <c r="L235" i="19"/>
  <c r="L231" i="19"/>
  <c r="L227" i="19"/>
  <c r="L223" i="19"/>
  <c r="L219" i="19"/>
  <c r="L217" i="19"/>
  <c r="L264" i="19"/>
  <c r="L241" i="19"/>
  <c r="L262" i="19"/>
  <c r="L254" i="19"/>
  <c r="L274" i="19"/>
  <c r="L266" i="19"/>
  <c r="L258" i="19"/>
  <c r="L248" i="19"/>
  <c r="L244" i="19"/>
  <c r="L240" i="19"/>
  <c r="L236" i="19"/>
  <c r="L232" i="19"/>
  <c r="L224" i="19"/>
  <c r="L220" i="19"/>
  <c r="L212" i="19"/>
  <c r="L210" i="19"/>
  <c r="L202" i="19"/>
  <c r="L194" i="19"/>
  <c r="L186" i="19"/>
  <c r="L178" i="19"/>
  <c r="L170" i="19"/>
  <c r="L162" i="19"/>
  <c r="L154" i="19"/>
  <c r="L146" i="19"/>
  <c r="L138" i="19"/>
  <c r="L130" i="19"/>
  <c r="L122" i="19"/>
  <c r="L114" i="19"/>
  <c r="L18" i="19"/>
  <c r="L208" i="19"/>
  <c r="P176" i="19"/>
  <c r="R176" i="19" s="1"/>
  <c r="L104" i="19"/>
  <c r="L99" i="19"/>
  <c r="L95" i="19"/>
  <c r="L91" i="19"/>
  <c r="L87" i="19"/>
  <c r="L83" i="19"/>
  <c r="L79" i="19"/>
  <c r="L75" i="19"/>
  <c r="L71" i="19"/>
  <c r="L67" i="19"/>
  <c r="L206" i="19"/>
  <c r="L198" i="19"/>
  <c r="L190" i="19"/>
  <c r="L182" i="19"/>
  <c r="L174" i="19"/>
  <c r="L166" i="19"/>
  <c r="L158" i="19"/>
  <c r="L150" i="19"/>
  <c r="L142" i="19"/>
  <c r="L134" i="19"/>
  <c r="L126" i="19"/>
  <c r="L118" i="19"/>
  <c r="L107" i="19"/>
  <c r="L105" i="19"/>
  <c r="L98" i="19"/>
  <c r="L94" i="19"/>
  <c r="L90" i="19"/>
  <c r="L86" i="19"/>
  <c r="L82" i="19"/>
  <c r="L78" i="19"/>
  <c r="L74" i="19"/>
  <c r="L70" i="19"/>
  <c r="L66" i="19"/>
  <c r="L42" i="19"/>
  <c r="L10" i="19"/>
  <c r="L111" i="19"/>
  <c r="L103" i="19"/>
  <c r="L97" i="19"/>
  <c r="L93" i="19"/>
  <c r="L89" i="19"/>
  <c r="L85" i="19"/>
  <c r="L81" i="19"/>
  <c r="L77" i="19"/>
  <c r="L73" i="19"/>
  <c r="L69" i="19"/>
  <c r="L65" i="19"/>
  <c r="L34" i="19"/>
  <c r="L109" i="19"/>
  <c r="L101" i="19"/>
  <c r="L96" i="19"/>
  <c r="L92" i="19"/>
  <c r="L88" i="19"/>
  <c r="L84" i="19"/>
  <c r="L80" i="19"/>
  <c r="L76" i="19"/>
  <c r="L72" i="19"/>
  <c r="L68" i="19"/>
  <c r="L58" i="19"/>
  <c r="L26" i="19"/>
  <c r="L56" i="19"/>
  <c r="L48" i="19"/>
  <c r="L40" i="19"/>
  <c r="L32" i="19"/>
  <c r="L24" i="19"/>
  <c r="L16" i="19"/>
  <c r="L8" i="19"/>
  <c r="L62" i="19"/>
  <c r="L54" i="19"/>
  <c r="L46" i="19"/>
  <c r="L38" i="19"/>
  <c r="L30" i="19"/>
  <c r="L22" i="19"/>
  <c r="L14" i="19"/>
  <c r="L60" i="19"/>
  <c r="L52" i="19"/>
  <c r="L44" i="19"/>
  <c r="L36" i="19"/>
  <c r="L28" i="19"/>
  <c r="L20" i="19"/>
  <c r="L12" i="19"/>
  <c r="P144" i="19" l="1"/>
  <c r="R144" i="19" s="1"/>
  <c r="E143" i="25" s="1"/>
  <c r="P234" i="19"/>
  <c r="R234" i="19" s="1"/>
  <c r="P250" i="19"/>
  <c r="R250" i="19" s="1"/>
  <c r="C250" i="12" s="1"/>
  <c r="P191" i="19"/>
  <c r="R191" i="19" s="1"/>
  <c r="P183" i="19"/>
  <c r="R183" i="19" s="1"/>
  <c r="E182" i="25" s="1"/>
  <c r="P136" i="19"/>
  <c r="R136" i="19" s="1"/>
  <c r="J136" i="49" s="1"/>
  <c r="F102" i="49"/>
  <c r="G102" i="49" s="1"/>
  <c r="P205" i="19"/>
  <c r="R205" i="19" s="1"/>
  <c r="C205" i="39" s="1"/>
  <c r="P218" i="19"/>
  <c r="R218" i="19" s="1"/>
  <c r="C218" i="12" s="1"/>
  <c r="P185" i="19"/>
  <c r="R185" i="19" s="1"/>
  <c r="P152" i="19"/>
  <c r="R152" i="19" s="1"/>
  <c r="C152" i="12" s="1"/>
  <c r="F59" i="49"/>
  <c r="G59" i="49" s="1"/>
  <c r="F145" i="49"/>
  <c r="G145" i="49" s="1"/>
  <c r="P160" i="19"/>
  <c r="R160" i="19" s="1"/>
  <c r="C160" i="33" s="1"/>
  <c r="F35" i="49"/>
  <c r="G35" i="49" s="1"/>
  <c r="P11" i="19"/>
  <c r="R11" i="19" s="1"/>
  <c r="C11" i="33" s="1"/>
  <c r="F181" i="49"/>
  <c r="G181" i="49" s="1"/>
  <c r="F13" i="49"/>
  <c r="G13" i="49" s="1"/>
  <c r="P192" i="19"/>
  <c r="R192" i="19" s="1"/>
  <c r="E191" i="25" s="1"/>
  <c r="P230" i="19"/>
  <c r="R230" i="19" s="1"/>
  <c r="C230" i="12" s="1"/>
  <c r="F161" i="49"/>
  <c r="G161" i="49" s="1"/>
  <c r="P57" i="19"/>
  <c r="R57" i="19" s="1"/>
  <c r="C57" i="13" s="1"/>
  <c r="P128" i="19"/>
  <c r="R128" i="19" s="1"/>
  <c r="J128" i="49" s="1"/>
  <c r="P294" i="19"/>
  <c r="R294" i="19" s="1"/>
  <c r="C300" i="9" s="1"/>
  <c r="P238" i="19"/>
  <c r="R238" i="19" s="1"/>
  <c r="C244" i="9" s="1"/>
  <c r="F207" i="49"/>
  <c r="G207" i="49" s="1"/>
  <c r="F163" i="49"/>
  <c r="G163" i="49" s="1"/>
  <c r="F110" i="49"/>
  <c r="G110" i="49" s="1"/>
  <c r="F51" i="49"/>
  <c r="G51" i="49" s="1"/>
  <c r="P199" i="19"/>
  <c r="R199" i="19" s="1"/>
  <c r="C199" i="12" s="1"/>
  <c r="F125" i="49"/>
  <c r="G125" i="49" s="1"/>
  <c r="P133" i="19"/>
  <c r="R133" i="19" s="1"/>
  <c r="C133" i="33" s="1"/>
  <c r="P200" i="19"/>
  <c r="R200" i="19" s="1"/>
  <c r="C206" i="9" s="1"/>
  <c r="P179" i="19"/>
  <c r="R179" i="19" s="1"/>
  <c r="F276" i="49"/>
  <c r="G276" i="49" s="1"/>
  <c r="P197" i="19"/>
  <c r="R197" i="19" s="1"/>
  <c r="C203" i="9" s="1"/>
  <c r="F139" i="49"/>
  <c r="G139" i="49" s="1"/>
  <c r="P27" i="19"/>
  <c r="R27" i="19" s="1"/>
  <c r="C27" i="39" s="1"/>
  <c r="P153" i="19"/>
  <c r="R153" i="19" s="1"/>
  <c r="C153" i="33" s="1"/>
  <c r="P43" i="19"/>
  <c r="R43" i="19" s="1"/>
  <c r="C43" i="12" s="1"/>
  <c r="P211" i="19"/>
  <c r="R211" i="19" s="1"/>
  <c r="C217" i="9" s="1"/>
  <c r="F296" i="49"/>
  <c r="G296" i="49" s="1"/>
  <c r="P184" i="19"/>
  <c r="R184" i="19" s="1"/>
  <c r="E183" i="25" s="1"/>
  <c r="P193" i="19"/>
  <c r="R193" i="19" s="1"/>
  <c r="C193" i="12" s="1"/>
  <c r="P19" i="19"/>
  <c r="R19" i="19" s="1"/>
  <c r="P157" i="19"/>
  <c r="R157" i="19" s="1"/>
  <c r="E156" i="25" s="1"/>
  <c r="P203" i="19"/>
  <c r="R203" i="19" s="1"/>
  <c r="J203" i="49" s="1"/>
  <c r="P141" i="19"/>
  <c r="R141" i="19" s="1"/>
  <c r="E140" i="25" s="1"/>
  <c r="P129" i="19"/>
  <c r="R129" i="19" s="1"/>
  <c r="C135" i="9" s="1"/>
  <c r="P177" i="19"/>
  <c r="R177" i="19" s="1"/>
  <c r="J177" i="49" s="1"/>
  <c r="P131" i="19"/>
  <c r="R131" i="19" s="1"/>
  <c r="C131" i="33" s="1"/>
  <c r="F292" i="49"/>
  <c r="G292" i="49" s="1"/>
  <c r="P165" i="19"/>
  <c r="R165" i="19" s="1"/>
  <c r="P284" i="19"/>
  <c r="R284" i="19" s="1"/>
  <c r="J284" i="49" s="1"/>
  <c r="P171" i="19"/>
  <c r="R171" i="19" s="1"/>
  <c r="E170" i="25" s="1"/>
  <c r="P41" i="19"/>
  <c r="R41" i="19" s="1"/>
  <c r="C41" i="33" s="1"/>
  <c r="P246" i="19"/>
  <c r="R246" i="19" s="1"/>
  <c r="C246" i="13" s="1"/>
  <c r="F291" i="49"/>
  <c r="G291" i="49" s="1"/>
  <c r="P127" i="19"/>
  <c r="R127" i="19" s="1"/>
  <c r="J127" i="49" s="1"/>
  <c r="P149" i="19"/>
  <c r="R149" i="19" s="1"/>
  <c r="C149" i="33" s="1"/>
  <c r="P135" i="19"/>
  <c r="R135" i="19" s="1"/>
  <c r="C141" i="9" s="1"/>
  <c r="P112" i="19"/>
  <c r="R112" i="19" s="1"/>
  <c r="C118" i="9" s="1"/>
  <c r="F283" i="49"/>
  <c r="G283" i="49" s="1"/>
  <c r="P173" i="19"/>
  <c r="R173" i="19" s="1"/>
  <c r="C173" i="39" s="1"/>
  <c r="P115" i="19"/>
  <c r="R115" i="19" s="1"/>
  <c r="E114" i="25" s="1"/>
  <c r="P189" i="19"/>
  <c r="R189" i="19" s="1"/>
  <c r="C189" i="13" s="1"/>
  <c r="P15" i="19"/>
  <c r="R15" i="19" s="1"/>
  <c r="J15" i="49" s="1"/>
  <c r="P201" i="19"/>
  <c r="R201" i="19" s="1"/>
  <c r="J201" i="49" s="1"/>
  <c r="P168" i="19"/>
  <c r="R168" i="19" s="1"/>
  <c r="C174" i="9" s="1"/>
  <c r="P226" i="19"/>
  <c r="R226" i="19" s="1"/>
  <c r="E225" i="25" s="1"/>
  <c r="P25" i="19"/>
  <c r="R25" i="19" s="1"/>
  <c r="J25" i="49" s="1"/>
  <c r="P33" i="19"/>
  <c r="R33" i="19" s="1"/>
  <c r="C39" i="9" s="1"/>
  <c r="P49" i="19"/>
  <c r="R49" i="19" s="1"/>
  <c r="C49" i="39" s="1"/>
  <c r="P195" i="19"/>
  <c r="R195" i="19" s="1"/>
  <c r="E194" i="25" s="1"/>
  <c r="P109" i="19"/>
  <c r="R109" i="19" s="1"/>
  <c r="F109" i="49"/>
  <c r="G109" i="49" s="1"/>
  <c r="P28" i="19"/>
  <c r="R28" i="19" s="1"/>
  <c r="F28" i="49"/>
  <c r="G28" i="49" s="1"/>
  <c r="P38" i="19"/>
  <c r="R38" i="19" s="1"/>
  <c r="F38" i="49"/>
  <c r="G38" i="49" s="1"/>
  <c r="P40" i="19"/>
  <c r="R40" i="19" s="1"/>
  <c r="F40" i="49"/>
  <c r="G40" i="49" s="1"/>
  <c r="P80" i="19"/>
  <c r="R80" i="19" s="1"/>
  <c r="F80" i="49"/>
  <c r="G80" i="49" s="1"/>
  <c r="P65" i="19"/>
  <c r="R65" i="19" s="1"/>
  <c r="F65" i="49"/>
  <c r="G65" i="49" s="1"/>
  <c r="P97" i="19"/>
  <c r="R97" i="19" s="1"/>
  <c r="F97" i="49"/>
  <c r="G97" i="49" s="1"/>
  <c r="P78" i="19"/>
  <c r="R78" i="19" s="1"/>
  <c r="F78" i="49"/>
  <c r="G78" i="49" s="1"/>
  <c r="P118" i="19"/>
  <c r="R118" i="19" s="1"/>
  <c r="F118" i="49"/>
  <c r="G118" i="49" s="1"/>
  <c r="P182" i="19"/>
  <c r="R182" i="19" s="1"/>
  <c r="F182" i="49"/>
  <c r="G182" i="49" s="1"/>
  <c r="P83" i="19"/>
  <c r="R83" i="19" s="1"/>
  <c r="F83" i="49"/>
  <c r="G83" i="49" s="1"/>
  <c r="P146" i="19"/>
  <c r="R146" i="19" s="1"/>
  <c r="F146" i="49"/>
  <c r="G146" i="49" s="1"/>
  <c r="P210" i="19"/>
  <c r="R210" i="19" s="1"/>
  <c r="F210" i="49"/>
  <c r="G210" i="49" s="1"/>
  <c r="P244" i="19"/>
  <c r="R244" i="19" s="1"/>
  <c r="F244" i="49"/>
  <c r="G244" i="49" s="1"/>
  <c r="E249" i="25"/>
  <c r="C250" i="39"/>
  <c r="P227" i="19"/>
  <c r="R227" i="19" s="1"/>
  <c r="F227" i="49"/>
  <c r="G227" i="49" s="1"/>
  <c r="P260" i="19"/>
  <c r="R260" i="19" s="1"/>
  <c r="F260" i="49"/>
  <c r="G260" i="49" s="1"/>
  <c r="P270" i="19"/>
  <c r="R270" i="19" s="1"/>
  <c r="F270" i="49"/>
  <c r="G270" i="49" s="1"/>
  <c r="P116" i="19"/>
  <c r="R116" i="19" s="1"/>
  <c r="F116" i="49"/>
  <c r="G116" i="49" s="1"/>
  <c r="P225" i="19"/>
  <c r="R225" i="19" s="1"/>
  <c r="F225" i="49"/>
  <c r="G225" i="49" s="1"/>
  <c r="P280" i="19"/>
  <c r="R280" i="19" s="1"/>
  <c r="F280" i="49"/>
  <c r="G280" i="49" s="1"/>
  <c r="P301" i="19"/>
  <c r="R301" i="19" s="1"/>
  <c r="F301" i="49"/>
  <c r="G301" i="49" s="1"/>
  <c r="P253" i="19"/>
  <c r="R253" i="19" s="1"/>
  <c r="F253" i="49"/>
  <c r="G253" i="49" s="1"/>
  <c r="P277" i="19"/>
  <c r="R277" i="19" s="1"/>
  <c r="F277" i="49"/>
  <c r="G277" i="49" s="1"/>
  <c r="P108" i="19"/>
  <c r="R108" i="19" s="1"/>
  <c r="F108" i="49"/>
  <c r="G108" i="49" s="1"/>
  <c r="F169" i="49"/>
  <c r="G169" i="49" s="1"/>
  <c r="P169" i="19"/>
  <c r="R169" i="19" s="1"/>
  <c r="E290" i="25"/>
  <c r="J291" i="49"/>
  <c r="C291" i="39"/>
  <c r="C291" i="12"/>
  <c r="C291" i="13"/>
  <c r="C291" i="33"/>
  <c r="C297" i="9"/>
  <c r="C183" i="13"/>
  <c r="C189" i="9"/>
  <c r="F167" i="49"/>
  <c r="G167" i="49" s="1"/>
  <c r="P167" i="19"/>
  <c r="R167" i="19" s="1"/>
  <c r="E34" i="25"/>
  <c r="J35" i="49"/>
  <c r="C35" i="39"/>
  <c r="C35" i="13"/>
  <c r="C35" i="12"/>
  <c r="C35" i="33"/>
  <c r="C41" i="9"/>
  <c r="E50" i="25"/>
  <c r="J51" i="49"/>
  <c r="C51" i="13"/>
  <c r="C51" i="39"/>
  <c r="C51" i="12"/>
  <c r="C51" i="33"/>
  <c r="C57" i="9"/>
  <c r="F117" i="49"/>
  <c r="G117" i="49" s="1"/>
  <c r="P117" i="19"/>
  <c r="R117" i="19" s="1"/>
  <c r="P12" i="19"/>
  <c r="R12" i="19" s="1"/>
  <c r="F12" i="49"/>
  <c r="G12" i="49" s="1"/>
  <c r="P48" i="19"/>
  <c r="R48" i="19" s="1"/>
  <c r="F48" i="49"/>
  <c r="G48" i="49" s="1"/>
  <c r="P69" i="19"/>
  <c r="R69" i="19" s="1"/>
  <c r="F69" i="49"/>
  <c r="G69" i="49" s="1"/>
  <c r="P103" i="19"/>
  <c r="R103" i="19" s="1"/>
  <c r="F103" i="49"/>
  <c r="G103" i="49" s="1"/>
  <c r="P82" i="19"/>
  <c r="R82" i="19" s="1"/>
  <c r="F82" i="49"/>
  <c r="G82" i="49" s="1"/>
  <c r="P126" i="19"/>
  <c r="R126" i="19" s="1"/>
  <c r="F126" i="49"/>
  <c r="G126" i="49" s="1"/>
  <c r="P190" i="19"/>
  <c r="R190" i="19" s="1"/>
  <c r="F190" i="49"/>
  <c r="G190" i="49" s="1"/>
  <c r="P87" i="19"/>
  <c r="R87" i="19" s="1"/>
  <c r="F87" i="49"/>
  <c r="G87" i="49" s="1"/>
  <c r="E135" i="25"/>
  <c r="C136" i="39"/>
  <c r="C142" i="9"/>
  <c r="P154" i="19"/>
  <c r="R154" i="19" s="1"/>
  <c r="F154" i="49"/>
  <c r="G154" i="49" s="1"/>
  <c r="P212" i="19"/>
  <c r="R212" i="19" s="1"/>
  <c r="F212" i="49"/>
  <c r="G212" i="49" s="1"/>
  <c r="P248" i="19"/>
  <c r="R248" i="19" s="1"/>
  <c r="F248" i="49"/>
  <c r="G248" i="49" s="1"/>
  <c r="P254" i="19"/>
  <c r="R254" i="19" s="1"/>
  <c r="F254" i="49"/>
  <c r="G254" i="49" s="1"/>
  <c r="P231" i="19"/>
  <c r="R231" i="19" s="1"/>
  <c r="F231" i="49"/>
  <c r="G231" i="49" s="1"/>
  <c r="P268" i="19"/>
  <c r="R268" i="19" s="1"/>
  <c r="F268" i="49"/>
  <c r="G268" i="49" s="1"/>
  <c r="P233" i="19"/>
  <c r="R233" i="19" s="1"/>
  <c r="F233" i="49"/>
  <c r="G233" i="49" s="1"/>
  <c r="P257" i="19"/>
  <c r="R257" i="19" s="1"/>
  <c r="F257" i="49"/>
  <c r="G257" i="49" s="1"/>
  <c r="P289" i="19"/>
  <c r="R289" i="19" s="1"/>
  <c r="F289" i="49"/>
  <c r="G289" i="49" s="1"/>
  <c r="P172" i="19"/>
  <c r="R172" i="19" s="1"/>
  <c r="F172" i="49"/>
  <c r="G172" i="49" s="1"/>
  <c r="P304" i="19"/>
  <c r="R304" i="19" s="1"/>
  <c r="F304" i="49"/>
  <c r="G304" i="49" s="1"/>
  <c r="P214" i="19"/>
  <c r="R214" i="19" s="1"/>
  <c r="F214" i="49"/>
  <c r="G214" i="49" s="1"/>
  <c r="P297" i="19"/>
  <c r="R297" i="19" s="1"/>
  <c r="F297" i="49"/>
  <c r="G297" i="49" s="1"/>
  <c r="P278" i="19"/>
  <c r="R278" i="19" s="1"/>
  <c r="F278" i="49"/>
  <c r="G278" i="49" s="1"/>
  <c r="P293" i="19"/>
  <c r="R293" i="19" s="1"/>
  <c r="F293" i="49"/>
  <c r="G293" i="49" s="1"/>
  <c r="P140" i="19"/>
  <c r="R140" i="19" s="1"/>
  <c r="F140" i="49"/>
  <c r="G140" i="49" s="1"/>
  <c r="E291" i="25"/>
  <c r="J292" i="49"/>
  <c r="C292" i="39"/>
  <c r="C292" i="12"/>
  <c r="C292" i="13"/>
  <c r="C298" i="9"/>
  <c r="C292" i="33"/>
  <c r="F31" i="49"/>
  <c r="G31" i="49" s="1"/>
  <c r="P31" i="19"/>
  <c r="R31" i="19" s="1"/>
  <c r="J207" i="49"/>
  <c r="E206" i="25"/>
  <c r="C207" i="13"/>
  <c r="C207" i="39"/>
  <c r="C207" i="12"/>
  <c r="C213" i="9"/>
  <c r="C207" i="33"/>
  <c r="F37" i="49"/>
  <c r="G37" i="49" s="1"/>
  <c r="P37" i="19"/>
  <c r="R37" i="19" s="1"/>
  <c r="E162" i="25"/>
  <c r="J163" i="49"/>
  <c r="C163" i="39"/>
  <c r="C163" i="12"/>
  <c r="C163" i="13"/>
  <c r="C163" i="33"/>
  <c r="C169" i="9"/>
  <c r="P7" i="19"/>
  <c r="R7" i="19" s="1"/>
  <c r="F7" i="49"/>
  <c r="G7" i="49" s="1"/>
  <c r="P72" i="19"/>
  <c r="R72" i="19" s="1"/>
  <c r="F72" i="49"/>
  <c r="G72" i="49" s="1"/>
  <c r="P46" i="19"/>
  <c r="R46" i="19" s="1"/>
  <c r="F46" i="49"/>
  <c r="G46" i="49" s="1"/>
  <c r="P56" i="19"/>
  <c r="R56" i="19" s="1"/>
  <c r="F56" i="49"/>
  <c r="G56" i="49" s="1"/>
  <c r="P73" i="19"/>
  <c r="R73" i="19" s="1"/>
  <c r="F73" i="49"/>
  <c r="G73" i="49" s="1"/>
  <c r="P86" i="19"/>
  <c r="R86" i="19" s="1"/>
  <c r="F86" i="49"/>
  <c r="G86" i="49" s="1"/>
  <c r="P198" i="19"/>
  <c r="R198" i="19" s="1"/>
  <c r="F198" i="49"/>
  <c r="G198" i="49" s="1"/>
  <c r="C144" i="13"/>
  <c r="C144" i="33"/>
  <c r="C150" i="9"/>
  <c r="P162" i="19"/>
  <c r="R162" i="19" s="1"/>
  <c r="F162" i="49"/>
  <c r="G162" i="49" s="1"/>
  <c r="P220" i="19"/>
  <c r="R220" i="19" s="1"/>
  <c r="F220" i="49"/>
  <c r="G220" i="49" s="1"/>
  <c r="P258" i="19"/>
  <c r="R258" i="19" s="1"/>
  <c r="F258" i="49"/>
  <c r="G258" i="49" s="1"/>
  <c r="P262" i="19"/>
  <c r="R262" i="19" s="1"/>
  <c r="F262" i="49"/>
  <c r="G262" i="49" s="1"/>
  <c r="P235" i="19"/>
  <c r="R235" i="19" s="1"/>
  <c r="F235" i="49"/>
  <c r="G235" i="49" s="1"/>
  <c r="P237" i="19"/>
  <c r="R237" i="19" s="1"/>
  <c r="F237" i="49"/>
  <c r="G237" i="49" s="1"/>
  <c r="P123" i="19"/>
  <c r="R123" i="19" s="1"/>
  <c r="F123" i="49"/>
  <c r="G123" i="49" s="1"/>
  <c r="P290" i="19"/>
  <c r="R290" i="19" s="1"/>
  <c r="F290" i="49"/>
  <c r="G290" i="49" s="1"/>
  <c r="P263" i="19"/>
  <c r="R263" i="19" s="1"/>
  <c r="F263" i="49"/>
  <c r="G263" i="49" s="1"/>
  <c r="P229" i="19"/>
  <c r="R229" i="19" s="1"/>
  <c r="F229" i="49"/>
  <c r="G229" i="49" s="1"/>
  <c r="P213" i="19"/>
  <c r="R213" i="19" s="1"/>
  <c r="F213" i="49"/>
  <c r="G213" i="49" s="1"/>
  <c r="P267" i="19"/>
  <c r="R267" i="19" s="1"/>
  <c r="F267" i="49"/>
  <c r="G267" i="49" s="1"/>
  <c r="E144" i="25"/>
  <c r="J145" i="49"/>
  <c r="C145" i="39"/>
  <c r="C145" i="12"/>
  <c r="C145" i="13"/>
  <c r="C145" i="33"/>
  <c r="C151" i="9"/>
  <c r="F55" i="49"/>
  <c r="G55" i="49" s="1"/>
  <c r="P55" i="19"/>
  <c r="R55" i="19" s="1"/>
  <c r="F61" i="49"/>
  <c r="G61" i="49" s="1"/>
  <c r="P61" i="19"/>
  <c r="R61" i="19" s="1"/>
  <c r="C57" i="33"/>
  <c r="P22" i="19"/>
  <c r="R22" i="19" s="1"/>
  <c r="F22" i="49"/>
  <c r="G22" i="49" s="1"/>
  <c r="P84" i="19"/>
  <c r="R84" i="19" s="1"/>
  <c r="F84" i="49"/>
  <c r="G84" i="49" s="1"/>
  <c r="P44" i="19"/>
  <c r="R44" i="19" s="1"/>
  <c r="F44" i="49"/>
  <c r="G44" i="49" s="1"/>
  <c r="P54" i="19"/>
  <c r="R54" i="19" s="1"/>
  <c r="F54" i="49"/>
  <c r="G54" i="49" s="1"/>
  <c r="P88" i="19"/>
  <c r="R88" i="19" s="1"/>
  <c r="F88" i="49"/>
  <c r="G88" i="49" s="1"/>
  <c r="P111" i="19"/>
  <c r="R111" i="19" s="1"/>
  <c r="F111" i="49"/>
  <c r="G111" i="49" s="1"/>
  <c r="P134" i="19"/>
  <c r="R134" i="19" s="1"/>
  <c r="F134" i="49"/>
  <c r="G134" i="49" s="1"/>
  <c r="P91" i="19"/>
  <c r="R91" i="19" s="1"/>
  <c r="F91" i="49"/>
  <c r="G91" i="49" s="1"/>
  <c r="P208" i="19"/>
  <c r="R208" i="19" s="1"/>
  <c r="F208" i="49"/>
  <c r="G208" i="49" s="1"/>
  <c r="P52" i="19"/>
  <c r="R52" i="19" s="1"/>
  <c r="F52" i="49"/>
  <c r="G52" i="49" s="1"/>
  <c r="P62" i="19"/>
  <c r="R62" i="19" s="1"/>
  <c r="F62" i="49"/>
  <c r="G62" i="49" s="1"/>
  <c r="P26" i="19"/>
  <c r="R26" i="19" s="1"/>
  <c r="F26" i="49"/>
  <c r="G26" i="49" s="1"/>
  <c r="P92" i="19"/>
  <c r="R92" i="19" s="1"/>
  <c r="F92" i="49"/>
  <c r="G92" i="49" s="1"/>
  <c r="P77" i="19"/>
  <c r="R77" i="19" s="1"/>
  <c r="F77" i="49"/>
  <c r="G77" i="49" s="1"/>
  <c r="P10" i="19"/>
  <c r="R10" i="19" s="1"/>
  <c r="F10" i="49"/>
  <c r="G10" i="49" s="1"/>
  <c r="P90" i="19"/>
  <c r="R90" i="19" s="1"/>
  <c r="F90" i="49"/>
  <c r="G90" i="49" s="1"/>
  <c r="P142" i="19"/>
  <c r="R142" i="19" s="1"/>
  <c r="F142" i="49"/>
  <c r="G142" i="49" s="1"/>
  <c r="P206" i="19"/>
  <c r="R206" i="19" s="1"/>
  <c r="F206" i="49"/>
  <c r="G206" i="49" s="1"/>
  <c r="P95" i="19"/>
  <c r="R95" i="19" s="1"/>
  <c r="F95" i="49"/>
  <c r="G95" i="49" s="1"/>
  <c r="P18" i="19"/>
  <c r="R18" i="19" s="1"/>
  <c r="F18" i="49"/>
  <c r="G18" i="49" s="1"/>
  <c r="P170" i="19"/>
  <c r="R170" i="19" s="1"/>
  <c r="F170" i="49"/>
  <c r="G170" i="49" s="1"/>
  <c r="P224" i="19"/>
  <c r="R224" i="19" s="1"/>
  <c r="F224" i="49"/>
  <c r="G224" i="49" s="1"/>
  <c r="P266" i="19"/>
  <c r="R266" i="19" s="1"/>
  <c r="F266" i="49"/>
  <c r="G266" i="49" s="1"/>
  <c r="P241" i="19"/>
  <c r="R241" i="19" s="1"/>
  <c r="F241" i="49"/>
  <c r="G241" i="49" s="1"/>
  <c r="P239" i="19"/>
  <c r="R239" i="19" s="1"/>
  <c r="F239" i="49"/>
  <c r="G239" i="49" s="1"/>
  <c r="P222" i="19"/>
  <c r="R222" i="19" s="1"/>
  <c r="F222" i="49"/>
  <c r="G222" i="49" s="1"/>
  <c r="P245" i="19"/>
  <c r="R245" i="19" s="1"/>
  <c r="F245" i="49"/>
  <c r="G245" i="49" s="1"/>
  <c r="P209" i="19"/>
  <c r="R209" i="19" s="1"/>
  <c r="F209" i="49"/>
  <c r="G209" i="49" s="1"/>
  <c r="P305" i="19"/>
  <c r="R305" i="19" s="1"/>
  <c r="F305" i="49"/>
  <c r="G305" i="49" s="1"/>
  <c r="P216" i="19"/>
  <c r="R216" i="19" s="1"/>
  <c r="F216" i="49"/>
  <c r="G216" i="49" s="1"/>
  <c r="P273" i="19"/>
  <c r="R273" i="19" s="1"/>
  <c r="F273" i="49"/>
  <c r="G273" i="49" s="1"/>
  <c r="P303" i="19"/>
  <c r="R303" i="19" s="1"/>
  <c r="F303" i="49"/>
  <c r="G303" i="49" s="1"/>
  <c r="P287" i="19"/>
  <c r="R287" i="19" s="1"/>
  <c r="F287" i="49"/>
  <c r="G287" i="49" s="1"/>
  <c r="P295" i="19"/>
  <c r="R295" i="19" s="1"/>
  <c r="F295" i="49"/>
  <c r="G295" i="49" s="1"/>
  <c r="P148" i="19"/>
  <c r="R148" i="19" s="1"/>
  <c r="F148" i="49"/>
  <c r="G148" i="49" s="1"/>
  <c r="P147" i="19"/>
  <c r="R147" i="19" s="1"/>
  <c r="F147" i="49"/>
  <c r="G147" i="49" s="1"/>
  <c r="F9" i="49"/>
  <c r="G9" i="49" s="1"/>
  <c r="P9" i="19"/>
  <c r="R9" i="19" s="1"/>
  <c r="P188" i="19"/>
  <c r="R188" i="19" s="1"/>
  <c r="F188" i="49"/>
  <c r="G188" i="49" s="1"/>
  <c r="P275" i="19"/>
  <c r="R275" i="19" s="1"/>
  <c r="F275" i="49"/>
  <c r="G275" i="49" s="1"/>
  <c r="F64" i="49"/>
  <c r="G64" i="49" s="1"/>
  <c r="P64" i="19"/>
  <c r="R64" i="19" s="1"/>
  <c r="E176" i="25"/>
  <c r="C177" i="13"/>
  <c r="C177" i="12"/>
  <c r="C183" i="9"/>
  <c r="C177" i="33"/>
  <c r="C135" i="39"/>
  <c r="P196" i="19"/>
  <c r="R196" i="19" s="1"/>
  <c r="F196" i="49"/>
  <c r="G196" i="49" s="1"/>
  <c r="P36" i="19"/>
  <c r="R36" i="19" s="1"/>
  <c r="F36" i="49"/>
  <c r="G36" i="49" s="1"/>
  <c r="P60" i="19"/>
  <c r="R60" i="19" s="1"/>
  <c r="F60" i="49"/>
  <c r="G60" i="49" s="1"/>
  <c r="P8" i="19"/>
  <c r="R8" i="19" s="1"/>
  <c r="F8" i="49"/>
  <c r="G8" i="49" s="1"/>
  <c r="P58" i="19"/>
  <c r="R58" i="19" s="1"/>
  <c r="F58" i="49"/>
  <c r="G58" i="49" s="1"/>
  <c r="P96" i="19"/>
  <c r="R96" i="19" s="1"/>
  <c r="F96" i="49"/>
  <c r="G96" i="49" s="1"/>
  <c r="P81" i="19"/>
  <c r="R81" i="19" s="1"/>
  <c r="F81" i="49"/>
  <c r="G81" i="49" s="1"/>
  <c r="P42" i="19"/>
  <c r="R42" i="19" s="1"/>
  <c r="F42" i="49"/>
  <c r="G42" i="49" s="1"/>
  <c r="P94" i="19"/>
  <c r="R94" i="19" s="1"/>
  <c r="F94" i="49"/>
  <c r="G94" i="49" s="1"/>
  <c r="P150" i="19"/>
  <c r="R150" i="19" s="1"/>
  <c r="F150" i="49"/>
  <c r="G150" i="49" s="1"/>
  <c r="P67" i="19"/>
  <c r="R67" i="19" s="1"/>
  <c r="F67" i="49"/>
  <c r="G67" i="49" s="1"/>
  <c r="P99" i="19"/>
  <c r="R99" i="19" s="1"/>
  <c r="F99" i="49"/>
  <c r="G99" i="49" s="1"/>
  <c r="E159" i="25"/>
  <c r="J160" i="49"/>
  <c r="C160" i="13"/>
  <c r="C160" i="39"/>
  <c r="C160" i="12"/>
  <c r="P114" i="19"/>
  <c r="R114" i="19" s="1"/>
  <c r="F114" i="49"/>
  <c r="G114" i="49" s="1"/>
  <c r="P178" i="19"/>
  <c r="R178" i="19" s="1"/>
  <c r="F178" i="49"/>
  <c r="G178" i="49" s="1"/>
  <c r="P274" i="19"/>
  <c r="R274" i="19" s="1"/>
  <c r="F274" i="49"/>
  <c r="G274" i="49" s="1"/>
  <c r="P264" i="19"/>
  <c r="R264" i="19" s="1"/>
  <c r="F264" i="49"/>
  <c r="G264" i="49" s="1"/>
  <c r="P243" i="19"/>
  <c r="R243" i="19" s="1"/>
  <c r="F243" i="49"/>
  <c r="G243" i="49" s="1"/>
  <c r="J230" i="49"/>
  <c r="P249" i="19"/>
  <c r="R249" i="19" s="1"/>
  <c r="F249" i="49"/>
  <c r="G249" i="49" s="1"/>
  <c r="P100" i="19"/>
  <c r="R100" i="19" s="1"/>
  <c r="F100" i="49"/>
  <c r="G100" i="49" s="1"/>
  <c r="P265" i="19"/>
  <c r="R265" i="19" s="1"/>
  <c r="F265" i="49"/>
  <c r="G265" i="49" s="1"/>
  <c r="P180" i="19"/>
  <c r="R180" i="19" s="1"/>
  <c r="F180" i="49"/>
  <c r="G180" i="49" s="1"/>
  <c r="P288" i="19"/>
  <c r="R288" i="19" s="1"/>
  <c r="F288" i="49"/>
  <c r="G288" i="49" s="1"/>
  <c r="P215" i="19"/>
  <c r="R215" i="19" s="1"/>
  <c r="F215" i="49"/>
  <c r="G215" i="49" s="1"/>
  <c r="P282" i="19"/>
  <c r="R282" i="19" s="1"/>
  <c r="F282" i="49"/>
  <c r="G282" i="49" s="1"/>
  <c r="C193" i="39"/>
  <c r="F39" i="49"/>
  <c r="G39" i="49" s="1"/>
  <c r="P39" i="19"/>
  <c r="R39" i="19" s="1"/>
  <c r="E178" i="25"/>
  <c r="J179" i="49"/>
  <c r="C179" i="39"/>
  <c r="C179" i="12"/>
  <c r="C179" i="13"/>
  <c r="C179" i="33"/>
  <c r="C185" i="9"/>
  <c r="E282" i="25"/>
  <c r="J283" i="49"/>
  <c r="C283" i="39"/>
  <c r="C283" i="12"/>
  <c r="C283" i="13"/>
  <c r="C283" i="33"/>
  <c r="C289" i="9"/>
  <c r="F45" i="49"/>
  <c r="G45" i="49" s="1"/>
  <c r="P45" i="19"/>
  <c r="R45" i="19" s="1"/>
  <c r="E26" i="25"/>
  <c r="J27" i="49"/>
  <c r="C27" i="13"/>
  <c r="C27" i="33"/>
  <c r="C33" i="9"/>
  <c r="E58" i="25"/>
  <c r="J59" i="49"/>
  <c r="C59" i="39"/>
  <c r="C59" i="12"/>
  <c r="C59" i="13"/>
  <c r="C59" i="33"/>
  <c r="C65" i="9"/>
  <c r="E196" i="25"/>
  <c r="C197" i="12"/>
  <c r="E295" i="25"/>
  <c r="J296" i="49"/>
  <c r="C296" i="39"/>
  <c r="C296" i="12"/>
  <c r="C296" i="13"/>
  <c r="C302" i="9"/>
  <c r="C296" i="33"/>
  <c r="P14" i="19"/>
  <c r="R14" i="19" s="1"/>
  <c r="F14" i="49"/>
  <c r="G14" i="49" s="1"/>
  <c r="P16" i="19"/>
  <c r="R16" i="19" s="1"/>
  <c r="F16" i="49"/>
  <c r="G16" i="49" s="1"/>
  <c r="P68" i="19"/>
  <c r="R68" i="19" s="1"/>
  <c r="F68" i="49"/>
  <c r="G68" i="49" s="1"/>
  <c r="P101" i="19"/>
  <c r="R101" i="19" s="1"/>
  <c r="F101" i="49"/>
  <c r="G101" i="49" s="1"/>
  <c r="P85" i="19"/>
  <c r="R85" i="19" s="1"/>
  <c r="F85" i="49"/>
  <c r="G85" i="49" s="1"/>
  <c r="P66" i="19"/>
  <c r="R66" i="19" s="1"/>
  <c r="F66" i="49"/>
  <c r="G66" i="49" s="1"/>
  <c r="P98" i="19"/>
  <c r="R98" i="19" s="1"/>
  <c r="F98" i="49"/>
  <c r="G98" i="49" s="1"/>
  <c r="P158" i="19"/>
  <c r="R158" i="19" s="1"/>
  <c r="F158" i="49"/>
  <c r="G158" i="49" s="1"/>
  <c r="P71" i="19"/>
  <c r="R71" i="19" s="1"/>
  <c r="F71" i="49"/>
  <c r="G71" i="49" s="1"/>
  <c r="P104" i="19"/>
  <c r="R104" i="19" s="1"/>
  <c r="F104" i="49"/>
  <c r="G104" i="49" s="1"/>
  <c r="C168" i="12"/>
  <c r="P122" i="19"/>
  <c r="R122" i="19" s="1"/>
  <c r="F122" i="49"/>
  <c r="G122" i="49" s="1"/>
  <c r="P186" i="19"/>
  <c r="R186" i="19" s="1"/>
  <c r="F186" i="49"/>
  <c r="G186" i="49" s="1"/>
  <c r="P232" i="19"/>
  <c r="R232" i="19" s="1"/>
  <c r="F232" i="49"/>
  <c r="G232" i="49" s="1"/>
  <c r="E233" i="25"/>
  <c r="C234" i="13"/>
  <c r="J234" i="49"/>
  <c r="C234" i="12"/>
  <c r="C234" i="39"/>
  <c r="C234" i="33"/>
  <c r="C240" i="9"/>
  <c r="P217" i="19"/>
  <c r="R217" i="19" s="1"/>
  <c r="F217" i="49"/>
  <c r="G217" i="49" s="1"/>
  <c r="P247" i="19"/>
  <c r="R247" i="19" s="1"/>
  <c r="F247" i="49"/>
  <c r="G247" i="49" s="1"/>
  <c r="P50" i="19"/>
  <c r="R50" i="19" s="1"/>
  <c r="F50" i="49"/>
  <c r="G50" i="49" s="1"/>
  <c r="P272" i="19"/>
  <c r="R272" i="19" s="1"/>
  <c r="F272" i="49"/>
  <c r="G272" i="49" s="1"/>
  <c r="P156" i="19"/>
  <c r="R156" i="19" s="1"/>
  <c r="F156" i="49"/>
  <c r="G156" i="49" s="1"/>
  <c r="P155" i="19"/>
  <c r="R155" i="19" s="1"/>
  <c r="F155" i="49"/>
  <c r="G155" i="49" s="1"/>
  <c r="P269" i="19"/>
  <c r="R269" i="19" s="1"/>
  <c r="F269" i="49"/>
  <c r="G269" i="49" s="1"/>
  <c r="P285" i="19"/>
  <c r="R285" i="19" s="1"/>
  <c r="F285" i="49"/>
  <c r="G285" i="49" s="1"/>
  <c r="P124" i="19"/>
  <c r="R124" i="19" s="1"/>
  <c r="F124" i="49"/>
  <c r="G124" i="49" s="1"/>
  <c r="F63" i="49"/>
  <c r="G63" i="49" s="1"/>
  <c r="P63" i="19"/>
  <c r="R63" i="19" s="1"/>
  <c r="E180" i="25"/>
  <c r="J181" i="49"/>
  <c r="C181" i="39"/>
  <c r="C181" i="12"/>
  <c r="C181" i="13"/>
  <c r="C187" i="9"/>
  <c r="C181" i="33"/>
  <c r="C15" i="39"/>
  <c r="E275" i="25"/>
  <c r="C276" i="39"/>
  <c r="C276" i="12"/>
  <c r="J276" i="49"/>
  <c r="C276" i="13"/>
  <c r="C282" i="9"/>
  <c r="C276" i="33"/>
  <c r="E101" i="25"/>
  <c r="J102" i="49"/>
  <c r="C102" i="13"/>
  <c r="C102" i="39"/>
  <c r="C102" i="12"/>
  <c r="C102" i="33"/>
  <c r="C108" i="9"/>
  <c r="E18" i="25"/>
  <c r="J19" i="49"/>
  <c r="C19" i="39"/>
  <c r="C19" i="12"/>
  <c r="C19" i="13"/>
  <c r="C19" i="33"/>
  <c r="C25" i="9"/>
  <c r="E160" i="25"/>
  <c r="J161" i="49"/>
  <c r="C161" i="13"/>
  <c r="C161" i="39"/>
  <c r="C161" i="12"/>
  <c r="C161" i="33"/>
  <c r="C167" i="9"/>
  <c r="P219" i="19"/>
  <c r="R219" i="19" s="1"/>
  <c r="F219" i="49"/>
  <c r="G219" i="49" s="1"/>
  <c r="P251" i="19"/>
  <c r="R251" i="19" s="1"/>
  <c r="F251" i="49"/>
  <c r="G251" i="49" s="1"/>
  <c r="C232" i="9"/>
  <c r="P187" i="19"/>
  <c r="R187" i="19" s="1"/>
  <c r="F187" i="49"/>
  <c r="G187" i="49" s="1"/>
  <c r="P256" i="19"/>
  <c r="R256" i="19" s="1"/>
  <c r="F256" i="49"/>
  <c r="G256" i="49" s="1"/>
  <c r="P281" i="19"/>
  <c r="R281" i="19" s="1"/>
  <c r="F281" i="49"/>
  <c r="G281" i="49" s="1"/>
  <c r="P106" i="19"/>
  <c r="R106" i="19" s="1"/>
  <c r="F106" i="49"/>
  <c r="G106" i="49" s="1"/>
  <c r="P286" i="19"/>
  <c r="R286" i="19" s="1"/>
  <c r="F286" i="49"/>
  <c r="G286" i="49" s="1"/>
  <c r="F17" i="49"/>
  <c r="G17" i="49" s="1"/>
  <c r="P17" i="19"/>
  <c r="R17" i="19" s="1"/>
  <c r="F159" i="49"/>
  <c r="G159" i="49" s="1"/>
  <c r="P159" i="19"/>
  <c r="R159" i="19" s="1"/>
  <c r="P302" i="19"/>
  <c r="R302" i="19" s="1"/>
  <c r="F302" i="49"/>
  <c r="G302" i="49" s="1"/>
  <c r="F23" i="49"/>
  <c r="G23" i="49" s="1"/>
  <c r="P23" i="19"/>
  <c r="R23" i="19" s="1"/>
  <c r="E152" i="25"/>
  <c r="C153" i="12"/>
  <c r="P204" i="19"/>
  <c r="R204" i="19" s="1"/>
  <c r="F204" i="49"/>
  <c r="G204" i="49" s="1"/>
  <c r="E138" i="25"/>
  <c r="J139" i="49"/>
  <c r="C139" i="39"/>
  <c r="C139" i="12"/>
  <c r="C139" i="13"/>
  <c r="C139" i="33"/>
  <c r="C145" i="9"/>
  <c r="F29" i="49"/>
  <c r="G29" i="49" s="1"/>
  <c r="P29" i="19"/>
  <c r="R29" i="19" s="1"/>
  <c r="F119" i="49"/>
  <c r="G119" i="49" s="1"/>
  <c r="P119" i="19"/>
  <c r="R119" i="19" s="1"/>
  <c r="J13" i="49"/>
  <c r="E12" i="25"/>
  <c r="C13" i="13"/>
  <c r="C13" i="39"/>
  <c r="C13" i="12"/>
  <c r="C13" i="33"/>
  <c r="C19" i="9"/>
  <c r="C195" i="33"/>
  <c r="P24" i="19"/>
  <c r="R24" i="19" s="1"/>
  <c r="F24" i="49"/>
  <c r="G24" i="49" s="1"/>
  <c r="P89" i="19"/>
  <c r="R89" i="19" s="1"/>
  <c r="F89" i="49"/>
  <c r="G89" i="49" s="1"/>
  <c r="P70" i="19"/>
  <c r="R70" i="19" s="1"/>
  <c r="F70" i="49"/>
  <c r="G70" i="49" s="1"/>
  <c r="P105" i="19"/>
  <c r="R105" i="19" s="1"/>
  <c r="F105" i="49"/>
  <c r="G105" i="49" s="1"/>
  <c r="P166" i="19"/>
  <c r="R166" i="19" s="1"/>
  <c r="F166" i="49"/>
  <c r="G166" i="49" s="1"/>
  <c r="P75" i="19"/>
  <c r="R75" i="19" s="1"/>
  <c r="F75" i="49"/>
  <c r="G75" i="49" s="1"/>
  <c r="C112" i="12"/>
  <c r="C112" i="33"/>
  <c r="E175" i="25"/>
  <c r="J176" i="49"/>
  <c r="C176" i="13"/>
  <c r="C176" i="39"/>
  <c r="C176" i="12"/>
  <c r="C182" i="9"/>
  <c r="C176" i="33"/>
  <c r="P130" i="19"/>
  <c r="R130" i="19" s="1"/>
  <c r="F130" i="49"/>
  <c r="G130" i="49" s="1"/>
  <c r="P194" i="19"/>
  <c r="R194" i="19" s="1"/>
  <c r="F194" i="49"/>
  <c r="G194" i="49" s="1"/>
  <c r="P236" i="19"/>
  <c r="R236" i="19" s="1"/>
  <c r="F236" i="49"/>
  <c r="G236" i="49" s="1"/>
  <c r="P20" i="19"/>
  <c r="R20" i="19" s="1"/>
  <c r="F20" i="49"/>
  <c r="G20" i="49" s="1"/>
  <c r="P30" i="19"/>
  <c r="R30" i="19" s="1"/>
  <c r="F30" i="49"/>
  <c r="G30" i="49" s="1"/>
  <c r="P32" i="19"/>
  <c r="R32" i="19" s="1"/>
  <c r="F32" i="49"/>
  <c r="G32" i="49" s="1"/>
  <c r="P76" i="19"/>
  <c r="R76" i="19" s="1"/>
  <c r="F76" i="49"/>
  <c r="G76" i="49" s="1"/>
  <c r="P34" i="19"/>
  <c r="R34" i="19" s="1"/>
  <c r="F34" i="49"/>
  <c r="G34" i="49" s="1"/>
  <c r="P93" i="19"/>
  <c r="R93" i="19" s="1"/>
  <c r="F93" i="49"/>
  <c r="G93" i="49" s="1"/>
  <c r="P74" i="19"/>
  <c r="R74" i="19" s="1"/>
  <c r="F74" i="49"/>
  <c r="G74" i="49" s="1"/>
  <c r="P107" i="19"/>
  <c r="R107" i="19" s="1"/>
  <c r="F107" i="49"/>
  <c r="G107" i="49" s="1"/>
  <c r="P174" i="19"/>
  <c r="R174" i="19" s="1"/>
  <c r="F174" i="49"/>
  <c r="G174" i="49" s="1"/>
  <c r="P79" i="19"/>
  <c r="R79" i="19" s="1"/>
  <c r="F79" i="49"/>
  <c r="G79" i="49" s="1"/>
  <c r="C184" i="13"/>
  <c r="P138" i="19"/>
  <c r="R138" i="19" s="1"/>
  <c r="F138" i="49"/>
  <c r="G138" i="49" s="1"/>
  <c r="P202" i="19"/>
  <c r="R202" i="19" s="1"/>
  <c r="F202" i="49"/>
  <c r="G202" i="49" s="1"/>
  <c r="P240" i="19"/>
  <c r="R240" i="19" s="1"/>
  <c r="F240" i="49"/>
  <c r="G240" i="49" s="1"/>
  <c r="P223" i="19"/>
  <c r="R223" i="19" s="1"/>
  <c r="F223" i="49"/>
  <c r="G223" i="49" s="1"/>
  <c r="P252" i="19"/>
  <c r="R252" i="19" s="1"/>
  <c r="F252" i="49"/>
  <c r="G252" i="49" s="1"/>
  <c r="P242" i="19"/>
  <c r="R242" i="19" s="1"/>
  <c r="F242" i="49"/>
  <c r="G242" i="49" s="1"/>
  <c r="P164" i="19"/>
  <c r="R164" i="19" s="1"/>
  <c r="F164" i="49"/>
  <c r="G164" i="49" s="1"/>
  <c r="P255" i="19"/>
  <c r="R255" i="19" s="1"/>
  <c r="F255" i="49"/>
  <c r="G255" i="49" s="1"/>
  <c r="P279" i="19"/>
  <c r="R279" i="19" s="1"/>
  <c r="F279" i="49"/>
  <c r="G279" i="49" s="1"/>
  <c r="P299" i="19"/>
  <c r="R299" i="19" s="1"/>
  <c r="F299" i="49"/>
  <c r="G299" i="49" s="1"/>
  <c r="P221" i="19"/>
  <c r="R221" i="19" s="1"/>
  <c r="F221" i="49"/>
  <c r="G221" i="49" s="1"/>
  <c r="P132" i="19"/>
  <c r="R132" i="19" s="1"/>
  <c r="F132" i="49"/>
  <c r="G132" i="49" s="1"/>
  <c r="P259" i="19"/>
  <c r="R259" i="19" s="1"/>
  <c r="F259" i="49"/>
  <c r="G259" i="49" s="1"/>
  <c r="F121" i="49"/>
  <c r="G121" i="49" s="1"/>
  <c r="P121" i="19"/>
  <c r="R121" i="19" s="1"/>
  <c r="F300" i="49"/>
  <c r="G300" i="49" s="1"/>
  <c r="P300" i="19"/>
  <c r="R300" i="19" s="1"/>
  <c r="F47" i="49"/>
  <c r="G47" i="49" s="1"/>
  <c r="P47" i="19"/>
  <c r="R47" i="19" s="1"/>
  <c r="J191" i="49"/>
  <c r="E190" i="25"/>
  <c r="C191" i="13"/>
  <c r="C191" i="39"/>
  <c r="C191" i="12"/>
  <c r="C197" i="9"/>
  <c r="C191" i="33"/>
  <c r="J165" i="49"/>
  <c r="E164" i="25"/>
  <c r="C165" i="39"/>
  <c r="C165" i="13"/>
  <c r="C165" i="12"/>
  <c r="C171" i="9"/>
  <c r="C165" i="33"/>
  <c r="F53" i="49"/>
  <c r="G53" i="49" s="1"/>
  <c r="P53" i="19"/>
  <c r="R53" i="19" s="1"/>
  <c r="F151" i="49"/>
  <c r="G151" i="49" s="1"/>
  <c r="P151" i="19"/>
  <c r="R151" i="19" s="1"/>
  <c r="P298" i="19"/>
  <c r="R298" i="19" s="1"/>
  <c r="F298" i="49"/>
  <c r="G298" i="49" s="1"/>
  <c r="E109" i="25"/>
  <c r="J110" i="49"/>
  <c r="C110" i="39"/>
  <c r="C110" i="12"/>
  <c r="C110" i="13"/>
  <c r="C110" i="33"/>
  <c r="C116" i="9"/>
  <c r="E184" i="25"/>
  <c r="J185" i="49"/>
  <c r="C185" i="39"/>
  <c r="C185" i="13"/>
  <c r="C185" i="12"/>
  <c r="C191" i="9"/>
  <c r="C185" i="33"/>
  <c r="J125" i="49"/>
  <c r="E124" i="25"/>
  <c r="C125" i="39"/>
  <c r="C125" i="12"/>
  <c r="C125" i="13"/>
  <c r="C131" i="9"/>
  <c r="C125" i="33"/>
  <c r="C205" i="13" l="1"/>
  <c r="J57" i="49"/>
  <c r="C136" i="33"/>
  <c r="C177" i="39"/>
  <c r="C136" i="13"/>
  <c r="E198" i="25"/>
  <c r="C136" i="12"/>
  <c r="C163" i="9"/>
  <c r="E188" i="25"/>
  <c r="E204" i="25"/>
  <c r="C33" i="33"/>
  <c r="C294" i="13"/>
  <c r="C144" i="39"/>
  <c r="C33" i="39"/>
  <c r="C197" i="13"/>
  <c r="C144" i="12"/>
  <c r="C11" i="39"/>
  <c r="C294" i="12"/>
  <c r="C31" i="9"/>
  <c r="C211" i="9"/>
  <c r="C49" i="9"/>
  <c r="J144" i="49"/>
  <c r="J205" i="49"/>
  <c r="C205" i="33"/>
  <c r="C205" i="11" s="1"/>
  <c r="C205" i="12"/>
  <c r="C203" i="12"/>
  <c r="E42" i="25"/>
  <c r="C230" i="33"/>
  <c r="C218" i="39"/>
  <c r="E217" i="25"/>
  <c r="C49" i="13"/>
  <c r="C238" i="33"/>
  <c r="C238" i="11" s="1"/>
  <c r="C250" i="13"/>
  <c r="J250" i="49"/>
  <c r="C256" i="9"/>
  <c r="C250" i="33"/>
  <c r="C256" i="34" s="1"/>
  <c r="C209" i="9"/>
  <c r="C236" i="9"/>
  <c r="E24" i="25"/>
  <c r="C184" i="33"/>
  <c r="C184" i="11" s="1"/>
  <c r="C197" i="39"/>
  <c r="C230" i="13"/>
  <c r="E293" i="25"/>
  <c r="C190" i="9"/>
  <c r="J197" i="49"/>
  <c r="C230" i="39"/>
  <c r="C192" i="39"/>
  <c r="C127" i="12"/>
  <c r="C184" i="39"/>
  <c r="C43" i="39"/>
  <c r="E229" i="25"/>
  <c r="C184" i="12"/>
  <c r="C197" i="33"/>
  <c r="C43" i="13"/>
  <c r="C152" i="39"/>
  <c r="J184" i="49"/>
  <c r="E172" i="25"/>
  <c r="E200" i="25"/>
  <c r="J43" i="49"/>
  <c r="C294" i="33"/>
  <c r="C294" i="11" s="1"/>
  <c r="C133" i="39"/>
  <c r="E134" i="25"/>
  <c r="J218" i="49"/>
  <c r="J135" i="49"/>
  <c r="C218" i="13"/>
  <c r="C183" i="33"/>
  <c r="C211" i="33"/>
  <c r="C183" i="12"/>
  <c r="C135" i="33"/>
  <c r="C224" i="9"/>
  <c r="J183" i="49"/>
  <c r="C135" i="12"/>
  <c r="C218" i="33"/>
  <c r="C224" i="34" s="1"/>
  <c r="C183" i="39"/>
  <c r="C135" i="13"/>
  <c r="J200" i="49"/>
  <c r="C153" i="39"/>
  <c r="C203" i="39"/>
  <c r="C152" i="13"/>
  <c r="C177" i="9"/>
  <c r="C127" i="39"/>
  <c r="J192" i="49"/>
  <c r="C153" i="13"/>
  <c r="E202" i="25"/>
  <c r="C21" i="9"/>
  <c r="J152" i="49"/>
  <c r="C171" i="12"/>
  <c r="C127" i="13"/>
  <c r="C134" i="9"/>
  <c r="J153" i="49"/>
  <c r="C15" i="33"/>
  <c r="E151" i="25"/>
  <c r="C171" i="39"/>
  <c r="E126" i="25"/>
  <c r="C203" i="33"/>
  <c r="E203" i="33" s="1"/>
  <c r="D203" i="37" s="1"/>
  <c r="C158" i="9"/>
  <c r="C25" i="33"/>
  <c r="C31" i="34" s="1"/>
  <c r="C159" i="9"/>
  <c r="C203" i="13"/>
  <c r="C152" i="33"/>
  <c r="E152" i="33" s="1"/>
  <c r="D152" i="37" s="1"/>
  <c r="C25" i="12"/>
  <c r="C127" i="33"/>
  <c r="C25" i="39"/>
  <c r="C133" i="9"/>
  <c r="C131" i="13"/>
  <c r="C131" i="12"/>
  <c r="J131" i="49"/>
  <c r="C192" i="33"/>
  <c r="C192" i="11" s="1"/>
  <c r="C192" i="12"/>
  <c r="C198" i="9"/>
  <c r="C128" i="12"/>
  <c r="E132" i="25"/>
  <c r="J133" i="49"/>
  <c r="C11" i="12"/>
  <c r="C294" i="39"/>
  <c r="C139" i="9"/>
  <c r="C11" i="13"/>
  <c r="J294" i="49"/>
  <c r="C133" i="13"/>
  <c r="E10" i="25"/>
  <c r="C133" i="12"/>
  <c r="J11" i="49"/>
  <c r="E127" i="25"/>
  <c r="C43" i="33"/>
  <c r="C43" i="11" s="1"/>
  <c r="C27" i="12"/>
  <c r="C166" i="9"/>
  <c r="C155" i="9"/>
  <c r="E56" i="25"/>
  <c r="C171" i="33"/>
  <c r="C171" i="11" s="1"/>
  <c r="C17" i="9"/>
  <c r="C141" i="33"/>
  <c r="C128" i="33"/>
  <c r="C128" i="11" s="1"/>
  <c r="C252" i="9"/>
  <c r="C41" i="13"/>
  <c r="C171" i="13"/>
  <c r="J141" i="49"/>
  <c r="C128" i="13"/>
  <c r="C199" i="39"/>
  <c r="C199" i="13"/>
  <c r="C63" i="9"/>
  <c r="J199" i="49"/>
  <c r="C57" i="12"/>
  <c r="C57" i="39"/>
  <c r="C199" i="33"/>
  <c r="C199" i="11" s="1"/>
  <c r="E283" i="25"/>
  <c r="C128" i="39"/>
  <c r="C246" i="33"/>
  <c r="C246" i="11" s="1"/>
  <c r="J49" i="49"/>
  <c r="C238" i="13"/>
  <c r="C121" i="9"/>
  <c r="C211" i="13"/>
  <c r="C246" i="12"/>
  <c r="E48" i="25"/>
  <c r="C238" i="12"/>
  <c r="C115" i="33"/>
  <c r="C211" i="12"/>
  <c r="C129" i="33"/>
  <c r="C238" i="39"/>
  <c r="C115" i="12"/>
  <c r="C211" i="39"/>
  <c r="C129" i="12"/>
  <c r="C246" i="39"/>
  <c r="C55" i="9"/>
  <c r="J238" i="49"/>
  <c r="C115" i="13"/>
  <c r="J211" i="49"/>
  <c r="C129" i="39"/>
  <c r="J246" i="49"/>
  <c r="C49" i="33"/>
  <c r="E49" i="33" s="1"/>
  <c r="D49" i="37" s="1"/>
  <c r="E237" i="25"/>
  <c r="C115" i="39"/>
  <c r="E210" i="25"/>
  <c r="C129" i="13"/>
  <c r="E245" i="25"/>
  <c r="C49" i="12"/>
  <c r="J115" i="49"/>
  <c r="E128" i="25"/>
  <c r="C200" i="13"/>
  <c r="C205" i="9"/>
  <c r="J129" i="49"/>
  <c r="C131" i="39"/>
  <c r="C192" i="13"/>
  <c r="C200" i="39"/>
  <c r="E130" i="25"/>
  <c r="C200" i="12"/>
  <c r="E199" i="25"/>
  <c r="C25" i="13"/>
  <c r="J171" i="49"/>
  <c r="C200" i="33"/>
  <c r="J193" i="49"/>
  <c r="C149" i="12"/>
  <c r="C207" i="9"/>
  <c r="E192" i="25"/>
  <c r="C149" i="39"/>
  <c r="C201" i="33"/>
  <c r="C207" i="34" s="1"/>
  <c r="C149" i="13"/>
  <c r="C201" i="12"/>
  <c r="C193" i="33"/>
  <c r="C193" i="11" s="1"/>
  <c r="J149" i="49"/>
  <c r="C201" i="13"/>
  <c r="C199" i="9"/>
  <c r="C201" i="39"/>
  <c r="C193" i="13"/>
  <c r="C137" i="9"/>
  <c r="C112" i="39"/>
  <c r="C226" i="33"/>
  <c r="C232" i="34" s="1"/>
  <c r="C157" i="33"/>
  <c r="E157" i="33" s="1"/>
  <c r="D157" i="37" s="1"/>
  <c r="C147" i="9"/>
  <c r="C226" i="39"/>
  <c r="C157" i="13"/>
  <c r="C290" i="9"/>
  <c r="C112" i="13"/>
  <c r="C226" i="12"/>
  <c r="E148" i="25"/>
  <c r="C157" i="12"/>
  <c r="C141" i="12"/>
  <c r="C284" i="33"/>
  <c r="E284" i="33" s="1"/>
  <c r="D284" i="37" s="1"/>
  <c r="J112" i="49"/>
  <c r="E111" i="25"/>
  <c r="C226" i="13"/>
  <c r="C157" i="39"/>
  <c r="C141" i="39"/>
  <c r="C284" i="12"/>
  <c r="J226" i="49"/>
  <c r="J157" i="49"/>
  <c r="C141" i="13"/>
  <c r="C284" i="39"/>
  <c r="C284" i="13"/>
  <c r="C41" i="12"/>
  <c r="C201" i="9"/>
  <c r="C33" i="12"/>
  <c r="J173" i="49"/>
  <c r="J189" i="49"/>
  <c r="C41" i="39"/>
  <c r="C195" i="13"/>
  <c r="C33" i="13"/>
  <c r="C179" i="9"/>
  <c r="C189" i="33"/>
  <c r="C189" i="11" s="1"/>
  <c r="J41" i="49"/>
  <c r="C195" i="12"/>
  <c r="E32" i="25"/>
  <c r="C173" i="12"/>
  <c r="C195" i="9"/>
  <c r="E40" i="25"/>
  <c r="C195" i="39"/>
  <c r="J33" i="49"/>
  <c r="C173" i="33"/>
  <c r="C173" i="11" s="1"/>
  <c r="C189" i="12"/>
  <c r="J195" i="49"/>
  <c r="C173" i="13"/>
  <c r="C189" i="39"/>
  <c r="C47" i="9"/>
  <c r="C15" i="12"/>
  <c r="C168" i="39"/>
  <c r="C15" i="13"/>
  <c r="J168" i="49"/>
  <c r="E14" i="25"/>
  <c r="E167" i="25"/>
  <c r="C168" i="33"/>
  <c r="C168" i="11" s="1"/>
  <c r="C168" i="13"/>
  <c r="J221" i="49"/>
  <c r="E220" i="25"/>
  <c r="C221" i="13"/>
  <c r="C221" i="39"/>
  <c r="C221" i="12"/>
  <c r="C227" i="9"/>
  <c r="C221" i="33"/>
  <c r="E163" i="25"/>
  <c r="J164" i="49"/>
  <c r="C164" i="13"/>
  <c r="C164" i="39"/>
  <c r="C164" i="12"/>
  <c r="C164" i="33"/>
  <c r="C170" i="9"/>
  <c r="E106" i="25"/>
  <c r="J107" i="49"/>
  <c r="C107" i="39"/>
  <c r="C107" i="12"/>
  <c r="C107" i="13"/>
  <c r="C107" i="33"/>
  <c r="C113" i="9"/>
  <c r="E75" i="25"/>
  <c r="C76" i="13"/>
  <c r="J76" i="49"/>
  <c r="C76" i="39"/>
  <c r="C76" i="12"/>
  <c r="C76" i="33"/>
  <c r="C82" i="9"/>
  <c r="E235" i="25"/>
  <c r="J236" i="49"/>
  <c r="C236" i="13"/>
  <c r="C236" i="39"/>
  <c r="C236" i="12"/>
  <c r="C236" i="33"/>
  <c r="C242" i="9"/>
  <c r="E104" i="25"/>
  <c r="J105" i="49"/>
  <c r="C105" i="39"/>
  <c r="C105" i="12"/>
  <c r="C105" i="13"/>
  <c r="C105" i="33"/>
  <c r="C111" i="9"/>
  <c r="E195" i="33"/>
  <c r="D195" i="37" s="1"/>
  <c r="C195" i="11"/>
  <c r="C201" i="34"/>
  <c r="C139" i="11"/>
  <c r="C145" i="34"/>
  <c r="E139" i="33"/>
  <c r="D139" i="37" s="1"/>
  <c r="E285" i="25"/>
  <c r="J286" i="49"/>
  <c r="C286" i="39"/>
  <c r="C286" i="12"/>
  <c r="C286" i="13"/>
  <c r="C286" i="33"/>
  <c r="C292" i="9"/>
  <c r="E186" i="25"/>
  <c r="J187" i="49"/>
  <c r="C187" i="39"/>
  <c r="C187" i="12"/>
  <c r="C187" i="13"/>
  <c r="C187" i="33"/>
  <c r="C193" i="9"/>
  <c r="E185" i="25"/>
  <c r="J186" i="49"/>
  <c r="C186" i="13"/>
  <c r="C186" i="12"/>
  <c r="C186" i="39"/>
  <c r="C186" i="33"/>
  <c r="C192" i="9"/>
  <c r="J39" i="49"/>
  <c r="E38" i="25"/>
  <c r="C39" i="13"/>
  <c r="C39" i="39"/>
  <c r="C39" i="12"/>
  <c r="C39" i="33"/>
  <c r="C45" i="9"/>
  <c r="E263" i="25"/>
  <c r="J264" i="49"/>
  <c r="C264" i="12"/>
  <c r="C264" i="13"/>
  <c r="C264" i="39"/>
  <c r="C270" i="9"/>
  <c r="C264" i="33"/>
  <c r="C160" i="11"/>
  <c r="C166" i="34"/>
  <c r="E160" i="33"/>
  <c r="D160" i="37" s="1"/>
  <c r="E89" i="25"/>
  <c r="J90" i="49"/>
  <c r="C90" i="12"/>
  <c r="C90" i="13"/>
  <c r="C90" i="39"/>
  <c r="C90" i="33"/>
  <c r="C96" i="9"/>
  <c r="J26" i="49"/>
  <c r="E25" i="25"/>
  <c r="C26" i="13"/>
  <c r="C26" i="12"/>
  <c r="C26" i="39"/>
  <c r="C26" i="33"/>
  <c r="C32" i="9"/>
  <c r="E90" i="25"/>
  <c r="J91" i="49"/>
  <c r="C91" i="39"/>
  <c r="C91" i="12"/>
  <c r="C91" i="13"/>
  <c r="C91" i="33"/>
  <c r="C97" i="9"/>
  <c r="E53" i="25"/>
  <c r="C54" i="13"/>
  <c r="C54" i="39"/>
  <c r="J54" i="49"/>
  <c r="C54" i="12"/>
  <c r="C54" i="33"/>
  <c r="C60" i="9"/>
  <c r="E57" i="33"/>
  <c r="D57" i="37" s="1"/>
  <c r="C57" i="11"/>
  <c r="C63" i="34"/>
  <c r="C145" i="11"/>
  <c r="C151" i="34"/>
  <c r="E145" i="33"/>
  <c r="D145" i="37" s="1"/>
  <c r="E257" i="25"/>
  <c r="J258" i="49"/>
  <c r="C258" i="13"/>
  <c r="C258" i="12"/>
  <c r="C258" i="39"/>
  <c r="C264" i="9"/>
  <c r="C258" i="33"/>
  <c r="E133" i="33"/>
  <c r="D133" i="37" s="1"/>
  <c r="C133" i="11"/>
  <c r="C139" i="34"/>
  <c r="C11" i="11"/>
  <c r="C17" i="34"/>
  <c r="E11" i="33"/>
  <c r="D11" i="37" s="1"/>
  <c r="E252" i="25"/>
  <c r="J253" i="49"/>
  <c r="C253" i="13"/>
  <c r="C253" i="39"/>
  <c r="C253" i="12"/>
  <c r="C259" i="9"/>
  <c r="C253" i="33"/>
  <c r="E115" i="25"/>
  <c r="J116" i="49"/>
  <c r="C116" i="39"/>
  <c r="C116" i="12"/>
  <c r="C116" i="13"/>
  <c r="C116" i="33"/>
  <c r="C122" i="9"/>
  <c r="E120" i="25"/>
  <c r="C121" i="13"/>
  <c r="C121" i="39"/>
  <c r="C121" i="12"/>
  <c r="C121" i="33"/>
  <c r="J121" i="49"/>
  <c r="C127" i="9"/>
  <c r="E201" i="25"/>
  <c r="J202" i="49"/>
  <c r="C202" i="13"/>
  <c r="C202" i="12"/>
  <c r="C202" i="39"/>
  <c r="C202" i="33"/>
  <c r="C208" i="9"/>
  <c r="C153" i="11"/>
  <c r="C159" i="34"/>
  <c r="E153" i="33"/>
  <c r="D153" i="37" s="1"/>
  <c r="E250" i="25"/>
  <c r="C251" i="39"/>
  <c r="C251" i="12"/>
  <c r="J251" i="49"/>
  <c r="C251" i="13"/>
  <c r="C251" i="33"/>
  <c r="C257" i="9"/>
  <c r="C102" i="11"/>
  <c r="C108" i="34"/>
  <c r="E102" i="33"/>
  <c r="D102" i="37" s="1"/>
  <c r="E268" i="25"/>
  <c r="J269" i="49"/>
  <c r="C269" i="13"/>
  <c r="C269" i="39"/>
  <c r="C269" i="12"/>
  <c r="C275" i="9"/>
  <c r="C269" i="33"/>
  <c r="E49" i="25"/>
  <c r="J50" i="49"/>
  <c r="C50" i="13"/>
  <c r="C50" i="12"/>
  <c r="C50" i="39"/>
  <c r="C50" i="33"/>
  <c r="C56" i="9"/>
  <c r="E97" i="25"/>
  <c r="C98" i="13"/>
  <c r="J98" i="49"/>
  <c r="C98" i="12"/>
  <c r="C98" i="39"/>
  <c r="C98" i="33"/>
  <c r="C104" i="9"/>
  <c r="E67" i="25"/>
  <c r="J68" i="49"/>
  <c r="C68" i="13"/>
  <c r="C68" i="39"/>
  <c r="C68" i="12"/>
  <c r="C68" i="33"/>
  <c r="C74" i="9"/>
  <c r="E44" i="25"/>
  <c r="J45" i="49"/>
  <c r="C45" i="13"/>
  <c r="C45" i="39"/>
  <c r="C45" i="12"/>
  <c r="C45" i="33"/>
  <c r="C51" i="9"/>
  <c r="E281" i="25"/>
  <c r="J282" i="49"/>
  <c r="C282" i="13"/>
  <c r="C282" i="12"/>
  <c r="C282" i="39"/>
  <c r="C282" i="33"/>
  <c r="C288" i="9"/>
  <c r="E264" i="25"/>
  <c r="J265" i="49"/>
  <c r="C265" i="39"/>
  <c r="C265" i="13"/>
  <c r="C265" i="12"/>
  <c r="C265" i="33"/>
  <c r="C271" i="9"/>
  <c r="E66" i="25"/>
  <c r="C67" i="13"/>
  <c r="J67" i="49"/>
  <c r="C67" i="39"/>
  <c r="C67" i="12"/>
  <c r="C67" i="33"/>
  <c r="C73" i="9"/>
  <c r="E80" i="25"/>
  <c r="J81" i="49"/>
  <c r="C81" i="39"/>
  <c r="C81" i="12"/>
  <c r="C81" i="13"/>
  <c r="C81" i="33"/>
  <c r="C87" i="9"/>
  <c r="E59" i="25"/>
  <c r="J60" i="49"/>
  <c r="C60" i="13"/>
  <c r="C60" i="39"/>
  <c r="C60" i="12"/>
  <c r="C60" i="33"/>
  <c r="C66" i="9"/>
  <c r="E146" i="25"/>
  <c r="J147" i="49"/>
  <c r="C147" i="39"/>
  <c r="C147" i="13"/>
  <c r="C147" i="12"/>
  <c r="C147" i="33"/>
  <c r="C153" i="9"/>
  <c r="E302" i="25"/>
  <c r="J303" i="49"/>
  <c r="C303" i="13"/>
  <c r="C303" i="39"/>
  <c r="C303" i="12"/>
  <c r="C309" i="9"/>
  <c r="C303" i="33"/>
  <c r="E208" i="25"/>
  <c r="J209" i="49"/>
  <c r="C209" i="39"/>
  <c r="C209" i="12"/>
  <c r="C209" i="13"/>
  <c r="C215" i="9"/>
  <c r="C209" i="33"/>
  <c r="E240" i="25"/>
  <c r="J241" i="49"/>
  <c r="C241" i="39"/>
  <c r="C241" i="12"/>
  <c r="C241" i="13"/>
  <c r="C241" i="33"/>
  <c r="C247" i="9"/>
  <c r="J18" i="49"/>
  <c r="E17" i="25"/>
  <c r="C18" i="13"/>
  <c r="C18" i="12"/>
  <c r="C18" i="39"/>
  <c r="C24" i="9"/>
  <c r="C18" i="33"/>
  <c r="J213" i="49"/>
  <c r="E212" i="25"/>
  <c r="C213" i="39"/>
  <c r="C213" i="12"/>
  <c r="C213" i="13"/>
  <c r="C219" i="9"/>
  <c r="C213" i="33"/>
  <c r="E122" i="25"/>
  <c r="J123" i="49"/>
  <c r="C123" i="39"/>
  <c r="C123" i="12"/>
  <c r="C123" i="13"/>
  <c r="C123" i="33"/>
  <c r="C129" i="9"/>
  <c r="E72" i="25"/>
  <c r="C73" i="13"/>
  <c r="J73" i="49"/>
  <c r="C73" i="39"/>
  <c r="C73" i="12"/>
  <c r="C73" i="33"/>
  <c r="C79" i="9"/>
  <c r="E277" i="25"/>
  <c r="C278" i="39"/>
  <c r="C278" i="13"/>
  <c r="C278" i="12"/>
  <c r="J278" i="49"/>
  <c r="C278" i="33"/>
  <c r="C284" i="9"/>
  <c r="E171" i="25"/>
  <c r="C172" i="13"/>
  <c r="C172" i="39"/>
  <c r="C172" i="12"/>
  <c r="J172" i="49"/>
  <c r="C172" i="33"/>
  <c r="C178" i="9"/>
  <c r="E267" i="25"/>
  <c r="J268" i="49"/>
  <c r="C268" i="13"/>
  <c r="C268" i="39"/>
  <c r="C268" i="12"/>
  <c r="C268" i="33"/>
  <c r="C274" i="9"/>
  <c r="E211" i="25"/>
  <c r="J212" i="49"/>
  <c r="C212" i="39"/>
  <c r="C212" i="12"/>
  <c r="C212" i="13"/>
  <c r="C212" i="33"/>
  <c r="C218" i="9"/>
  <c r="E81" i="25"/>
  <c r="C82" i="13"/>
  <c r="J82" i="49"/>
  <c r="C82" i="12"/>
  <c r="C82" i="39"/>
  <c r="C82" i="33"/>
  <c r="C88" i="9"/>
  <c r="E11" i="25"/>
  <c r="J12" i="49"/>
  <c r="C12" i="13"/>
  <c r="C12" i="39"/>
  <c r="C12" i="12"/>
  <c r="C12" i="33"/>
  <c r="C18" i="9"/>
  <c r="E209" i="25"/>
  <c r="J210" i="49"/>
  <c r="C210" i="13"/>
  <c r="C210" i="12"/>
  <c r="C210" i="39"/>
  <c r="C210" i="33"/>
  <c r="C216" i="9"/>
  <c r="E77" i="25"/>
  <c r="J78" i="49"/>
  <c r="C78" i="39"/>
  <c r="C78" i="13"/>
  <c r="C78" i="12"/>
  <c r="C78" i="33"/>
  <c r="C84" i="9"/>
  <c r="E39" i="25"/>
  <c r="J40" i="49"/>
  <c r="C40" i="13"/>
  <c r="C40" i="12"/>
  <c r="C40" i="39"/>
  <c r="C46" i="9"/>
  <c r="C40" i="33"/>
  <c r="E298" i="25"/>
  <c r="J299" i="49"/>
  <c r="C299" i="39"/>
  <c r="C299" i="12"/>
  <c r="C299" i="13"/>
  <c r="C299" i="33"/>
  <c r="C305" i="9"/>
  <c r="J242" i="49"/>
  <c r="E241" i="25"/>
  <c r="C242" i="13"/>
  <c r="C242" i="12"/>
  <c r="C242" i="39"/>
  <c r="C242" i="33"/>
  <c r="C248" i="9"/>
  <c r="E73" i="25"/>
  <c r="J74" i="49"/>
  <c r="C74" i="13"/>
  <c r="C74" i="12"/>
  <c r="C74" i="39"/>
  <c r="C80" i="9"/>
  <c r="C74" i="33"/>
  <c r="E31" i="25"/>
  <c r="J32" i="49"/>
  <c r="C32" i="13"/>
  <c r="C32" i="12"/>
  <c r="C32" i="39"/>
  <c r="C32" i="33"/>
  <c r="C38" i="9"/>
  <c r="E193" i="25"/>
  <c r="J194" i="49"/>
  <c r="C194" i="13"/>
  <c r="C194" i="12"/>
  <c r="C194" i="39"/>
  <c r="C200" i="9"/>
  <c r="C194" i="33"/>
  <c r="E69" i="25"/>
  <c r="J70" i="49"/>
  <c r="C70" i="13"/>
  <c r="C70" i="39"/>
  <c r="C70" i="12"/>
  <c r="C70" i="33"/>
  <c r="C76" i="9"/>
  <c r="E301" i="25"/>
  <c r="J302" i="49"/>
  <c r="C302" i="39"/>
  <c r="C302" i="12"/>
  <c r="C302" i="13"/>
  <c r="C302" i="33"/>
  <c r="C308" i="9"/>
  <c r="E105" i="25"/>
  <c r="C106" i="13"/>
  <c r="C106" i="12"/>
  <c r="J106" i="49"/>
  <c r="C106" i="39"/>
  <c r="C106" i="33"/>
  <c r="C112" i="9"/>
  <c r="E62" i="25"/>
  <c r="J63" i="49"/>
  <c r="C63" i="13"/>
  <c r="C63" i="39"/>
  <c r="C63" i="33"/>
  <c r="C63" i="12"/>
  <c r="C69" i="9"/>
  <c r="E121" i="25"/>
  <c r="J122" i="49"/>
  <c r="C122" i="13"/>
  <c r="C122" i="12"/>
  <c r="C122" i="39"/>
  <c r="C122" i="33"/>
  <c r="C128" i="9"/>
  <c r="E179" i="33"/>
  <c r="D179" i="37" s="1"/>
  <c r="C179" i="11"/>
  <c r="C185" i="34"/>
  <c r="J274" i="49"/>
  <c r="E273" i="25"/>
  <c r="C274" i="13"/>
  <c r="C274" i="12"/>
  <c r="C274" i="39"/>
  <c r="C280" i="9"/>
  <c r="C274" i="33"/>
  <c r="E63" i="25"/>
  <c r="J64" i="49"/>
  <c r="C64" i="13"/>
  <c r="C64" i="12"/>
  <c r="C64" i="39"/>
  <c r="C70" i="9"/>
  <c r="C64" i="33"/>
  <c r="J95" i="49"/>
  <c r="E94" i="25"/>
  <c r="C95" i="13"/>
  <c r="C95" i="39"/>
  <c r="C95" i="12"/>
  <c r="C95" i="33"/>
  <c r="C101" i="9"/>
  <c r="J10" i="49"/>
  <c r="E9" i="25"/>
  <c r="C10" i="13"/>
  <c r="C10" i="12"/>
  <c r="C10" i="39"/>
  <c r="C10" i="33"/>
  <c r="C16" i="9"/>
  <c r="E61" i="25"/>
  <c r="J62" i="49"/>
  <c r="C62" i="13"/>
  <c r="C62" i="39"/>
  <c r="C62" i="12"/>
  <c r="C62" i="33"/>
  <c r="C68" i="9"/>
  <c r="E133" i="25"/>
  <c r="J134" i="49"/>
  <c r="C134" i="39"/>
  <c r="C134" i="12"/>
  <c r="C134" i="13"/>
  <c r="C134" i="33"/>
  <c r="C140" i="9"/>
  <c r="E43" i="25"/>
  <c r="J44" i="49"/>
  <c r="C44" i="13"/>
  <c r="C44" i="39"/>
  <c r="C44" i="12"/>
  <c r="C44" i="33"/>
  <c r="C50" i="9"/>
  <c r="E219" i="25"/>
  <c r="J220" i="49"/>
  <c r="C220" i="13"/>
  <c r="C220" i="39"/>
  <c r="C220" i="12"/>
  <c r="C220" i="33"/>
  <c r="C226" i="9"/>
  <c r="J117" i="49"/>
  <c r="E116" i="25"/>
  <c r="C117" i="13"/>
  <c r="C117" i="39"/>
  <c r="C117" i="12"/>
  <c r="C117" i="33"/>
  <c r="C123" i="9"/>
  <c r="J167" i="49"/>
  <c r="E166" i="25"/>
  <c r="C167" i="39"/>
  <c r="C167" i="12"/>
  <c r="C167" i="13"/>
  <c r="C167" i="33"/>
  <c r="C173" i="9"/>
  <c r="E168" i="25"/>
  <c r="J169" i="49"/>
  <c r="C169" i="13"/>
  <c r="C169" i="39"/>
  <c r="C169" i="12"/>
  <c r="C175" i="9"/>
  <c r="C169" i="33"/>
  <c r="E300" i="25"/>
  <c r="J301" i="49"/>
  <c r="C301" i="13"/>
  <c r="C301" i="39"/>
  <c r="C301" i="12"/>
  <c r="C307" i="9"/>
  <c r="C301" i="33"/>
  <c r="E269" i="25"/>
  <c r="C270" i="39"/>
  <c r="C270" i="12"/>
  <c r="C270" i="13"/>
  <c r="J270" i="49"/>
  <c r="C270" i="33"/>
  <c r="C276" i="9"/>
  <c r="E297" i="25"/>
  <c r="J298" i="49"/>
  <c r="C298" i="13"/>
  <c r="C298" i="12"/>
  <c r="C298" i="39"/>
  <c r="C298" i="33"/>
  <c r="C304" i="9"/>
  <c r="E137" i="25"/>
  <c r="C138" i="13"/>
  <c r="C138" i="12"/>
  <c r="J138" i="49"/>
  <c r="C138" i="39"/>
  <c r="C144" i="9"/>
  <c r="C138" i="33"/>
  <c r="J119" i="49"/>
  <c r="E118" i="25"/>
  <c r="C119" i="39"/>
  <c r="C119" i="13"/>
  <c r="C119" i="33"/>
  <c r="C125" i="9"/>
  <c r="C119" i="12"/>
  <c r="E158" i="25"/>
  <c r="J159" i="49"/>
  <c r="C159" i="39"/>
  <c r="C159" i="12"/>
  <c r="C159" i="13"/>
  <c r="C159" i="33"/>
  <c r="C165" i="9"/>
  <c r="E218" i="25"/>
  <c r="J219" i="49"/>
  <c r="C219" i="39"/>
  <c r="C219" i="12"/>
  <c r="C219" i="13"/>
  <c r="C219" i="33"/>
  <c r="C225" i="9"/>
  <c r="C19" i="11"/>
  <c r="C25" i="34"/>
  <c r="E19" i="33"/>
  <c r="D19" i="37" s="1"/>
  <c r="C181" i="11"/>
  <c r="C187" i="34"/>
  <c r="E181" i="33"/>
  <c r="D181" i="37" s="1"/>
  <c r="E154" i="25"/>
  <c r="J155" i="49"/>
  <c r="C155" i="39"/>
  <c r="C155" i="12"/>
  <c r="C155" i="13"/>
  <c r="C155" i="33"/>
  <c r="C161" i="9"/>
  <c r="J247" i="49"/>
  <c r="E246" i="25"/>
  <c r="C247" i="13"/>
  <c r="C247" i="39"/>
  <c r="C247" i="12"/>
  <c r="C253" i="9"/>
  <c r="C247" i="33"/>
  <c r="C174" i="34"/>
  <c r="E168" i="33"/>
  <c r="D168" i="37" s="1"/>
  <c r="E103" i="25"/>
  <c r="J104" i="49"/>
  <c r="C104" i="13"/>
  <c r="C104" i="39"/>
  <c r="C104" i="12"/>
  <c r="C104" i="33"/>
  <c r="C110" i="9"/>
  <c r="E65" i="25"/>
  <c r="J66" i="49"/>
  <c r="C66" i="13"/>
  <c r="C66" i="12"/>
  <c r="C66" i="33"/>
  <c r="C66" i="39"/>
  <c r="C72" i="9"/>
  <c r="J16" i="49"/>
  <c r="E15" i="25"/>
  <c r="C16" i="13"/>
  <c r="C16" i="12"/>
  <c r="C16" i="39"/>
  <c r="C16" i="33"/>
  <c r="C22" i="9"/>
  <c r="C27" i="11"/>
  <c r="C33" i="34"/>
  <c r="E27" i="33"/>
  <c r="D27" i="37" s="1"/>
  <c r="E189" i="33"/>
  <c r="D189" i="37" s="1"/>
  <c r="C283" i="11"/>
  <c r="C289" i="34"/>
  <c r="E283" i="33"/>
  <c r="D283" i="37" s="1"/>
  <c r="E115" i="33"/>
  <c r="D115" i="37" s="1"/>
  <c r="C115" i="11"/>
  <c r="C121" i="34"/>
  <c r="J215" i="49"/>
  <c r="E214" i="25"/>
  <c r="C215" i="13"/>
  <c r="C215" i="39"/>
  <c r="C215" i="12"/>
  <c r="C221" i="9"/>
  <c r="C215" i="33"/>
  <c r="E99" i="25"/>
  <c r="J100" i="49"/>
  <c r="C100" i="13"/>
  <c r="C100" i="39"/>
  <c r="C100" i="12"/>
  <c r="C100" i="33"/>
  <c r="C106" i="9"/>
  <c r="E149" i="25"/>
  <c r="J150" i="49"/>
  <c r="C150" i="13"/>
  <c r="C150" i="39"/>
  <c r="C150" i="12"/>
  <c r="C150" i="33"/>
  <c r="C156" i="9"/>
  <c r="E95" i="25"/>
  <c r="J96" i="49"/>
  <c r="C96" i="13"/>
  <c r="C96" i="12"/>
  <c r="C96" i="39"/>
  <c r="C96" i="33"/>
  <c r="C102" i="9"/>
  <c r="E35" i="25"/>
  <c r="J36" i="49"/>
  <c r="C36" i="13"/>
  <c r="C36" i="39"/>
  <c r="C36" i="12"/>
  <c r="C36" i="33"/>
  <c r="C42" i="9"/>
  <c r="E177" i="33"/>
  <c r="D177" i="37" s="1"/>
  <c r="C177" i="11"/>
  <c r="C183" i="34"/>
  <c r="E147" i="25"/>
  <c r="J148" i="49"/>
  <c r="C148" i="39"/>
  <c r="C148" i="12"/>
  <c r="C148" i="13"/>
  <c r="C148" i="33"/>
  <c r="C154" i="9"/>
  <c r="E272" i="25"/>
  <c r="J273" i="49"/>
  <c r="C273" i="39"/>
  <c r="C273" i="12"/>
  <c r="C273" i="13"/>
  <c r="C279" i="9"/>
  <c r="C273" i="33"/>
  <c r="E244" i="25"/>
  <c r="J245" i="49"/>
  <c r="C245" i="39"/>
  <c r="C245" i="12"/>
  <c r="C245" i="13"/>
  <c r="C251" i="9"/>
  <c r="C245" i="33"/>
  <c r="E265" i="25"/>
  <c r="C266" i="13"/>
  <c r="J266" i="49"/>
  <c r="C266" i="12"/>
  <c r="C266" i="39"/>
  <c r="C272" i="9"/>
  <c r="C266" i="33"/>
  <c r="J61" i="49"/>
  <c r="E60" i="25"/>
  <c r="C61" i="13"/>
  <c r="C61" i="39"/>
  <c r="C61" i="12"/>
  <c r="C67" i="9"/>
  <c r="C61" i="33"/>
  <c r="E228" i="25"/>
  <c r="J229" i="49"/>
  <c r="C229" i="39"/>
  <c r="C229" i="13"/>
  <c r="C229" i="12"/>
  <c r="C235" i="9"/>
  <c r="C229" i="33"/>
  <c r="E236" i="25"/>
  <c r="J237" i="49"/>
  <c r="C237" i="13"/>
  <c r="C237" i="39"/>
  <c r="C243" i="9"/>
  <c r="C237" i="12"/>
  <c r="C237" i="33"/>
  <c r="E55" i="25"/>
  <c r="J56" i="49"/>
  <c r="C56" i="13"/>
  <c r="C56" i="12"/>
  <c r="C56" i="39"/>
  <c r="C56" i="33"/>
  <c r="C62" i="9"/>
  <c r="J31" i="49"/>
  <c r="E30" i="25"/>
  <c r="C31" i="13"/>
  <c r="C31" i="39"/>
  <c r="C31" i="12"/>
  <c r="C31" i="33"/>
  <c r="C37" i="9"/>
  <c r="E296" i="25"/>
  <c r="J297" i="49"/>
  <c r="C297" i="39"/>
  <c r="C297" i="13"/>
  <c r="C297" i="12"/>
  <c r="C297" i="33"/>
  <c r="C303" i="9"/>
  <c r="E288" i="25"/>
  <c r="J289" i="49"/>
  <c r="C289" i="39"/>
  <c r="C289" i="12"/>
  <c r="C289" i="13"/>
  <c r="C289" i="33"/>
  <c r="C295" i="9"/>
  <c r="E230" i="25"/>
  <c r="J231" i="49"/>
  <c r="C231" i="13"/>
  <c r="C231" i="39"/>
  <c r="C231" i="12"/>
  <c r="C237" i="9"/>
  <c r="C231" i="33"/>
  <c r="E153" i="25"/>
  <c r="J154" i="49"/>
  <c r="C154" i="13"/>
  <c r="C154" i="12"/>
  <c r="C154" i="39"/>
  <c r="C154" i="33"/>
  <c r="C160" i="9"/>
  <c r="J87" i="49"/>
  <c r="E86" i="25"/>
  <c r="C87" i="13"/>
  <c r="C87" i="39"/>
  <c r="C87" i="12"/>
  <c r="C93" i="9"/>
  <c r="C87" i="33"/>
  <c r="J103" i="49"/>
  <c r="E102" i="25"/>
  <c r="C103" i="13"/>
  <c r="C103" i="39"/>
  <c r="C103" i="12"/>
  <c r="C109" i="9"/>
  <c r="C103" i="33"/>
  <c r="E145" i="25"/>
  <c r="J146" i="49"/>
  <c r="C146" i="13"/>
  <c r="C146" i="12"/>
  <c r="C146" i="39"/>
  <c r="C146" i="33"/>
  <c r="C152" i="9"/>
  <c r="E82" i="25"/>
  <c r="C83" i="13"/>
  <c r="J83" i="49"/>
  <c r="C83" i="39"/>
  <c r="C83" i="12"/>
  <c r="C83" i="33"/>
  <c r="C89" i="9"/>
  <c r="E96" i="25"/>
  <c r="J97" i="49"/>
  <c r="C97" i="39"/>
  <c r="C97" i="12"/>
  <c r="C97" i="13"/>
  <c r="C97" i="33"/>
  <c r="C103" i="9"/>
  <c r="E37" i="25"/>
  <c r="J38" i="49"/>
  <c r="C38" i="39"/>
  <c r="C38" i="12"/>
  <c r="C38" i="13"/>
  <c r="C38" i="33"/>
  <c r="C44" i="9"/>
  <c r="C185" i="11"/>
  <c r="C191" i="34"/>
  <c r="E185" i="33"/>
  <c r="D185" i="37" s="1"/>
  <c r="E110" i="33"/>
  <c r="D110" i="37" s="1"/>
  <c r="C110" i="11"/>
  <c r="C116" i="34"/>
  <c r="E150" i="25"/>
  <c r="J151" i="49"/>
  <c r="C151" i="39"/>
  <c r="C151" i="13"/>
  <c r="C151" i="12"/>
  <c r="C151" i="33"/>
  <c r="C157" i="9"/>
  <c r="E258" i="25"/>
  <c r="J259" i="49"/>
  <c r="C259" i="39"/>
  <c r="C259" i="12"/>
  <c r="C259" i="13"/>
  <c r="C259" i="33"/>
  <c r="C265" i="9"/>
  <c r="E278" i="25"/>
  <c r="J279" i="49"/>
  <c r="C279" i="13"/>
  <c r="C279" i="39"/>
  <c r="C279" i="12"/>
  <c r="C279" i="33"/>
  <c r="C285" i="9"/>
  <c r="E251" i="25"/>
  <c r="J252" i="49"/>
  <c r="C252" i="13"/>
  <c r="C252" i="39"/>
  <c r="C252" i="12"/>
  <c r="C252" i="33"/>
  <c r="C258" i="9"/>
  <c r="J79" i="49"/>
  <c r="E78" i="25"/>
  <c r="C79" i="13"/>
  <c r="C79" i="39"/>
  <c r="C79" i="12"/>
  <c r="C79" i="33"/>
  <c r="C85" i="9"/>
  <c r="J93" i="49"/>
  <c r="E92" i="25"/>
  <c r="C93" i="13"/>
  <c r="C93" i="39"/>
  <c r="C93" i="12"/>
  <c r="C93" i="33"/>
  <c r="C99" i="9"/>
  <c r="E29" i="25"/>
  <c r="J30" i="49"/>
  <c r="C30" i="13"/>
  <c r="C30" i="39"/>
  <c r="C30" i="12"/>
  <c r="C30" i="33"/>
  <c r="C36" i="9"/>
  <c r="E129" i="25"/>
  <c r="J130" i="49"/>
  <c r="C130" i="13"/>
  <c r="C130" i="12"/>
  <c r="C130" i="33"/>
  <c r="C130" i="39"/>
  <c r="C136" i="9"/>
  <c r="C112" i="11"/>
  <c r="C118" i="34"/>
  <c r="E112" i="33"/>
  <c r="D112" i="37" s="1"/>
  <c r="E74" i="25"/>
  <c r="J75" i="49"/>
  <c r="C75" i="13"/>
  <c r="C75" i="39"/>
  <c r="C75" i="12"/>
  <c r="C75" i="33"/>
  <c r="C81" i="9"/>
  <c r="E88" i="25"/>
  <c r="J89" i="49"/>
  <c r="C89" i="13"/>
  <c r="C89" i="39"/>
  <c r="C89" i="12"/>
  <c r="C95" i="9"/>
  <c r="C89" i="33"/>
  <c r="E280" i="25"/>
  <c r="C281" i="39"/>
  <c r="C281" i="13"/>
  <c r="C281" i="12"/>
  <c r="J281" i="49"/>
  <c r="C281" i="33"/>
  <c r="C287" i="9"/>
  <c r="C161" i="11"/>
  <c r="C167" i="34"/>
  <c r="E161" i="33"/>
  <c r="D161" i="37" s="1"/>
  <c r="E177" i="25"/>
  <c r="J178" i="49"/>
  <c r="C178" i="13"/>
  <c r="C178" i="12"/>
  <c r="C178" i="39"/>
  <c r="C178" i="33"/>
  <c r="C184" i="9"/>
  <c r="E274" i="25"/>
  <c r="J275" i="49"/>
  <c r="C275" i="39"/>
  <c r="C275" i="12"/>
  <c r="C275" i="13"/>
  <c r="C275" i="33"/>
  <c r="C281" i="9"/>
  <c r="E205" i="25"/>
  <c r="J206" i="49"/>
  <c r="C206" i="39"/>
  <c r="C206" i="12"/>
  <c r="C206" i="13"/>
  <c r="C206" i="33"/>
  <c r="C212" i="9"/>
  <c r="J77" i="49"/>
  <c r="E76" i="25"/>
  <c r="C77" i="13"/>
  <c r="C77" i="39"/>
  <c r="C77" i="12"/>
  <c r="C77" i="33"/>
  <c r="C83" i="9"/>
  <c r="E51" i="25"/>
  <c r="C52" i="13"/>
  <c r="C52" i="39"/>
  <c r="C52" i="12"/>
  <c r="C52" i="33"/>
  <c r="J52" i="49"/>
  <c r="C58" i="9"/>
  <c r="E110" i="25"/>
  <c r="J111" i="49"/>
  <c r="C111" i="13"/>
  <c r="C111" i="39"/>
  <c r="C111" i="12"/>
  <c r="C111" i="33"/>
  <c r="C117" i="9"/>
  <c r="E83" i="25"/>
  <c r="J84" i="49"/>
  <c r="C84" i="13"/>
  <c r="C84" i="39"/>
  <c r="C84" i="12"/>
  <c r="C84" i="33"/>
  <c r="C90" i="9"/>
  <c r="E234" i="25"/>
  <c r="J235" i="49"/>
  <c r="C235" i="39"/>
  <c r="C235" i="12"/>
  <c r="C235" i="13"/>
  <c r="C235" i="33"/>
  <c r="C241" i="9"/>
  <c r="E161" i="25"/>
  <c r="J162" i="49"/>
  <c r="C162" i="13"/>
  <c r="C162" i="12"/>
  <c r="C162" i="39"/>
  <c r="C162" i="33"/>
  <c r="C168" i="9"/>
  <c r="J37" i="49"/>
  <c r="E36" i="25"/>
  <c r="C37" i="13"/>
  <c r="C37" i="39"/>
  <c r="C37" i="12"/>
  <c r="C37" i="33"/>
  <c r="C43" i="9"/>
  <c r="C207" i="11"/>
  <c r="C213" i="34"/>
  <c r="E207" i="33"/>
  <c r="D207" i="37" s="1"/>
  <c r="E200" i="33"/>
  <c r="D200" i="37" s="1"/>
  <c r="C200" i="11"/>
  <c r="C206" i="34"/>
  <c r="C136" i="11"/>
  <c r="C142" i="34"/>
  <c r="E136" i="33"/>
  <c r="D136" i="37" s="1"/>
  <c r="C35" i="11"/>
  <c r="C41" i="34"/>
  <c r="E35" i="33"/>
  <c r="D35" i="37" s="1"/>
  <c r="E183" i="33"/>
  <c r="D183" i="37" s="1"/>
  <c r="C183" i="11"/>
  <c r="C189" i="34"/>
  <c r="C291" i="11"/>
  <c r="C297" i="34"/>
  <c r="E291" i="33"/>
  <c r="D291" i="37" s="1"/>
  <c r="E107" i="25"/>
  <c r="J108" i="49"/>
  <c r="C108" i="13"/>
  <c r="C108" i="39"/>
  <c r="C108" i="12"/>
  <c r="C108" i="33"/>
  <c r="C114" i="9"/>
  <c r="E279" i="25"/>
  <c r="J280" i="49"/>
  <c r="C280" i="13"/>
  <c r="C280" i="39"/>
  <c r="C280" i="12"/>
  <c r="C286" i="9"/>
  <c r="C280" i="33"/>
  <c r="E259" i="25"/>
  <c r="J260" i="49"/>
  <c r="C260" i="39"/>
  <c r="C260" i="12"/>
  <c r="C260" i="13"/>
  <c r="C266" i="9"/>
  <c r="C260" i="33"/>
  <c r="C271" i="19"/>
  <c r="L271" i="19" s="1"/>
  <c r="C125" i="11"/>
  <c r="C131" i="34"/>
  <c r="E125" i="33"/>
  <c r="D125" i="37" s="1"/>
  <c r="E46" i="25"/>
  <c r="J47" i="49"/>
  <c r="C47" i="13"/>
  <c r="C47" i="39"/>
  <c r="C47" i="12"/>
  <c r="C47" i="33"/>
  <c r="C53" i="9"/>
  <c r="C176" i="11"/>
  <c r="C182" i="34"/>
  <c r="E176" i="33"/>
  <c r="D176" i="37" s="1"/>
  <c r="C13" i="11"/>
  <c r="C19" i="34"/>
  <c r="E13" i="33"/>
  <c r="D13" i="37" s="1"/>
  <c r="E28" i="25"/>
  <c r="J29" i="49"/>
  <c r="C29" i="13"/>
  <c r="C29" i="39"/>
  <c r="C29" i="12"/>
  <c r="C29" i="33"/>
  <c r="C35" i="9"/>
  <c r="E16" i="25"/>
  <c r="J17" i="49"/>
  <c r="C17" i="13"/>
  <c r="C17" i="39"/>
  <c r="C17" i="12"/>
  <c r="C17" i="33"/>
  <c r="C23" i="9"/>
  <c r="E276" i="33"/>
  <c r="D276" i="37" s="1"/>
  <c r="C276" i="11"/>
  <c r="C282" i="34"/>
  <c r="C15" i="11"/>
  <c r="C21" i="34"/>
  <c r="E15" i="33"/>
  <c r="D15" i="37" s="1"/>
  <c r="E123" i="25"/>
  <c r="J124" i="49"/>
  <c r="C124" i="13"/>
  <c r="C124" i="39"/>
  <c r="C124" i="12"/>
  <c r="C124" i="33"/>
  <c r="C130" i="9"/>
  <c r="E155" i="25"/>
  <c r="J156" i="49"/>
  <c r="C156" i="13"/>
  <c r="C156" i="39"/>
  <c r="C156" i="12"/>
  <c r="C156" i="33"/>
  <c r="C162" i="9"/>
  <c r="E216" i="25"/>
  <c r="J217" i="49"/>
  <c r="C217" i="39"/>
  <c r="C217" i="13"/>
  <c r="C217" i="12"/>
  <c r="C223" i="9"/>
  <c r="C217" i="33"/>
  <c r="J71" i="49"/>
  <c r="E70" i="25"/>
  <c r="C71" i="13"/>
  <c r="C71" i="39"/>
  <c r="C71" i="12"/>
  <c r="C71" i="33"/>
  <c r="C77" i="9"/>
  <c r="E84" i="25"/>
  <c r="C85" i="13"/>
  <c r="J85" i="49"/>
  <c r="C85" i="39"/>
  <c r="C85" i="12"/>
  <c r="C85" i="33"/>
  <c r="C91" i="9"/>
  <c r="E13" i="25"/>
  <c r="J14" i="49"/>
  <c r="C14" i="13"/>
  <c r="C14" i="39"/>
  <c r="C14" i="12"/>
  <c r="C14" i="33"/>
  <c r="C20" i="9"/>
  <c r="C197" i="11"/>
  <c r="C203" i="34"/>
  <c r="E197" i="33"/>
  <c r="D197" i="37" s="1"/>
  <c r="C59" i="11"/>
  <c r="C65" i="34"/>
  <c r="E59" i="33"/>
  <c r="D59" i="37" s="1"/>
  <c r="E287" i="25"/>
  <c r="C288" i="13"/>
  <c r="C288" i="39"/>
  <c r="C288" i="12"/>
  <c r="J288" i="49"/>
  <c r="C294" i="9"/>
  <c r="C288" i="33"/>
  <c r="E248" i="25"/>
  <c r="J249" i="49"/>
  <c r="C249" i="39"/>
  <c r="C249" i="13"/>
  <c r="C249" i="12"/>
  <c r="C249" i="33"/>
  <c r="C255" i="9"/>
  <c r="E93" i="25"/>
  <c r="J94" i="49"/>
  <c r="C94" i="13"/>
  <c r="C94" i="39"/>
  <c r="C94" i="12"/>
  <c r="C94" i="33"/>
  <c r="C100" i="9"/>
  <c r="E57" i="25"/>
  <c r="C58" i="13"/>
  <c r="J58" i="49"/>
  <c r="C58" i="12"/>
  <c r="C58" i="39"/>
  <c r="C58" i="33"/>
  <c r="C64" i="9"/>
  <c r="E195" i="25"/>
  <c r="J196" i="49"/>
  <c r="C196" i="39"/>
  <c r="C196" i="12"/>
  <c r="C196" i="13"/>
  <c r="C196" i="33"/>
  <c r="C202" i="9"/>
  <c r="C135" i="11"/>
  <c r="C141" i="34"/>
  <c r="E135" i="33"/>
  <c r="D135" i="37" s="1"/>
  <c r="E294" i="25"/>
  <c r="C295" i="13"/>
  <c r="J295" i="49"/>
  <c r="C295" i="39"/>
  <c r="C295" i="12"/>
  <c r="C295" i="33"/>
  <c r="C301" i="9"/>
  <c r="E215" i="25"/>
  <c r="J216" i="49"/>
  <c r="C216" i="13"/>
  <c r="C216" i="39"/>
  <c r="C216" i="12"/>
  <c r="C216" i="33"/>
  <c r="C222" i="9"/>
  <c r="E221" i="25"/>
  <c r="J222" i="49"/>
  <c r="C222" i="39"/>
  <c r="C222" i="12"/>
  <c r="C222" i="13"/>
  <c r="C222" i="33"/>
  <c r="C228" i="9"/>
  <c r="E223" i="25"/>
  <c r="J224" i="49"/>
  <c r="C224" i="13"/>
  <c r="C224" i="39"/>
  <c r="C224" i="12"/>
  <c r="C230" i="9"/>
  <c r="C224" i="33"/>
  <c r="J55" i="49"/>
  <c r="E54" i="25"/>
  <c r="C55" i="13"/>
  <c r="C55" i="39"/>
  <c r="C55" i="12"/>
  <c r="C55" i="33"/>
  <c r="C61" i="9"/>
  <c r="J263" i="49"/>
  <c r="E262" i="25"/>
  <c r="C263" i="13"/>
  <c r="C263" i="39"/>
  <c r="C263" i="12"/>
  <c r="C263" i="33"/>
  <c r="C269" i="9"/>
  <c r="E197" i="25"/>
  <c r="J198" i="49"/>
  <c r="C198" i="39"/>
  <c r="C198" i="13"/>
  <c r="C198" i="12"/>
  <c r="C198" i="33"/>
  <c r="C204" i="9"/>
  <c r="E45" i="25"/>
  <c r="J46" i="49"/>
  <c r="C46" i="13"/>
  <c r="C46" i="39"/>
  <c r="C46" i="12"/>
  <c r="C46" i="33"/>
  <c r="C52" i="9"/>
  <c r="E6" i="25"/>
  <c r="J7" i="49"/>
  <c r="C7" i="13"/>
  <c r="C7" i="39"/>
  <c r="C7" i="12"/>
  <c r="C7" i="33"/>
  <c r="C13" i="9"/>
  <c r="E292" i="33"/>
  <c r="D292" i="37" s="1"/>
  <c r="C292" i="11"/>
  <c r="C298" i="34"/>
  <c r="E139" i="25"/>
  <c r="J140" i="49"/>
  <c r="C140" i="39"/>
  <c r="C140" i="13"/>
  <c r="C140" i="12"/>
  <c r="C140" i="33"/>
  <c r="C146" i="9"/>
  <c r="E213" i="25"/>
  <c r="J214" i="49"/>
  <c r="C214" i="39"/>
  <c r="C214" i="13"/>
  <c r="C214" i="12"/>
  <c r="C214" i="33"/>
  <c r="C220" i="9"/>
  <c r="E256" i="25"/>
  <c r="J257" i="49"/>
  <c r="C257" i="39"/>
  <c r="C257" i="12"/>
  <c r="C257" i="13"/>
  <c r="C257" i="33"/>
  <c r="C263" i="9"/>
  <c r="E253" i="25"/>
  <c r="J254" i="49"/>
  <c r="C254" i="39"/>
  <c r="C254" i="12"/>
  <c r="C254" i="13"/>
  <c r="C254" i="33"/>
  <c r="C260" i="9"/>
  <c r="E189" i="25"/>
  <c r="J190" i="49"/>
  <c r="C190" i="39"/>
  <c r="C190" i="12"/>
  <c r="C190" i="13"/>
  <c r="C190" i="33"/>
  <c r="C196" i="9"/>
  <c r="E68" i="25"/>
  <c r="J69" i="49"/>
  <c r="C69" i="13"/>
  <c r="C69" i="39"/>
  <c r="C69" i="12"/>
  <c r="C69" i="33"/>
  <c r="C75" i="9"/>
  <c r="E51" i="33"/>
  <c r="D51" i="37" s="1"/>
  <c r="C51" i="11"/>
  <c r="C57" i="34"/>
  <c r="C131" i="11"/>
  <c r="C137" i="34"/>
  <c r="E131" i="33"/>
  <c r="D131" i="37" s="1"/>
  <c r="E181" i="25"/>
  <c r="J182" i="49"/>
  <c r="C182" i="39"/>
  <c r="C182" i="13"/>
  <c r="C182" i="12"/>
  <c r="C182" i="33"/>
  <c r="C188" i="9"/>
  <c r="E64" i="25"/>
  <c r="J65" i="49"/>
  <c r="C65" i="39"/>
  <c r="C65" i="12"/>
  <c r="C65" i="13"/>
  <c r="C65" i="33"/>
  <c r="C71" i="9"/>
  <c r="E27" i="25"/>
  <c r="J28" i="49"/>
  <c r="C28" i="13"/>
  <c r="C28" i="39"/>
  <c r="C28" i="12"/>
  <c r="C28" i="33"/>
  <c r="C34" i="9"/>
  <c r="C191" i="11"/>
  <c r="C197" i="34"/>
  <c r="E191" i="33"/>
  <c r="D191" i="37" s="1"/>
  <c r="E131" i="25"/>
  <c r="J132" i="49"/>
  <c r="C132" i="13"/>
  <c r="C132" i="39"/>
  <c r="C132" i="12"/>
  <c r="C132" i="33"/>
  <c r="C138" i="9"/>
  <c r="E222" i="25"/>
  <c r="J223" i="49"/>
  <c r="C223" i="13"/>
  <c r="C223" i="39"/>
  <c r="C223" i="12"/>
  <c r="C229" i="9"/>
  <c r="C223" i="33"/>
  <c r="E173" i="25"/>
  <c r="J174" i="49"/>
  <c r="C174" i="39"/>
  <c r="C174" i="13"/>
  <c r="C174" i="12"/>
  <c r="C174" i="33"/>
  <c r="C180" i="9"/>
  <c r="E33" i="25"/>
  <c r="J34" i="49"/>
  <c r="C34" i="12"/>
  <c r="C34" i="13"/>
  <c r="C34" i="33"/>
  <c r="C34" i="39"/>
  <c r="C40" i="9"/>
  <c r="E19" i="25"/>
  <c r="J20" i="49"/>
  <c r="C20" i="13"/>
  <c r="C20" i="39"/>
  <c r="C20" i="12"/>
  <c r="C20" i="33"/>
  <c r="C26" i="9"/>
  <c r="E165" i="25"/>
  <c r="J166" i="49"/>
  <c r="C166" i="39"/>
  <c r="C166" i="13"/>
  <c r="C166" i="12"/>
  <c r="C166" i="33"/>
  <c r="C172" i="9"/>
  <c r="J24" i="49"/>
  <c r="E23" i="25"/>
  <c r="C24" i="13"/>
  <c r="C24" i="12"/>
  <c r="C24" i="39"/>
  <c r="C24" i="33"/>
  <c r="C30" i="9"/>
  <c r="E33" i="33"/>
  <c r="D33" i="37" s="1"/>
  <c r="C33" i="11"/>
  <c r="C39" i="34"/>
  <c r="E255" i="25"/>
  <c r="C256" i="13"/>
  <c r="C256" i="39"/>
  <c r="J256" i="49"/>
  <c r="C256" i="12"/>
  <c r="C262" i="9"/>
  <c r="C256" i="33"/>
  <c r="E231" i="25"/>
  <c r="J232" i="49"/>
  <c r="C232" i="39"/>
  <c r="C232" i="12"/>
  <c r="C232" i="13"/>
  <c r="C238" i="9"/>
  <c r="C232" i="33"/>
  <c r="C296" i="11"/>
  <c r="C302" i="34"/>
  <c r="E296" i="33"/>
  <c r="D296" i="37" s="1"/>
  <c r="E242" i="25"/>
  <c r="J243" i="49"/>
  <c r="C243" i="39"/>
  <c r="C243" i="12"/>
  <c r="C243" i="13"/>
  <c r="C243" i="33"/>
  <c r="C249" i="9"/>
  <c r="E113" i="25"/>
  <c r="J114" i="49"/>
  <c r="C114" i="13"/>
  <c r="C114" i="12"/>
  <c r="C114" i="39"/>
  <c r="C120" i="9"/>
  <c r="C114" i="33"/>
  <c r="E149" i="33"/>
  <c r="D149" i="37" s="1"/>
  <c r="C149" i="11"/>
  <c r="C155" i="34"/>
  <c r="E187" i="25"/>
  <c r="J188" i="49"/>
  <c r="C188" i="13"/>
  <c r="C188" i="39"/>
  <c r="C188" i="12"/>
  <c r="C188" i="33"/>
  <c r="C194" i="9"/>
  <c r="E8" i="25"/>
  <c r="J9" i="49"/>
  <c r="C9" i="13"/>
  <c r="C9" i="39"/>
  <c r="C9" i="12"/>
  <c r="C15" i="9"/>
  <c r="C9" i="33"/>
  <c r="E141" i="25"/>
  <c r="J142" i="49"/>
  <c r="C142" i="39"/>
  <c r="C142" i="12"/>
  <c r="C142" i="13"/>
  <c r="C142" i="33"/>
  <c r="C148" i="9"/>
  <c r="E91" i="25"/>
  <c r="C92" i="13"/>
  <c r="J92" i="49"/>
  <c r="C92" i="39"/>
  <c r="C92" i="12"/>
  <c r="C92" i="33"/>
  <c r="C98" i="9"/>
  <c r="E207" i="25"/>
  <c r="J208" i="49"/>
  <c r="C208" i="13"/>
  <c r="C208" i="12"/>
  <c r="C208" i="39"/>
  <c r="C208" i="33"/>
  <c r="C214" i="9"/>
  <c r="E87" i="25"/>
  <c r="J88" i="49"/>
  <c r="C88" i="12"/>
  <c r="C88" i="13"/>
  <c r="C88" i="39"/>
  <c r="C94" i="9"/>
  <c r="C88" i="33"/>
  <c r="J22" i="49"/>
  <c r="E21" i="25"/>
  <c r="C22" i="39"/>
  <c r="C22" i="12"/>
  <c r="C22" i="13"/>
  <c r="C22" i="33"/>
  <c r="C28" i="9"/>
  <c r="C25" i="11"/>
  <c r="E261" i="25"/>
  <c r="C262" i="39"/>
  <c r="C262" i="13"/>
  <c r="C262" i="12"/>
  <c r="J262" i="49"/>
  <c r="C262" i="33"/>
  <c r="C268" i="9"/>
  <c r="C144" i="11"/>
  <c r="C150" i="34"/>
  <c r="E144" i="33"/>
  <c r="D144" i="37" s="1"/>
  <c r="E141" i="33"/>
  <c r="D141" i="37" s="1"/>
  <c r="C141" i="11"/>
  <c r="C147" i="34"/>
  <c r="E127" i="33"/>
  <c r="D127" i="37" s="1"/>
  <c r="C127" i="11"/>
  <c r="C133" i="34"/>
  <c r="E163" i="33"/>
  <c r="D163" i="37" s="1"/>
  <c r="C163" i="11"/>
  <c r="C169" i="34"/>
  <c r="C129" i="11"/>
  <c r="C135" i="34"/>
  <c r="E129" i="33"/>
  <c r="D129" i="37" s="1"/>
  <c r="E276" i="25"/>
  <c r="J277" i="49"/>
  <c r="C277" i="39"/>
  <c r="C277" i="12"/>
  <c r="C277" i="13"/>
  <c r="C277" i="33"/>
  <c r="C283" i="9"/>
  <c r="E224" i="25"/>
  <c r="J225" i="49"/>
  <c r="C225" i="39"/>
  <c r="C225" i="12"/>
  <c r="C225" i="13"/>
  <c r="C225" i="33"/>
  <c r="C231" i="9"/>
  <c r="E226" i="25"/>
  <c r="J227" i="49"/>
  <c r="C227" i="39"/>
  <c r="C227" i="12"/>
  <c r="C227" i="13"/>
  <c r="C227" i="33"/>
  <c r="C233" i="9"/>
  <c r="J53" i="49"/>
  <c r="E52" i="25"/>
  <c r="C53" i="13"/>
  <c r="C53" i="39"/>
  <c r="C53" i="12"/>
  <c r="C53" i="33"/>
  <c r="C59" i="9"/>
  <c r="E254" i="25"/>
  <c r="J255" i="49"/>
  <c r="C255" i="13"/>
  <c r="C255" i="39"/>
  <c r="C255" i="12"/>
  <c r="C261" i="9"/>
  <c r="C255" i="33"/>
  <c r="C165" i="11"/>
  <c r="C171" i="34"/>
  <c r="E165" i="33"/>
  <c r="D165" i="37" s="1"/>
  <c r="E299" i="25"/>
  <c r="J300" i="49"/>
  <c r="C300" i="13"/>
  <c r="C300" i="39"/>
  <c r="C300" i="12"/>
  <c r="C300" i="33"/>
  <c r="C306" i="9"/>
  <c r="E239" i="25"/>
  <c r="J240" i="49"/>
  <c r="C240" i="13"/>
  <c r="C240" i="39"/>
  <c r="C240" i="12"/>
  <c r="C240" i="33"/>
  <c r="C246" i="9"/>
  <c r="E203" i="25"/>
  <c r="J204" i="49"/>
  <c r="C204" i="13"/>
  <c r="C204" i="39"/>
  <c r="C204" i="12"/>
  <c r="C204" i="33"/>
  <c r="C210" i="9"/>
  <c r="J23" i="49"/>
  <c r="E22" i="25"/>
  <c r="C23" i="13"/>
  <c r="C23" i="39"/>
  <c r="C29" i="9"/>
  <c r="C23" i="33"/>
  <c r="C23" i="12"/>
  <c r="E284" i="25"/>
  <c r="J285" i="49"/>
  <c r="C285" i="13"/>
  <c r="C285" i="39"/>
  <c r="C285" i="12"/>
  <c r="C291" i="9"/>
  <c r="C285" i="33"/>
  <c r="E271" i="25"/>
  <c r="J272" i="49"/>
  <c r="C272" i="13"/>
  <c r="C272" i="12"/>
  <c r="C272" i="39"/>
  <c r="C278" i="9"/>
  <c r="C272" i="33"/>
  <c r="C234" i="11"/>
  <c r="C240" i="34"/>
  <c r="E234" i="33"/>
  <c r="D234" i="37" s="1"/>
  <c r="E157" i="25"/>
  <c r="J158" i="49"/>
  <c r="C158" i="39"/>
  <c r="C158" i="13"/>
  <c r="C158" i="12"/>
  <c r="C158" i="33"/>
  <c r="C164" i="9"/>
  <c r="E100" i="25"/>
  <c r="C101" i="13"/>
  <c r="J101" i="49"/>
  <c r="C101" i="39"/>
  <c r="C101" i="12"/>
  <c r="C101" i="33"/>
  <c r="C107" i="9"/>
  <c r="E179" i="25"/>
  <c r="J180" i="49"/>
  <c r="C180" i="13"/>
  <c r="C180" i="39"/>
  <c r="C180" i="12"/>
  <c r="C180" i="33"/>
  <c r="C186" i="9"/>
  <c r="C230" i="11"/>
  <c r="C236" i="34"/>
  <c r="E230" i="33"/>
  <c r="D230" i="37" s="1"/>
  <c r="E98" i="25"/>
  <c r="J99" i="49"/>
  <c r="C99" i="13"/>
  <c r="C99" i="39"/>
  <c r="C99" i="12"/>
  <c r="C99" i="33"/>
  <c r="C105" i="9"/>
  <c r="E41" i="25"/>
  <c r="J42" i="49"/>
  <c r="C42" i="13"/>
  <c r="C42" i="12"/>
  <c r="C42" i="39"/>
  <c r="C42" i="33"/>
  <c r="C48" i="9"/>
  <c r="J8" i="49"/>
  <c r="E7" i="25"/>
  <c r="C8" i="13"/>
  <c r="C8" i="12"/>
  <c r="C8" i="39"/>
  <c r="C8" i="33"/>
  <c r="C14" i="9"/>
  <c r="E211" i="33"/>
  <c r="D211" i="37" s="1"/>
  <c r="C211" i="11"/>
  <c r="C217" i="34"/>
  <c r="J287" i="49"/>
  <c r="C287" i="13"/>
  <c r="C287" i="39"/>
  <c r="E286" i="25"/>
  <c r="C287" i="12"/>
  <c r="C293" i="9"/>
  <c r="C287" i="33"/>
  <c r="E304" i="25"/>
  <c r="J305" i="49"/>
  <c r="C305" i="39"/>
  <c r="C305" i="12"/>
  <c r="C305" i="13"/>
  <c r="C305" i="33"/>
  <c r="C311" i="9"/>
  <c r="J239" i="49"/>
  <c r="E238" i="25"/>
  <c r="C239" i="13"/>
  <c r="C239" i="39"/>
  <c r="C239" i="12"/>
  <c r="C245" i="9"/>
  <c r="C239" i="33"/>
  <c r="E169" i="25"/>
  <c r="J170" i="49"/>
  <c r="C170" i="13"/>
  <c r="C170" i="12"/>
  <c r="C170" i="39"/>
  <c r="C170" i="33"/>
  <c r="C176" i="9"/>
  <c r="E41" i="33"/>
  <c r="D41" i="37" s="1"/>
  <c r="C41" i="11"/>
  <c r="C47" i="34"/>
  <c r="E266" i="25"/>
  <c r="J267" i="49"/>
  <c r="C267" i="39"/>
  <c r="C267" i="12"/>
  <c r="C267" i="13"/>
  <c r="C267" i="33"/>
  <c r="C273" i="9"/>
  <c r="E289" i="25"/>
  <c r="J290" i="49"/>
  <c r="C290" i="13"/>
  <c r="C290" i="12"/>
  <c r="C290" i="39"/>
  <c r="C296" i="9"/>
  <c r="C290" i="33"/>
  <c r="E85" i="25"/>
  <c r="J86" i="49"/>
  <c r="C86" i="13"/>
  <c r="C86" i="39"/>
  <c r="C86" i="12"/>
  <c r="C86" i="33"/>
  <c r="C92" i="9"/>
  <c r="E71" i="25"/>
  <c r="J72" i="49"/>
  <c r="C72" i="13"/>
  <c r="C72" i="12"/>
  <c r="C72" i="39"/>
  <c r="C78" i="9"/>
  <c r="C72" i="33"/>
  <c r="E292" i="25"/>
  <c r="J293" i="49"/>
  <c r="C293" i="39"/>
  <c r="C293" i="13"/>
  <c r="C293" i="12"/>
  <c r="C293" i="33"/>
  <c r="C299" i="9"/>
  <c r="E303" i="25"/>
  <c r="J304" i="49"/>
  <c r="C304" i="13"/>
  <c r="C304" i="39"/>
  <c r="C304" i="12"/>
  <c r="C310" i="9"/>
  <c r="C304" i="33"/>
  <c r="E232" i="25"/>
  <c r="J233" i="49"/>
  <c r="C233" i="39"/>
  <c r="C233" i="13"/>
  <c r="C233" i="12"/>
  <c r="C233" i="33"/>
  <c r="C239" i="9"/>
  <c r="E247" i="25"/>
  <c r="J248" i="49"/>
  <c r="C248" i="12"/>
  <c r="C248" i="39"/>
  <c r="C248" i="13"/>
  <c r="C248" i="33"/>
  <c r="C254" i="9"/>
  <c r="E125" i="25"/>
  <c r="J126" i="49"/>
  <c r="C126" i="39"/>
  <c r="C126" i="12"/>
  <c r="C126" i="13"/>
  <c r="C126" i="33"/>
  <c r="C132" i="9"/>
  <c r="E47" i="25"/>
  <c r="J48" i="49"/>
  <c r="C48" i="13"/>
  <c r="C48" i="12"/>
  <c r="C48" i="39"/>
  <c r="C48" i="33"/>
  <c r="C54" i="9"/>
  <c r="E243" i="25"/>
  <c r="J244" i="49"/>
  <c r="C244" i="39"/>
  <c r="C244" i="12"/>
  <c r="C244" i="13"/>
  <c r="C244" i="33"/>
  <c r="C250" i="9"/>
  <c r="E117" i="25"/>
  <c r="J118" i="49"/>
  <c r="C118" i="13"/>
  <c r="C118" i="39"/>
  <c r="C118" i="12"/>
  <c r="C118" i="33"/>
  <c r="C124" i="9"/>
  <c r="E79" i="25"/>
  <c r="J80" i="49"/>
  <c r="C80" i="13"/>
  <c r="C80" i="12"/>
  <c r="C80" i="39"/>
  <c r="C80" i="33"/>
  <c r="C86" i="9"/>
  <c r="J109" i="49"/>
  <c r="E108" i="25"/>
  <c r="C109" i="13"/>
  <c r="C109" i="39"/>
  <c r="C109" i="12"/>
  <c r="C109" i="33"/>
  <c r="C115" i="9"/>
  <c r="E267" i="9"/>
  <c r="E146" i="9"/>
  <c r="E117" i="9"/>
  <c r="E14" i="48" s="1"/>
  <c r="F15" i="48" s="1"/>
  <c r="E31" i="9"/>
  <c r="E72" i="9"/>
  <c r="E126" i="9"/>
  <c r="E277" i="9"/>
  <c r="A7" i="54"/>
  <c r="B7" i="54"/>
  <c r="A8" i="54"/>
  <c r="B8" i="54"/>
  <c r="A9" i="54"/>
  <c r="B9" i="54"/>
  <c r="A10" i="54"/>
  <c r="B10" i="54"/>
  <c r="A11" i="54"/>
  <c r="B11" i="54"/>
  <c r="A12" i="54"/>
  <c r="B12" i="54"/>
  <c r="A13" i="54"/>
  <c r="B13" i="54"/>
  <c r="A14" i="54"/>
  <c r="B14" i="54"/>
  <c r="A15" i="54"/>
  <c r="B15" i="54"/>
  <c r="A16" i="54"/>
  <c r="B16" i="54"/>
  <c r="A17" i="54"/>
  <c r="B17" i="54"/>
  <c r="A18" i="54"/>
  <c r="B18" i="54"/>
  <c r="A19" i="54"/>
  <c r="B19" i="54"/>
  <c r="A20" i="54"/>
  <c r="B20" i="54"/>
  <c r="A21" i="54"/>
  <c r="B21" i="54"/>
  <c r="A22" i="54"/>
  <c r="B22" i="54"/>
  <c r="A23" i="54"/>
  <c r="B23" i="54"/>
  <c r="A24" i="54"/>
  <c r="B24" i="54"/>
  <c r="A25" i="54"/>
  <c r="B25" i="54"/>
  <c r="A26" i="54"/>
  <c r="B26" i="54"/>
  <c r="A27" i="54"/>
  <c r="B27" i="54"/>
  <c r="A28" i="54"/>
  <c r="B28" i="54"/>
  <c r="A29" i="54"/>
  <c r="B29" i="54"/>
  <c r="A30" i="54"/>
  <c r="B30" i="54"/>
  <c r="A31" i="54"/>
  <c r="B31" i="54"/>
  <c r="A32" i="54"/>
  <c r="B32" i="54"/>
  <c r="A33" i="54"/>
  <c r="B33" i="54"/>
  <c r="A34" i="54"/>
  <c r="B34" i="54"/>
  <c r="A35" i="54"/>
  <c r="B35" i="54"/>
  <c r="A36" i="54"/>
  <c r="B36" i="54"/>
  <c r="A37" i="54"/>
  <c r="B37" i="54"/>
  <c r="A38" i="54"/>
  <c r="B38" i="54"/>
  <c r="A39" i="54"/>
  <c r="B39" i="54"/>
  <c r="A40" i="54"/>
  <c r="B40" i="54"/>
  <c r="A41" i="54"/>
  <c r="B41" i="54"/>
  <c r="A42" i="54"/>
  <c r="B42" i="54"/>
  <c r="A43" i="54"/>
  <c r="B43" i="54"/>
  <c r="A44" i="54"/>
  <c r="B44" i="54"/>
  <c r="A45" i="54"/>
  <c r="B45" i="54"/>
  <c r="A46" i="54"/>
  <c r="B46" i="54"/>
  <c r="A47" i="54"/>
  <c r="B47" i="54"/>
  <c r="A48" i="54"/>
  <c r="B48" i="54"/>
  <c r="A49" i="54"/>
  <c r="B49" i="54"/>
  <c r="A50" i="54"/>
  <c r="B50" i="54"/>
  <c r="A51" i="54"/>
  <c r="B51" i="54"/>
  <c r="A52" i="54"/>
  <c r="B52" i="54"/>
  <c r="A53" i="54"/>
  <c r="B53" i="54"/>
  <c r="A54" i="54"/>
  <c r="B54" i="54"/>
  <c r="A55" i="54"/>
  <c r="B55" i="54"/>
  <c r="A56" i="54"/>
  <c r="B56" i="54"/>
  <c r="A57" i="54"/>
  <c r="B57" i="54"/>
  <c r="A58" i="54"/>
  <c r="B58" i="54"/>
  <c r="A59" i="54"/>
  <c r="B59" i="54"/>
  <c r="A60" i="54"/>
  <c r="B60" i="54"/>
  <c r="A61" i="54"/>
  <c r="B61" i="54"/>
  <c r="A62" i="54"/>
  <c r="B62" i="54"/>
  <c r="A63" i="54"/>
  <c r="B63" i="54"/>
  <c r="A64" i="54"/>
  <c r="B64" i="54"/>
  <c r="A65" i="54"/>
  <c r="B65" i="54"/>
  <c r="A66" i="54"/>
  <c r="B66" i="54"/>
  <c r="A67" i="54"/>
  <c r="B67" i="54"/>
  <c r="A68" i="54"/>
  <c r="B68" i="54"/>
  <c r="A69" i="54"/>
  <c r="B69" i="54"/>
  <c r="A70" i="54"/>
  <c r="B70" i="54"/>
  <c r="A71" i="54"/>
  <c r="B71" i="54"/>
  <c r="A72" i="54"/>
  <c r="B72" i="54"/>
  <c r="A73" i="54"/>
  <c r="B73" i="54"/>
  <c r="A74" i="54"/>
  <c r="B74" i="54"/>
  <c r="A75" i="54"/>
  <c r="B75" i="54"/>
  <c r="A76" i="54"/>
  <c r="B76" i="54"/>
  <c r="A77" i="54"/>
  <c r="B77" i="54"/>
  <c r="A78" i="54"/>
  <c r="B78" i="54"/>
  <c r="A79" i="54"/>
  <c r="B79" i="54"/>
  <c r="A80" i="54"/>
  <c r="B80" i="54"/>
  <c r="A81" i="54"/>
  <c r="B81" i="54"/>
  <c r="A82" i="54"/>
  <c r="B82" i="54"/>
  <c r="A83" i="54"/>
  <c r="B83" i="54"/>
  <c r="A84" i="54"/>
  <c r="B84" i="54"/>
  <c r="A85" i="54"/>
  <c r="B85" i="54"/>
  <c r="A86" i="54"/>
  <c r="B86" i="54"/>
  <c r="A87" i="54"/>
  <c r="B87" i="54"/>
  <c r="A88" i="54"/>
  <c r="B88" i="54"/>
  <c r="A89" i="54"/>
  <c r="B89" i="54"/>
  <c r="A90" i="54"/>
  <c r="B90" i="54"/>
  <c r="A91" i="54"/>
  <c r="B91" i="54"/>
  <c r="A92" i="54"/>
  <c r="B92" i="54"/>
  <c r="A93" i="54"/>
  <c r="B93" i="54"/>
  <c r="A94" i="54"/>
  <c r="B94" i="54"/>
  <c r="A95" i="54"/>
  <c r="B95" i="54"/>
  <c r="A96" i="54"/>
  <c r="B96" i="54"/>
  <c r="A97" i="54"/>
  <c r="B97" i="54"/>
  <c r="A98" i="54"/>
  <c r="B98" i="54"/>
  <c r="A99" i="54"/>
  <c r="B99" i="54"/>
  <c r="A100" i="54"/>
  <c r="B100" i="54"/>
  <c r="A101" i="54"/>
  <c r="B101" i="54"/>
  <c r="A102" i="54"/>
  <c r="B102" i="54"/>
  <c r="A103" i="54"/>
  <c r="B103" i="54"/>
  <c r="A104" i="54"/>
  <c r="B104" i="54"/>
  <c r="A105" i="54"/>
  <c r="B105" i="54"/>
  <c r="A106" i="54"/>
  <c r="B106" i="54"/>
  <c r="A107" i="54"/>
  <c r="B107" i="54"/>
  <c r="A108" i="54"/>
  <c r="B108" i="54"/>
  <c r="A109" i="54"/>
  <c r="B109" i="54"/>
  <c r="A110" i="54"/>
  <c r="B110" i="54"/>
  <c r="A111" i="54"/>
  <c r="B111" i="54"/>
  <c r="A112" i="54"/>
  <c r="B112" i="54"/>
  <c r="A113" i="54"/>
  <c r="B113" i="54"/>
  <c r="A114" i="54"/>
  <c r="B114" i="54"/>
  <c r="A115" i="54"/>
  <c r="B115" i="54"/>
  <c r="A116" i="54"/>
  <c r="B116" i="54"/>
  <c r="A117" i="54"/>
  <c r="B117" i="54"/>
  <c r="A118" i="54"/>
  <c r="B118" i="54"/>
  <c r="A119" i="54"/>
  <c r="B119" i="54"/>
  <c r="A120" i="54"/>
  <c r="B120" i="54"/>
  <c r="A121" i="54"/>
  <c r="B121" i="54"/>
  <c r="A122" i="54"/>
  <c r="B122" i="54"/>
  <c r="A123" i="54"/>
  <c r="B123" i="54"/>
  <c r="A124" i="54"/>
  <c r="B124" i="54"/>
  <c r="A125" i="54"/>
  <c r="B125" i="54"/>
  <c r="A126" i="54"/>
  <c r="B126" i="54"/>
  <c r="A127" i="54"/>
  <c r="B127" i="54"/>
  <c r="A128" i="54"/>
  <c r="B128" i="54"/>
  <c r="A129" i="54"/>
  <c r="B129" i="54"/>
  <c r="A130" i="54"/>
  <c r="B130" i="54"/>
  <c r="A131" i="54"/>
  <c r="B131" i="54"/>
  <c r="A132" i="54"/>
  <c r="B132" i="54"/>
  <c r="A133" i="54"/>
  <c r="B133" i="54"/>
  <c r="A134" i="54"/>
  <c r="B134" i="54"/>
  <c r="A135" i="54"/>
  <c r="B135" i="54"/>
  <c r="A136" i="54"/>
  <c r="B136" i="54"/>
  <c r="A137" i="54"/>
  <c r="B137" i="54"/>
  <c r="A138" i="54"/>
  <c r="B138" i="54"/>
  <c r="A139" i="54"/>
  <c r="B139" i="54"/>
  <c r="A140" i="54"/>
  <c r="B140" i="54"/>
  <c r="A141" i="54"/>
  <c r="B141" i="54"/>
  <c r="A142" i="54"/>
  <c r="B142" i="54"/>
  <c r="A143" i="54"/>
  <c r="B143" i="54"/>
  <c r="A144" i="54"/>
  <c r="B144" i="54"/>
  <c r="A145" i="54"/>
  <c r="B145" i="54"/>
  <c r="A146" i="54"/>
  <c r="B146" i="54"/>
  <c r="A147" i="54"/>
  <c r="B147" i="54"/>
  <c r="A148" i="54"/>
  <c r="B148" i="54"/>
  <c r="A149" i="54"/>
  <c r="B149" i="54"/>
  <c r="A150" i="54"/>
  <c r="B150" i="54"/>
  <c r="A151" i="54"/>
  <c r="B151" i="54"/>
  <c r="A152" i="54"/>
  <c r="B152" i="54"/>
  <c r="A153" i="54"/>
  <c r="B153" i="54"/>
  <c r="A154" i="54"/>
  <c r="B154" i="54"/>
  <c r="A155" i="54"/>
  <c r="B155" i="54"/>
  <c r="A156" i="54"/>
  <c r="B156" i="54"/>
  <c r="A157" i="54"/>
  <c r="B157" i="54"/>
  <c r="A158" i="54"/>
  <c r="B158" i="54"/>
  <c r="A159" i="54"/>
  <c r="B159" i="54"/>
  <c r="A160" i="54"/>
  <c r="B160" i="54"/>
  <c r="A161" i="54"/>
  <c r="B161" i="54"/>
  <c r="A162" i="54"/>
  <c r="B162" i="54"/>
  <c r="A163" i="54"/>
  <c r="B163" i="54"/>
  <c r="A164" i="54"/>
  <c r="B164" i="54"/>
  <c r="A165" i="54"/>
  <c r="B165" i="54"/>
  <c r="A166" i="54"/>
  <c r="B166" i="54"/>
  <c r="A167" i="54"/>
  <c r="B167" i="54"/>
  <c r="A168" i="54"/>
  <c r="B168" i="54"/>
  <c r="A169" i="54"/>
  <c r="B169" i="54"/>
  <c r="A170" i="54"/>
  <c r="B170" i="54"/>
  <c r="A171" i="54"/>
  <c r="B171" i="54"/>
  <c r="A172" i="54"/>
  <c r="B172" i="54"/>
  <c r="A173" i="54"/>
  <c r="B173" i="54"/>
  <c r="A174" i="54"/>
  <c r="B174" i="54"/>
  <c r="A175" i="54"/>
  <c r="B175" i="54"/>
  <c r="A176" i="54"/>
  <c r="B176" i="54"/>
  <c r="A177" i="54"/>
  <c r="B177" i="54"/>
  <c r="A178" i="54"/>
  <c r="B178" i="54"/>
  <c r="A179" i="54"/>
  <c r="B179" i="54"/>
  <c r="A180" i="54"/>
  <c r="B180" i="54"/>
  <c r="A181" i="54"/>
  <c r="B181" i="54"/>
  <c r="A182" i="54"/>
  <c r="B182" i="54"/>
  <c r="A183" i="54"/>
  <c r="B183" i="54"/>
  <c r="A184" i="54"/>
  <c r="B184" i="54"/>
  <c r="A185" i="54"/>
  <c r="B185" i="54"/>
  <c r="A186" i="54"/>
  <c r="B186" i="54"/>
  <c r="A187" i="54"/>
  <c r="B187" i="54"/>
  <c r="A188" i="54"/>
  <c r="B188" i="54"/>
  <c r="A189" i="54"/>
  <c r="B189" i="54"/>
  <c r="A190" i="54"/>
  <c r="B190" i="54"/>
  <c r="A191" i="54"/>
  <c r="B191" i="54"/>
  <c r="A192" i="54"/>
  <c r="B192" i="54"/>
  <c r="A193" i="54"/>
  <c r="B193" i="54"/>
  <c r="A194" i="54"/>
  <c r="B194" i="54"/>
  <c r="A195" i="54"/>
  <c r="B195" i="54"/>
  <c r="A196" i="54"/>
  <c r="B196" i="54"/>
  <c r="A197" i="54"/>
  <c r="B197" i="54"/>
  <c r="A198" i="54"/>
  <c r="B198" i="54"/>
  <c r="A199" i="54"/>
  <c r="B199" i="54"/>
  <c r="A200" i="54"/>
  <c r="B200" i="54"/>
  <c r="A201" i="54"/>
  <c r="B201" i="54"/>
  <c r="A202" i="54"/>
  <c r="B202" i="54"/>
  <c r="A203" i="54"/>
  <c r="B203" i="54"/>
  <c r="A204" i="54"/>
  <c r="B204" i="54"/>
  <c r="A205" i="54"/>
  <c r="B205" i="54"/>
  <c r="A206" i="54"/>
  <c r="B206" i="54"/>
  <c r="A207" i="54"/>
  <c r="B207" i="54"/>
  <c r="A208" i="54"/>
  <c r="B208" i="54"/>
  <c r="A209" i="54"/>
  <c r="B209" i="54"/>
  <c r="A210" i="54"/>
  <c r="B210" i="54"/>
  <c r="A211" i="54"/>
  <c r="B211" i="54"/>
  <c r="A212" i="54"/>
  <c r="B212" i="54"/>
  <c r="A213" i="54"/>
  <c r="B213" i="54"/>
  <c r="A214" i="54"/>
  <c r="B214" i="54"/>
  <c r="A215" i="54"/>
  <c r="B215" i="54"/>
  <c r="A216" i="54"/>
  <c r="B216" i="54"/>
  <c r="A217" i="54"/>
  <c r="B217" i="54"/>
  <c r="A218" i="54"/>
  <c r="B218" i="54"/>
  <c r="A219" i="54"/>
  <c r="B219" i="54"/>
  <c r="A220" i="54"/>
  <c r="B220" i="54"/>
  <c r="A221" i="54"/>
  <c r="B221" i="54"/>
  <c r="A222" i="54"/>
  <c r="B222" i="54"/>
  <c r="A223" i="54"/>
  <c r="B223" i="54"/>
  <c r="A224" i="54"/>
  <c r="B224" i="54"/>
  <c r="A225" i="54"/>
  <c r="B225" i="54"/>
  <c r="A226" i="54"/>
  <c r="B226" i="54"/>
  <c r="A227" i="54"/>
  <c r="B227" i="54"/>
  <c r="A228" i="54"/>
  <c r="B228" i="54"/>
  <c r="A229" i="54"/>
  <c r="B229" i="54"/>
  <c r="A230" i="54"/>
  <c r="B230" i="54"/>
  <c r="A231" i="54"/>
  <c r="B231" i="54"/>
  <c r="A232" i="54"/>
  <c r="B232" i="54"/>
  <c r="A233" i="54"/>
  <c r="B233" i="54"/>
  <c r="A234" i="54"/>
  <c r="B234" i="54"/>
  <c r="A235" i="54"/>
  <c r="B235" i="54"/>
  <c r="A236" i="54"/>
  <c r="B236" i="54"/>
  <c r="A237" i="54"/>
  <c r="B237" i="54"/>
  <c r="A238" i="54"/>
  <c r="B238" i="54"/>
  <c r="A239" i="54"/>
  <c r="B239" i="54"/>
  <c r="A240" i="54"/>
  <c r="B240" i="54"/>
  <c r="A241" i="54"/>
  <c r="B241" i="54"/>
  <c r="A242" i="54"/>
  <c r="B242" i="54"/>
  <c r="A243" i="54"/>
  <c r="B243" i="54"/>
  <c r="A244" i="54"/>
  <c r="B244" i="54"/>
  <c r="A245" i="54"/>
  <c r="B245" i="54"/>
  <c r="A246" i="54"/>
  <c r="B246" i="54"/>
  <c r="A247" i="54"/>
  <c r="B247" i="54"/>
  <c r="A248" i="54"/>
  <c r="B248" i="54"/>
  <c r="A249" i="54"/>
  <c r="B249" i="54"/>
  <c r="A250" i="54"/>
  <c r="B250" i="54"/>
  <c r="A251" i="54"/>
  <c r="B251" i="54"/>
  <c r="A252" i="54"/>
  <c r="B252" i="54"/>
  <c r="A253" i="54"/>
  <c r="B253" i="54"/>
  <c r="A254" i="54"/>
  <c r="B254" i="54"/>
  <c r="A255" i="54"/>
  <c r="B255" i="54"/>
  <c r="A256" i="54"/>
  <c r="B256" i="54"/>
  <c r="A257" i="54"/>
  <c r="B257" i="54"/>
  <c r="A258" i="54"/>
  <c r="B258" i="54"/>
  <c r="A259" i="54"/>
  <c r="B259" i="54"/>
  <c r="A260" i="54"/>
  <c r="B260" i="54"/>
  <c r="A261" i="54"/>
  <c r="B261" i="54"/>
  <c r="A262" i="54"/>
  <c r="B262" i="54"/>
  <c r="A263" i="54"/>
  <c r="B263" i="54"/>
  <c r="A264" i="54"/>
  <c r="B264" i="54"/>
  <c r="A265" i="54"/>
  <c r="B265" i="54"/>
  <c r="A266" i="54"/>
  <c r="B266" i="54"/>
  <c r="A267" i="54"/>
  <c r="B267" i="54"/>
  <c r="A268" i="54"/>
  <c r="B268" i="54"/>
  <c r="A269" i="54"/>
  <c r="B269" i="54"/>
  <c r="A270" i="54"/>
  <c r="B270" i="54"/>
  <c r="A271" i="54"/>
  <c r="B271" i="54"/>
  <c r="A272" i="54"/>
  <c r="B272" i="54"/>
  <c r="A273" i="54"/>
  <c r="B273" i="54"/>
  <c r="A274" i="54"/>
  <c r="B274" i="54"/>
  <c r="A275" i="54"/>
  <c r="B275" i="54"/>
  <c r="A276" i="54"/>
  <c r="B276" i="54"/>
  <c r="A277" i="54"/>
  <c r="B277" i="54"/>
  <c r="A278" i="54"/>
  <c r="B278" i="54"/>
  <c r="A279" i="54"/>
  <c r="B279" i="54"/>
  <c r="A280" i="54"/>
  <c r="B280" i="54"/>
  <c r="A281" i="54"/>
  <c r="B281" i="54"/>
  <c r="A282" i="54"/>
  <c r="B282" i="54"/>
  <c r="A283" i="54"/>
  <c r="B283" i="54"/>
  <c r="A284" i="54"/>
  <c r="B284" i="54"/>
  <c r="A285" i="54"/>
  <c r="B285" i="54"/>
  <c r="A286" i="54"/>
  <c r="B286" i="54"/>
  <c r="A287" i="54"/>
  <c r="B287" i="54"/>
  <c r="A288" i="54"/>
  <c r="B288" i="54"/>
  <c r="A289" i="54"/>
  <c r="B289" i="54"/>
  <c r="A290" i="54"/>
  <c r="B290" i="54"/>
  <c r="A291" i="54"/>
  <c r="B291" i="54"/>
  <c r="A292" i="54"/>
  <c r="B292" i="54"/>
  <c r="A293" i="54"/>
  <c r="B293" i="54"/>
  <c r="A294" i="54"/>
  <c r="B294" i="54"/>
  <c r="A295" i="54"/>
  <c r="B295" i="54"/>
  <c r="A296" i="54"/>
  <c r="B296" i="54"/>
  <c r="A297" i="54"/>
  <c r="B297" i="54"/>
  <c r="A298" i="54"/>
  <c r="B298" i="54"/>
  <c r="A299" i="54"/>
  <c r="B299" i="54"/>
  <c r="A300" i="54"/>
  <c r="B300" i="54"/>
  <c r="A301" i="54"/>
  <c r="B301" i="54"/>
  <c r="A302" i="54"/>
  <c r="B302" i="54"/>
  <c r="A303" i="54"/>
  <c r="B303" i="54"/>
  <c r="A304" i="54"/>
  <c r="B304" i="54"/>
  <c r="A305" i="54"/>
  <c r="B305" i="54"/>
  <c r="AL7" i="42"/>
  <c r="AL8" i="42"/>
  <c r="AL9"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6" i="42"/>
  <c r="AL277" i="42"/>
  <c r="AL278" i="42"/>
  <c r="AL279" i="42"/>
  <c r="AL280" i="42"/>
  <c r="AL281" i="42"/>
  <c r="AL282"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D7" i="42"/>
  <c r="AD8" i="42"/>
  <c r="AD9" i="42"/>
  <c r="AD10" i="42"/>
  <c r="AD11" i="42"/>
  <c r="AD12" i="42"/>
  <c r="AD13" i="42"/>
  <c r="AD14" i="42"/>
  <c r="AD15" i="42"/>
  <c r="AD16" i="42"/>
  <c r="AD17" i="42"/>
  <c r="AD18" i="42"/>
  <c r="AD19" i="42"/>
  <c r="AD20" i="42"/>
  <c r="AD21" i="42"/>
  <c r="AD22" i="42"/>
  <c r="AD23" i="42"/>
  <c r="AD24" i="42"/>
  <c r="AD25" i="42"/>
  <c r="AD26" i="42"/>
  <c r="AD27" i="42"/>
  <c r="AD28"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E199" i="33" l="1"/>
  <c r="D199" i="37" s="1"/>
  <c r="C205" i="34"/>
  <c r="C218" i="11"/>
  <c r="E171" i="33"/>
  <c r="D171" i="37" s="1"/>
  <c r="E205" i="33"/>
  <c r="D205" i="37" s="1"/>
  <c r="C284" i="11"/>
  <c r="C55" i="34"/>
  <c r="E218" i="33"/>
  <c r="D218" i="37" s="1"/>
  <c r="C177" i="34"/>
  <c r="E184" i="33"/>
  <c r="D184" i="37" s="1"/>
  <c r="C211" i="34"/>
  <c r="C290" i="34"/>
  <c r="C49" i="11"/>
  <c r="C190" i="34"/>
  <c r="E25" i="33"/>
  <c r="D25" i="37" s="1"/>
  <c r="E238" i="33"/>
  <c r="D238" i="37" s="1"/>
  <c r="C244" i="34"/>
  <c r="C250" i="11"/>
  <c r="E128" i="33"/>
  <c r="D128" i="37" s="1"/>
  <c r="C134" i="34"/>
  <c r="E294" i="33"/>
  <c r="D294" i="37" s="1"/>
  <c r="C300" i="34"/>
  <c r="E192" i="33"/>
  <c r="D192" i="37" s="1"/>
  <c r="E43" i="33"/>
  <c r="D43" i="37" s="1"/>
  <c r="C158" i="34"/>
  <c r="C198" i="34"/>
  <c r="C49" i="34"/>
  <c r="C152" i="11"/>
  <c r="E250" i="33"/>
  <c r="D250" i="37" s="1"/>
  <c r="C252" i="34"/>
  <c r="C226" i="11"/>
  <c r="C199" i="34"/>
  <c r="C209" i="34"/>
  <c r="C203" i="11"/>
  <c r="E173" i="33"/>
  <c r="D173" i="37" s="1"/>
  <c r="E201" i="33"/>
  <c r="D201" i="37" s="1"/>
  <c r="C201" i="11"/>
  <c r="C179" i="34"/>
  <c r="E246" i="33"/>
  <c r="D246" i="37" s="1"/>
  <c r="C195" i="34"/>
  <c r="E193" i="33"/>
  <c r="D193" i="37" s="1"/>
  <c r="E226" i="33"/>
  <c r="D226" i="37" s="1"/>
  <c r="C163" i="34"/>
  <c r="C157" i="11"/>
  <c r="E126" i="33"/>
  <c r="D126" i="37" s="1"/>
  <c r="C126" i="11"/>
  <c r="C132" i="34"/>
  <c r="E72" i="33"/>
  <c r="D72" i="37" s="1"/>
  <c r="C72" i="11"/>
  <c r="C78" i="34"/>
  <c r="C86" i="11"/>
  <c r="C92" i="34"/>
  <c r="E86" i="33"/>
  <c r="D86" i="37" s="1"/>
  <c r="E170" i="33"/>
  <c r="D170" i="37" s="1"/>
  <c r="C170" i="11"/>
  <c r="C176" i="34"/>
  <c r="C23" i="11"/>
  <c r="C29" i="34"/>
  <c r="E23" i="33"/>
  <c r="D23" i="37" s="1"/>
  <c r="C300" i="11"/>
  <c r="C306" i="34"/>
  <c r="E300" i="33"/>
  <c r="D300" i="37" s="1"/>
  <c r="C227" i="11"/>
  <c r="C233" i="34"/>
  <c r="E227" i="33"/>
  <c r="D227" i="37" s="1"/>
  <c r="C9" i="11"/>
  <c r="E9" i="33"/>
  <c r="D9" i="37" s="1"/>
  <c r="C15" i="34"/>
  <c r="C188" i="11"/>
  <c r="C194" i="34"/>
  <c r="E188" i="33"/>
  <c r="D188" i="37" s="1"/>
  <c r="C174" i="11"/>
  <c r="C180" i="34"/>
  <c r="E174" i="33"/>
  <c r="D174" i="37" s="1"/>
  <c r="C28" i="11"/>
  <c r="C34" i="34"/>
  <c r="E28" i="33"/>
  <c r="D28" i="37" s="1"/>
  <c r="C111" i="11"/>
  <c r="C117" i="34"/>
  <c r="E111" i="33"/>
  <c r="D111" i="37" s="1"/>
  <c r="E52" i="33"/>
  <c r="D52" i="37" s="1"/>
  <c r="C52" i="11"/>
  <c r="C58" i="34"/>
  <c r="E281" i="33"/>
  <c r="D281" i="37" s="1"/>
  <c r="C281" i="11"/>
  <c r="C287" i="34"/>
  <c r="C97" i="11"/>
  <c r="C103" i="34"/>
  <c r="E97" i="33"/>
  <c r="D97" i="37" s="1"/>
  <c r="E297" i="33"/>
  <c r="D297" i="37" s="1"/>
  <c r="C297" i="11"/>
  <c r="C303" i="34"/>
  <c r="E220" i="33"/>
  <c r="D220" i="37" s="1"/>
  <c r="C220" i="11"/>
  <c r="C226" i="34"/>
  <c r="C274" i="11"/>
  <c r="C280" i="34"/>
  <c r="E274" i="33"/>
  <c r="D274" i="37" s="1"/>
  <c r="E194" i="33"/>
  <c r="D194" i="37" s="1"/>
  <c r="C194" i="11"/>
  <c r="C200" i="34"/>
  <c r="E32" i="33"/>
  <c r="D32" i="37" s="1"/>
  <c r="C32" i="11"/>
  <c r="C38" i="34"/>
  <c r="C82" i="11"/>
  <c r="C88" i="34"/>
  <c r="E82" i="33"/>
  <c r="D82" i="37" s="1"/>
  <c r="C213" i="11"/>
  <c r="C219" i="34"/>
  <c r="E213" i="33"/>
  <c r="D213" i="37" s="1"/>
  <c r="E265" i="33"/>
  <c r="D265" i="37" s="1"/>
  <c r="C265" i="11"/>
  <c r="C271" i="34"/>
  <c r="E68" i="33"/>
  <c r="D68" i="37" s="1"/>
  <c r="C68" i="11"/>
  <c r="C74" i="34"/>
  <c r="E253" i="33"/>
  <c r="D253" i="37" s="1"/>
  <c r="C253" i="11"/>
  <c r="C259" i="34"/>
  <c r="C90" i="11"/>
  <c r="C96" i="34"/>
  <c r="E90" i="33"/>
  <c r="D90" i="37" s="1"/>
  <c r="E236" i="33"/>
  <c r="D236" i="37" s="1"/>
  <c r="C236" i="11"/>
  <c r="C242" i="34"/>
  <c r="C164" i="11"/>
  <c r="C170" i="34"/>
  <c r="E164" i="33"/>
  <c r="D164" i="37" s="1"/>
  <c r="C113" i="19"/>
  <c r="L113" i="19" s="1"/>
  <c r="D120" i="19"/>
  <c r="L120" i="19" s="1"/>
  <c r="E48" i="33"/>
  <c r="D48" i="37" s="1"/>
  <c r="C48" i="11"/>
  <c r="C54" i="34"/>
  <c r="C240" i="11"/>
  <c r="C246" i="34"/>
  <c r="E240" i="33"/>
  <c r="D240" i="37" s="1"/>
  <c r="C255" i="11"/>
  <c r="C261" i="34"/>
  <c r="E255" i="33"/>
  <c r="D255" i="37" s="1"/>
  <c r="C53" i="11"/>
  <c r="C59" i="34"/>
  <c r="E53" i="33"/>
  <c r="D53" i="37" s="1"/>
  <c r="C114" i="11"/>
  <c r="C120" i="34"/>
  <c r="E114" i="33"/>
  <c r="D114" i="37" s="1"/>
  <c r="C243" i="11"/>
  <c r="C249" i="34"/>
  <c r="E243" i="33"/>
  <c r="D243" i="37" s="1"/>
  <c r="E256" i="33"/>
  <c r="D256" i="37" s="1"/>
  <c r="C256" i="11"/>
  <c r="C262" i="34"/>
  <c r="E140" i="33"/>
  <c r="D140" i="37" s="1"/>
  <c r="C140" i="11"/>
  <c r="C146" i="34"/>
  <c r="C198" i="11"/>
  <c r="C204" i="34"/>
  <c r="E198" i="33"/>
  <c r="D198" i="37" s="1"/>
  <c r="C295" i="11"/>
  <c r="C301" i="34"/>
  <c r="E295" i="33"/>
  <c r="D295" i="37" s="1"/>
  <c r="E288" i="33"/>
  <c r="D288" i="37" s="1"/>
  <c r="C288" i="11"/>
  <c r="C294" i="34"/>
  <c r="C29" i="11"/>
  <c r="C35" i="34"/>
  <c r="E29" i="33"/>
  <c r="D29" i="37" s="1"/>
  <c r="C84" i="11"/>
  <c r="C90" i="34"/>
  <c r="E84" i="33"/>
  <c r="D84" i="37" s="1"/>
  <c r="C130" i="11"/>
  <c r="C136" i="34"/>
  <c r="E130" i="33"/>
  <c r="D130" i="37" s="1"/>
  <c r="E38" i="33"/>
  <c r="D38" i="37" s="1"/>
  <c r="C38" i="11"/>
  <c r="C44" i="34"/>
  <c r="C231" i="11"/>
  <c r="C237" i="34"/>
  <c r="E231" i="33"/>
  <c r="D231" i="37" s="1"/>
  <c r="E289" i="33"/>
  <c r="D289" i="37" s="1"/>
  <c r="C289" i="11"/>
  <c r="C295" i="34"/>
  <c r="E100" i="33"/>
  <c r="D100" i="37" s="1"/>
  <c r="C100" i="11"/>
  <c r="C106" i="34"/>
  <c r="E104" i="33"/>
  <c r="D104" i="37" s="1"/>
  <c r="C104" i="11"/>
  <c r="C110" i="34"/>
  <c r="C159" i="11"/>
  <c r="C165" i="34"/>
  <c r="E159" i="33"/>
  <c r="D159" i="37" s="1"/>
  <c r="C119" i="11"/>
  <c r="C125" i="34"/>
  <c r="E119" i="33"/>
  <c r="D119" i="37" s="1"/>
  <c r="C117" i="11"/>
  <c r="C123" i="34"/>
  <c r="E117" i="33"/>
  <c r="D117" i="37" s="1"/>
  <c r="E64" i="33"/>
  <c r="D64" i="37" s="1"/>
  <c r="C64" i="11"/>
  <c r="C70" i="34"/>
  <c r="C12" i="11"/>
  <c r="C18" i="34"/>
  <c r="E12" i="33"/>
  <c r="D12" i="37" s="1"/>
  <c r="C67" i="11"/>
  <c r="C73" i="34"/>
  <c r="E67" i="33"/>
  <c r="D67" i="37" s="1"/>
  <c r="C45" i="11"/>
  <c r="C51" i="34"/>
  <c r="E45" i="33"/>
  <c r="D45" i="37" s="1"/>
  <c r="C202" i="11"/>
  <c r="C208" i="34"/>
  <c r="E202" i="33"/>
  <c r="D202" i="37" s="1"/>
  <c r="C121" i="11"/>
  <c r="C127" i="34"/>
  <c r="E121" i="33"/>
  <c r="D121" i="37" s="1"/>
  <c r="C26" i="11"/>
  <c r="C32" i="34"/>
  <c r="E26" i="33"/>
  <c r="D26" i="37" s="1"/>
  <c r="C105" i="11"/>
  <c r="E105" i="33"/>
  <c r="D105" i="37" s="1"/>
  <c r="C111" i="34"/>
  <c r="C79" i="11"/>
  <c r="C85" i="34"/>
  <c r="E79" i="33"/>
  <c r="D79" i="37" s="1"/>
  <c r="D137" i="19"/>
  <c r="L137" i="19" s="1"/>
  <c r="C244" i="11"/>
  <c r="C250" i="34"/>
  <c r="E244" i="33"/>
  <c r="D244" i="37" s="1"/>
  <c r="E142" i="33"/>
  <c r="D142" i="37" s="1"/>
  <c r="C142" i="11"/>
  <c r="C148" i="34"/>
  <c r="E232" i="33"/>
  <c r="D232" i="37" s="1"/>
  <c r="C232" i="11"/>
  <c r="C238" i="34"/>
  <c r="C20" i="11"/>
  <c r="C26" i="34"/>
  <c r="E20" i="33"/>
  <c r="D20" i="37" s="1"/>
  <c r="C34" i="11"/>
  <c r="C40" i="34"/>
  <c r="E34" i="33"/>
  <c r="D34" i="37" s="1"/>
  <c r="C214" i="11"/>
  <c r="C220" i="34"/>
  <c r="E214" i="33"/>
  <c r="D214" i="37" s="1"/>
  <c r="C46" i="11"/>
  <c r="C52" i="34"/>
  <c r="E46" i="33"/>
  <c r="D46" i="37" s="1"/>
  <c r="C55" i="11"/>
  <c r="C61" i="34"/>
  <c r="E55" i="33"/>
  <c r="D55" i="37" s="1"/>
  <c r="C216" i="11"/>
  <c r="C222" i="34"/>
  <c r="E216" i="33"/>
  <c r="D216" i="37" s="1"/>
  <c r="E124" i="33"/>
  <c r="D124" i="37" s="1"/>
  <c r="C124" i="11"/>
  <c r="C130" i="34"/>
  <c r="E17" i="33"/>
  <c r="D17" i="37" s="1"/>
  <c r="C17" i="11"/>
  <c r="C23" i="34"/>
  <c r="C235" i="11"/>
  <c r="C241" i="34"/>
  <c r="E235" i="33"/>
  <c r="D235" i="37" s="1"/>
  <c r="C61" i="11"/>
  <c r="E61" i="33"/>
  <c r="D61" i="37" s="1"/>
  <c r="C67" i="34"/>
  <c r="E273" i="33"/>
  <c r="D273" i="37" s="1"/>
  <c r="C273" i="11"/>
  <c r="C279" i="34"/>
  <c r="E148" i="33"/>
  <c r="D148" i="37" s="1"/>
  <c r="C148" i="11"/>
  <c r="C154" i="34"/>
  <c r="C150" i="11"/>
  <c r="C156" i="34"/>
  <c r="E150" i="33"/>
  <c r="D150" i="37" s="1"/>
  <c r="C247" i="11"/>
  <c r="C253" i="34"/>
  <c r="E247" i="33"/>
  <c r="D247" i="37" s="1"/>
  <c r="C155" i="11"/>
  <c r="C161" i="34"/>
  <c r="E155" i="33"/>
  <c r="D155" i="37" s="1"/>
  <c r="E219" i="33"/>
  <c r="D219" i="37" s="1"/>
  <c r="C219" i="11"/>
  <c r="C225" i="34"/>
  <c r="C169" i="11"/>
  <c r="C175" i="34"/>
  <c r="E169" i="33"/>
  <c r="D169" i="37" s="1"/>
  <c r="E167" i="33"/>
  <c r="D167" i="37" s="1"/>
  <c r="C167" i="11"/>
  <c r="C173" i="34"/>
  <c r="C70" i="11"/>
  <c r="C76" i="34"/>
  <c r="E70" i="33"/>
  <c r="D70" i="37" s="1"/>
  <c r="C210" i="11"/>
  <c r="C216" i="34"/>
  <c r="E210" i="33"/>
  <c r="D210" i="37" s="1"/>
  <c r="E123" i="33"/>
  <c r="D123" i="37" s="1"/>
  <c r="C123" i="11"/>
  <c r="C129" i="34"/>
  <c r="C81" i="11"/>
  <c r="C87" i="34"/>
  <c r="E81" i="33"/>
  <c r="D81" i="37" s="1"/>
  <c r="E116" i="33"/>
  <c r="D116" i="37" s="1"/>
  <c r="C116" i="11"/>
  <c r="C122" i="34"/>
  <c r="E91" i="33"/>
  <c r="D91" i="37" s="1"/>
  <c r="C91" i="11"/>
  <c r="C97" i="34"/>
  <c r="E285" i="33"/>
  <c r="D285" i="37" s="1"/>
  <c r="C285" i="11"/>
  <c r="C291" i="34"/>
  <c r="C259" i="11"/>
  <c r="C265" i="34"/>
  <c r="E259" i="33"/>
  <c r="D259" i="37" s="1"/>
  <c r="D143" i="19"/>
  <c r="L143" i="19" s="1"/>
  <c r="D261" i="19"/>
  <c r="L261" i="19" s="1"/>
  <c r="E118" i="33"/>
  <c r="D118" i="37" s="1"/>
  <c r="C118" i="11"/>
  <c r="C124" i="34"/>
  <c r="E92" i="33"/>
  <c r="D92" i="37" s="1"/>
  <c r="C92" i="11"/>
  <c r="C98" i="34"/>
  <c r="C166" i="11"/>
  <c r="C172" i="34"/>
  <c r="E166" i="33"/>
  <c r="D166" i="37" s="1"/>
  <c r="E257" i="33"/>
  <c r="D257" i="37" s="1"/>
  <c r="C257" i="11"/>
  <c r="C263" i="34"/>
  <c r="C7" i="11"/>
  <c r="C13" i="34"/>
  <c r="E7" i="33"/>
  <c r="D7" i="37" s="1"/>
  <c r="C263" i="11"/>
  <c r="C269" i="34"/>
  <c r="E263" i="33"/>
  <c r="D263" i="37" s="1"/>
  <c r="E224" i="33"/>
  <c r="D224" i="37" s="1"/>
  <c r="C224" i="11"/>
  <c r="C230" i="34"/>
  <c r="C222" i="11"/>
  <c r="C228" i="34"/>
  <c r="E222" i="33"/>
  <c r="D222" i="37" s="1"/>
  <c r="E249" i="33"/>
  <c r="D249" i="37" s="1"/>
  <c r="C249" i="11"/>
  <c r="C255" i="34"/>
  <c r="C217" i="11"/>
  <c r="C223" i="34"/>
  <c r="E217" i="33"/>
  <c r="D217" i="37" s="1"/>
  <c r="C156" i="11"/>
  <c r="C162" i="34"/>
  <c r="E156" i="33"/>
  <c r="D156" i="37" s="1"/>
  <c r="E280" i="33"/>
  <c r="D280" i="37" s="1"/>
  <c r="C280" i="11"/>
  <c r="C286" i="34"/>
  <c r="E108" i="33"/>
  <c r="D108" i="37" s="1"/>
  <c r="C108" i="11"/>
  <c r="C114" i="34"/>
  <c r="E162" i="33"/>
  <c r="D162" i="37" s="1"/>
  <c r="C162" i="11"/>
  <c r="C168" i="34"/>
  <c r="E178" i="33"/>
  <c r="D178" i="37" s="1"/>
  <c r="C178" i="11"/>
  <c r="C184" i="34"/>
  <c r="C87" i="11"/>
  <c r="C93" i="34"/>
  <c r="E87" i="33"/>
  <c r="D87" i="37" s="1"/>
  <c r="E154" i="33"/>
  <c r="D154" i="37" s="1"/>
  <c r="C154" i="11"/>
  <c r="C160" i="34"/>
  <c r="E229" i="33"/>
  <c r="D229" i="37" s="1"/>
  <c r="C229" i="11"/>
  <c r="C235" i="34"/>
  <c r="E245" i="33"/>
  <c r="D245" i="37" s="1"/>
  <c r="C245" i="11"/>
  <c r="C251" i="34"/>
  <c r="E96" i="33"/>
  <c r="D96" i="37" s="1"/>
  <c r="C96" i="11"/>
  <c r="C102" i="34"/>
  <c r="E16" i="33"/>
  <c r="D16" i="37" s="1"/>
  <c r="C16" i="11"/>
  <c r="C22" i="34"/>
  <c r="C66" i="11"/>
  <c r="C72" i="34"/>
  <c r="E66" i="33"/>
  <c r="D66" i="37" s="1"/>
  <c r="E301" i="33"/>
  <c r="D301" i="37" s="1"/>
  <c r="C301" i="11"/>
  <c r="C307" i="34"/>
  <c r="C95" i="11"/>
  <c r="C101" i="34"/>
  <c r="E95" i="33"/>
  <c r="D95" i="37" s="1"/>
  <c r="C122" i="11"/>
  <c r="C128" i="34"/>
  <c r="E122" i="33"/>
  <c r="D122" i="37" s="1"/>
  <c r="E63" i="33"/>
  <c r="D63" i="37" s="1"/>
  <c r="C63" i="11"/>
  <c r="C69" i="34"/>
  <c r="C302" i="11"/>
  <c r="C308" i="34"/>
  <c r="E302" i="33"/>
  <c r="D302" i="37" s="1"/>
  <c r="E40" i="33"/>
  <c r="D40" i="37" s="1"/>
  <c r="C40" i="11"/>
  <c r="C46" i="34"/>
  <c r="C78" i="11"/>
  <c r="C84" i="34"/>
  <c r="E78" i="33"/>
  <c r="D78" i="37" s="1"/>
  <c r="C73" i="11"/>
  <c r="C79" i="34"/>
  <c r="E73" i="33"/>
  <c r="D73" i="37" s="1"/>
  <c r="E60" i="33"/>
  <c r="D60" i="37" s="1"/>
  <c r="C60" i="11"/>
  <c r="C66" i="34"/>
  <c r="C54" i="11"/>
  <c r="C60" i="34"/>
  <c r="E54" i="33"/>
  <c r="D54" i="37" s="1"/>
  <c r="E186" i="33"/>
  <c r="D186" i="37" s="1"/>
  <c r="C186" i="11"/>
  <c r="C192" i="34"/>
  <c r="C158" i="11"/>
  <c r="C164" i="34"/>
  <c r="E158" i="33"/>
  <c r="D158" i="37" s="1"/>
  <c r="C58" i="11"/>
  <c r="C64" i="34"/>
  <c r="E58" i="33"/>
  <c r="D58" i="37" s="1"/>
  <c r="E71" i="33"/>
  <c r="D71" i="37" s="1"/>
  <c r="C71" i="11"/>
  <c r="C77" i="34"/>
  <c r="C206" i="11"/>
  <c r="C212" i="34"/>
  <c r="E206" i="33"/>
  <c r="D206" i="37" s="1"/>
  <c r="C175" i="19"/>
  <c r="L175" i="19" s="1"/>
  <c r="E129" i="9"/>
  <c r="E80" i="33"/>
  <c r="D80" i="37" s="1"/>
  <c r="C80" i="11"/>
  <c r="C86" i="34"/>
  <c r="C304" i="11"/>
  <c r="C310" i="34"/>
  <c r="E304" i="33"/>
  <c r="D304" i="37" s="1"/>
  <c r="E293" i="33"/>
  <c r="D293" i="37" s="1"/>
  <c r="C293" i="11"/>
  <c r="C299" i="34"/>
  <c r="C287" i="11"/>
  <c r="C293" i="34"/>
  <c r="E287" i="33"/>
  <c r="D287" i="37" s="1"/>
  <c r="C262" i="11"/>
  <c r="C268" i="34"/>
  <c r="E262" i="33"/>
  <c r="D262" i="37" s="1"/>
  <c r="E88" i="33"/>
  <c r="D88" i="37" s="1"/>
  <c r="C88" i="11"/>
  <c r="C94" i="34"/>
  <c r="E208" i="33"/>
  <c r="D208" i="37" s="1"/>
  <c r="C208" i="11"/>
  <c r="C214" i="34"/>
  <c r="E24" i="33"/>
  <c r="D24" i="37" s="1"/>
  <c r="C24" i="11"/>
  <c r="C30" i="34"/>
  <c r="C254" i="11"/>
  <c r="C260" i="34"/>
  <c r="E254" i="33"/>
  <c r="D254" i="37" s="1"/>
  <c r="C94" i="11"/>
  <c r="C100" i="34"/>
  <c r="E94" i="33"/>
  <c r="D94" i="37" s="1"/>
  <c r="E260" i="33"/>
  <c r="D260" i="37" s="1"/>
  <c r="C260" i="11"/>
  <c r="C266" i="34"/>
  <c r="C37" i="11"/>
  <c r="C43" i="34"/>
  <c r="E37" i="33"/>
  <c r="D37" i="37" s="1"/>
  <c r="C275" i="11"/>
  <c r="C281" i="34"/>
  <c r="E275" i="33"/>
  <c r="D275" i="37" s="1"/>
  <c r="C151" i="11"/>
  <c r="C157" i="34"/>
  <c r="E151" i="33"/>
  <c r="D151" i="37" s="1"/>
  <c r="C103" i="11"/>
  <c r="C109" i="34"/>
  <c r="E103" i="33"/>
  <c r="D103" i="37" s="1"/>
  <c r="E237" i="33"/>
  <c r="D237" i="37" s="1"/>
  <c r="C237" i="11"/>
  <c r="C243" i="34"/>
  <c r="C266" i="11"/>
  <c r="C272" i="34"/>
  <c r="E266" i="33"/>
  <c r="D266" i="37" s="1"/>
  <c r="C36" i="11"/>
  <c r="C42" i="34"/>
  <c r="E36" i="33"/>
  <c r="D36" i="37" s="1"/>
  <c r="C10" i="11"/>
  <c r="C16" i="34"/>
  <c r="E10" i="33"/>
  <c r="D10" i="37" s="1"/>
  <c r="C106" i="11"/>
  <c r="C112" i="34"/>
  <c r="E106" i="33"/>
  <c r="D106" i="37" s="1"/>
  <c r="C278" i="11"/>
  <c r="C284" i="34"/>
  <c r="E278" i="33"/>
  <c r="D278" i="37" s="1"/>
  <c r="C303" i="11"/>
  <c r="C309" i="34"/>
  <c r="E303" i="33"/>
  <c r="D303" i="37" s="1"/>
  <c r="C147" i="11"/>
  <c r="C153" i="34"/>
  <c r="E147" i="33"/>
  <c r="D147" i="37" s="1"/>
  <c r="E269" i="33"/>
  <c r="D269" i="37" s="1"/>
  <c r="C269" i="11"/>
  <c r="C275" i="34"/>
  <c r="E264" i="33"/>
  <c r="D264" i="37" s="1"/>
  <c r="C264" i="11"/>
  <c r="C270" i="34"/>
  <c r="C39" i="11"/>
  <c r="C45" i="34"/>
  <c r="E39" i="33"/>
  <c r="D39" i="37" s="1"/>
  <c r="C286" i="11"/>
  <c r="C292" i="34"/>
  <c r="E286" i="33"/>
  <c r="D286" i="37" s="1"/>
  <c r="C270" i="11"/>
  <c r="E270" i="33"/>
  <c r="D270" i="37" s="1"/>
  <c r="C276" i="34"/>
  <c r="C62" i="11"/>
  <c r="C68" i="34"/>
  <c r="E62" i="33"/>
  <c r="D62" i="37" s="1"/>
  <c r="C299" i="11"/>
  <c r="C305" i="34"/>
  <c r="E299" i="33"/>
  <c r="D299" i="37" s="1"/>
  <c r="C172" i="11"/>
  <c r="C178" i="34"/>
  <c r="E172" i="33"/>
  <c r="D172" i="37" s="1"/>
  <c r="C209" i="11"/>
  <c r="C215" i="34"/>
  <c r="E209" i="33"/>
  <c r="D209" i="37" s="1"/>
  <c r="C258" i="11"/>
  <c r="C264" i="34"/>
  <c r="E258" i="33"/>
  <c r="D258" i="37" s="1"/>
  <c r="C187" i="11"/>
  <c r="C193" i="34"/>
  <c r="E187" i="33"/>
  <c r="D187" i="37" s="1"/>
  <c r="C109" i="11"/>
  <c r="C115" i="34"/>
  <c r="E109" i="33"/>
  <c r="D109" i="37" s="1"/>
  <c r="C190" i="11"/>
  <c r="C196" i="34"/>
  <c r="E190" i="33"/>
  <c r="D190" i="37" s="1"/>
  <c r="D21" i="19"/>
  <c r="L21" i="19" s="1"/>
  <c r="E233" i="33"/>
  <c r="D233" i="37" s="1"/>
  <c r="C233" i="11"/>
  <c r="C239" i="34"/>
  <c r="C290" i="11"/>
  <c r="C296" i="34"/>
  <c r="E290" i="33"/>
  <c r="D290" i="37" s="1"/>
  <c r="C267" i="11"/>
  <c r="C273" i="34"/>
  <c r="E267" i="33"/>
  <c r="D267" i="37" s="1"/>
  <c r="C239" i="11"/>
  <c r="C245" i="34"/>
  <c r="E239" i="33"/>
  <c r="D239" i="37" s="1"/>
  <c r="E305" i="33"/>
  <c r="D305" i="37" s="1"/>
  <c r="C305" i="11"/>
  <c r="C311" i="34"/>
  <c r="C42" i="11"/>
  <c r="C48" i="34"/>
  <c r="E42" i="33"/>
  <c r="D42" i="37" s="1"/>
  <c r="C101" i="11"/>
  <c r="C107" i="34"/>
  <c r="E101" i="33"/>
  <c r="D101" i="37" s="1"/>
  <c r="E272" i="33"/>
  <c r="D272" i="37" s="1"/>
  <c r="C272" i="11"/>
  <c r="C278" i="34"/>
  <c r="E277" i="33"/>
  <c r="D277" i="37" s="1"/>
  <c r="C277" i="11"/>
  <c r="C283" i="34"/>
  <c r="E22" i="33"/>
  <c r="D22" i="37" s="1"/>
  <c r="C22" i="11"/>
  <c r="C28" i="34"/>
  <c r="C223" i="11"/>
  <c r="C229" i="34"/>
  <c r="E223" i="33"/>
  <c r="D223" i="37" s="1"/>
  <c r="E132" i="33"/>
  <c r="D132" i="37" s="1"/>
  <c r="C132" i="11"/>
  <c r="C138" i="34"/>
  <c r="C182" i="11"/>
  <c r="C188" i="34"/>
  <c r="E182" i="33"/>
  <c r="D182" i="37" s="1"/>
  <c r="C69" i="11"/>
  <c r="C75" i="34"/>
  <c r="E69" i="33"/>
  <c r="D69" i="37" s="1"/>
  <c r="E196" i="33"/>
  <c r="D196" i="37" s="1"/>
  <c r="C196" i="11"/>
  <c r="C202" i="34"/>
  <c r="C85" i="11"/>
  <c r="C91" i="34"/>
  <c r="E85" i="33"/>
  <c r="D85" i="37" s="1"/>
  <c r="C47" i="11"/>
  <c r="C53" i="34"/>
  <c r="E47" i="33"/>
  <c r="D47" i="37" s="1"/>
  <c r="C77" i="11"/>
  <c r="C83" i="34"/>
  <c r="E77" i="33"/>
  <c r="D77" i="37" s="1"/>
  <c r="C89" i="11"/>
  <c r="E89" i="33"/>
  <c r="D89" i="37" s="1"/>
  <c r="C95" i="34"/>
  <c r="E75" i="33"/>
  <c r="D75" i="37" s="1"/>
  <c r="C75" i="11"/>
  <c r="C81" i="34"/>
  <c r="C93" i="11"/>
  <c r="C99" i="34"/>
  <c r="E93" i="33"/>
  <c r="D93" i="37" s="1"/>
  <c r="C279" i="11"/>
  <c r="C285" i="34"/>
  <c r="E279" i="33"/>
  <c r="D279" i="37" s="1"/>
  <c r="C146" i="11"/>
  <c r="C152" i="34"/>
  <c r="E146" i="33"/>
  <c r="D146" i="37" s="1"/>
  <c r="C56" i="11"/>
  <c r="C62" i="34"/>
  <c r="E56" i="33"/>
  <c r="D56" i="37" s="1"/>
  <c r="C138" i="11"/>
  <c r="C144" i="34"/>
  <c r="E138" i="33"/>
  <c r="D138" i="37" s="1"/>
  <c r="C298" i="11"/>
  <c r="C304" i="34"/>
  <c r="E298" i="33"/>
  <c r="D298" i="37" s="1"/>
  <c r="E134" i="33"/>
  <c r="D134" i="37" s="1"/>
  <c r="C134" i="11"/>
  <c r="C140" i="34"/>
  <c r="C74" i="11"/>
  <c r="C80" i="34"/>
  <c r="E74" i="33"/>
  <c r="D74" i="37" s="1"/>
  <c r="E242" i="33"/>
  <c r="D242" i="37" s="1"/>
  <c r="C242" i="11"/>
  <c r="C248" i="34"/>
  <c r="E268" i="33"/>
  <c r="D268" i="37" s="1"/>
  <c r="C268" i="11"/>
  <c r="C274" i="34"/>
  <c r="C50" i="11"/>
  <c r="C56" i="34"/>
  <c r="E50" i="33"/>
  <c r="D50" i="37" s="1"/>
  <c r="E107" i="33"/>
  <c r="D107" i="37" s="1"/>
  <c r="C107" i="11"/>
  <c r="C113" i="34"/>
  <c r="C221" i="11"/>
  <c r="C227" i="34"/>
  <c r="E221" i="33"/>
  <c r="D221" i="37" s="1"/>
  <c r="E99" i="33"/>
  <c r="D99" i="37" s="1"/>
  <c r="C99" i="11"/>
  <c r="C105" i="34"/>
  <c r="E20" i="9"/>
  <c r="C248" i="11"/>
  <c r="C254" i="34"/>
  <c r="E248" i="33"/>
  <c r="D248" i="37" s="1"/>
  <c r="E8" i="33"/>
  <c r="D8" i="37" s="1"/>
  <c r="C8" i="11"/>
  <c r="C14" i="34"/>
  <c r="C180" i="11"/>
  <c r="C186" i="34"/>
  <c r="E180" i="33"/>
  <c r="D180" i="37" s="1"/>
  <c r="E204" i="33"/>
  <c r="D204" i="37" s="1"/>
  <c r="C204" i="11"/>
  <c r="C210" i="34"/>
  <c r="E225" i="33"/>
  <c r="D225" i="37" s="1"/>
  <c r="C225" i="11"/>
  <c r="C231" i="34"/>
  <c r="C65" i="11"/>
  <c r="C71" i="34"/>
  <c r="E65" i="33"/>
  <c r="D65" i="37" s="1"/>
  <c r="E14" i="33"/>
  <c r="D14" i="37" s="1"/>
  <c r="C14" i="11"/>
  <c r="C20" i="34"/>
  <c r="P271" i="19"/>
  <c r="R271" i="19" s="1"/>
  <c r="F271" i="49"/>
  <c r="G271" i="49" s="1"/>
  <c r="E30" i="33"/>
  <c r="D30" i="37" s="1"/>
  <c r="C30" i="11"/>
  <c r="C36" i="34"/>
  <c r="E252" i="33"/>
  <c r="D252" i="37" s="1"/>
  <c r="C252" i="11"/>
  <c r="C258" i="34"/>
  <c r="C83" i="11"/>
  <c r="C89" i="34"/>
  <c r="E83" i="33"/>
  <c r="D83" i="37" s="1"/>
  <c r="C31" i="11"/>
  <c r="C37" i="34"/>
  <c r="E31" i="33"/>
  <c r="D31" i="37" s="1"/>
  <c r="E215" i="33"/>
  <c r="D215" i="37" s="1"/>
  <c r="C215" i="11"/>
  <c r="C221" i="34"/>
  <c r="E44" i="33"/>
  <c r="D44" i="37" s="1"/>
  <c r="C44" i="11"/>
  <c r="C50" i="34"/>
  <c r="E212" i="33"/>
  <c r="D212" i="37" s="1"/>
  <c r="C212" i="11"/>
  <c r="C218" i="34"/>
  <c r="C18" i="11"/>
  <c r="C24" i="34"/>
  <c r="E18" i="33"/>
  <c r="D18" i="37" s="1"/>
  <c r="E241" i="33"/>
  <c r="D241" i="37" s="1"/>
  <c r="C241" i="11"/>
  <c r="C247" i="34"/>
  <c r="C282" i="11"/>
  <c r="C288" i="34"/>
  <c r="E282" i="33"/>
  <c r="D282" i="37" s="1"/>
  <c r="C98" i="11"/>
  <c r="C104" i="34"/>
  <c r="E98" i="33"/>
  <c r="D98" i="37" s="1"/>
  <c r="C251" i="11"/>
  <c r="C257" i="34"/>
  <c r="E251" i="33"/>
  <c r="D251" i="37" s="1"/>
  <c r="E76" i="33"/>
  <c r="D76" i="37" s="1"/>
  <c r="C76" i="11"/>
  <c r="C82" i="34"/>
  <c r="A7" i="49"/>
  <c r="B7" i="49"/>
  <c r="I7" i="49"/>
  <c r="A8" i="49"/>
  <c r="B8" i="49"/>
  <c r="C8" i="49"/>
  <c r="A9" i="49"/>
  <c r="B9" i="49"/>
  <c r="C9" i="49"/>
  <c r="A10" i="49"/>
  <c r="B10" i="49"/>
  <c r="C10" i="49"/>
  <c r="A11" i="49"/>
  <c r="B11" i="49"/>
  <c r="C11" i="49"/>
  <c r="A12" i="49"/>
  <c r="B12" i="49"/>
  <c r="C12" i="49"/>
  <c r="A13" i="49"/>
  <c r="B13" i="49"/>
  <c r="C13" i="49"/>
  <c r="A14" i="49"/>
  <c r="B14" i="49"/>
  <c r="C14" i="49"/>
  <c r="I14" i="49" s="1"/>
  <c r="A15" i="49"/>
  <c r="B15" i="49"/>
  <c r="C15" i="49"/>
  <c r="A16" i="49"/>
  <c r="B16" i="49"/>
  <c r="C16" i="49"/>
  <c r="A17" i="49"/>
  <c r="B17" i="49"/>
  <c r="C17" i="49"/>
  <c r="A18" i="49"/>
  <c r="B18" i="49"/>
  <c r="C18" i="49"/>
  <c r="A19" i="49"/>
  <c r="B19" i="49"/>
  <c r="C19" i="49"/>
  <c r="A20" i="49"/>
  <c r="B20" i="49"/>
  <c r="C20" i="49"/>
  <c r="A21" i="49"/>
  <c r="B21" i="49"/>
  <c r="C21" i="49"/>
  <c r="A22" i="49"/>
  <c r="B22" i="49"/>
  <c r="C22" i="49"/>
  <c r="A23" i="49"/>
  <c r="B23" i="49"/>
  <c r="C23" i="49"/>
  <c r="A24" i="49"/>
  <c r="B24" i="49"/>
  <c r="C24" i="49"/>
  <c r="A25" i="49"/>
  <c r="B25" i="49"/>
  <c r="C25" i="49"/>
  <c r="A26" i="49"/>
  <c r="B26" i="49"/>
  <c r="C26" i="49"/>
  <c r="A27" i="49"/>
  <c r="B27" i="49"/>
  <c r="C27" i="49"/>
  <c r="A28" i="49"/>
  <c r="B28" i="49"/>
  <c r="C28" i="49"/>
  <c r="A29" i="49"/>
  <c r="B29" i="49"/>
  <c r="C29" i="49"/>
  <c r="A30" i="49"/>
  <c r="B30" i="49"/>
  <c r="C30" i="49"/>
  <c r="A31" i="49"/>
  <c r="B31" i="49"/>
  <c r="C31" i="49"/>
  <c r="A32" i="49"/>
  <c r="B32" i="49"/>
  <c r="C32" i="49"/>
  <c r="A33" i="49"/>
  <c r="B33" i="49"/>
  <c r="C33" i="49"/>
  <c r="A34" i="49"/>
  <c r="B34" i="49"/>
  <c r="C34" i="49"/>
  <c r="A35" i="49"/>
  <c r="B35" i="49"/>
  <c r="C35" i="49"/>
  <c r="A36" i="49"/>
  <c r="B36" i="49"/>
  <c r="C36" i="49"/>
  <c r="A37" i="49"/>
  <c r="B37" i="49"/>
  <c r="C37" i="49"/>
  <c r="A38" i="49"/>
  <c r="B38" i="49"/>
  <c r="C38" i="49"/>
  <c r="A39" i="49"/>
  <c r="B39" i="49"/>
  <c r="C39" i="49"/>
  <c r="A40" i="49"/>
  <c r="B40" i="49"/>
  <c r="C40" i="49"/>
  <c r="A41" i="49"/>
  <c r="B41" i="49"/>
  <c r="C41" i="49"/>
  <c r="A42" i="49"/>
  <c r="B42" i="49"/>
  <c r="C42" i="49"/>
  <c r="A43" i="49"/>
  <c r="B43" i="49"/>
  <c r="C43" i="49"/>
  <c r="A44" i="49"/>
  <c r="B44" i="49"/>
  <c r="C44" i="49"/>
  <c r="A45" i="49"/>
  <c r="B45" i="49"/>
  <c r="C45" i="49"/>
  <c r="A46" i="49"/>
  <c r="B46" i="49"/>
  <c r="C46" i="49"/>
  <c r="A47" i="49"/>
  <c r="B47" i="49"/>
  <c r="C47" i="49"/>
  <c r="A48" i="49"/>
  <c r="B48" i="49"/>
  <c r="C48" i="49"/>
  <c r="A49" i="49"/>
  <c r="B49" i="49"/>
  <c r="C49" i="49"/>
  <c r="A50" i="49"/>
  <c r="B50" i="49"/>
  <c r="C50" i="49"/>
  <c r="A51" i="49"/>
  <c r="B51" i="49"/>
  <c r="C51" i="49"/>
  <c r="A52" i="49"/>
  <c r="B52" i="49"/>
  <c r="C52" i="49"/>
  <c r="A53" i="49"/>
  <c r="B53" i="49"/>
  <c r="C53" i="49"/>
  <c r="A54" i="49"/>
  <c r="B54" i="49"/>
  <c r="C54" i="49"/>
  <c r="A55" i="49"/>
  <c r="B55" i="49"/>
  <c r="C55" i="49"/>
  <c r="A56" i="49"/>
  <c r="B56" i="49"/>
  <c r="C56" i="49"/>
  <c r="A57" i="49"/>
  <c r="B57" i="49"/>
  <c r="C57" i="49"/>
  <c r="A58" i="49"/>
  <c r="B58" i="49"/>
  <c r="C58" i="49"/>
  <c r="A59" i="49"/>
  <c r="B59" i="49"/>
  <c r="C59" i="49"/>
  <c r="A60" i="49"/>
  <c r="B60" i="49"/>
  <c r="C60" i="49"/>
  <c r="A61" i="49"/>
  <c r="B61" i="49"/>
  <c r="C61" i="49"/>
  <c r="A62" i="49"/>
  <c r="B62" i="49"/>
  <c r="C62" i="49"/>
  <c r="A63" i="49"/>
  <c r="B63" i="49"/>
  <c r="C63" i="49"/>
  <c r="A64" i="49"/>
  <c r="B64" i="49"/>
  <c r="C64" i="49"/>
  <c r="A65" i="49"/>
  <c r="B65" i="49"/>
  <c r="C65" i="49"/>
  <c r="A66" i="49"/>
  <c r="B66" i="49"/>
  <c r="C66" i="49"/>
  <c r="A67" i="49"/>
  <c r="B67" i="49"/>
  <c r="C67" i="49"/>
  <c r="A68" i="49"/>
  <c r="B68" i="49"/>
  <c r="A69" i="49"/>
  <c r="B69" i="49"/>
  <c r="C69" i="49"/>
  <c r="A70" i="49"/>
  <c r="B70" i="49"/>
  <c r="C70" i="49"/>
  <c r="A71" i="49"/>
  <c r="B71" i="49"/>
  <c r="C71" i="49"/>
  <c r="A72" i="49"/>
  <c r="B72" i="49"/>
  <c r="C72" i="49"/>
  <c r="A73" i="49"/>
  <c r="B73" i="49"/>
  <c r="C73" i="49"/>
  <c r="A74" i="49"/>
  <c r="B74" i="49"/>
  <c r="C74" i="49"/>
  <c r="A75" i="49"/>
  <c r="B75" i="49"/>
  <c r="C75" i="49"/>
  <c r="A76" i="49"/>
  <c r="B76" i="49"/>
  <c r="C76" i="49"/>
  <c r="A77" i="49"/>
  <c r="B77" i="49"/>
  <c r="C77" i="49"/>
  <c r="A78" i="49"/>
  <c r="B78" i="49"/>
  <c r="C78" i="49"/>
  <c r="A79" i="49"/>
  <c r="B79" i="49"/>
  <c r="C79" i="49"/>
  <c r="A80" i="49"/>
  <c r="B80" i="49"/>
  <c r="C80" i="49"/>
  <c r="A81" i="49"/>
  <c r="B81" i="49"/>
  <c r="C81" i="49"/>
  <c r="A82" i="49"/>
  <c r="B82" i="49"/>
  <c r="C82" i="49"/>
  <c r="A83" i="49"/>
  <c r="B83" i="49"/>
  <c r="C83" i="49"/>
  <c r="A84" i="49"/>
  <c r="B84" i="49"/>
  <c r="C84" i="49"/>
  <c r="A85" i="49"/>
  <c r="B85" i="49"/>
  <c r="C85" i="49"/>
  <c r="A86" i="49"/>
  <c r="B86" i="49"/>
  <c r="C86" i="49"/>
  <c r="A87" i="49"/>
  <c r="B87" i="49"/>
  <c r="C87" i="49"/>
  <c r="A88" i="49"/>
  <c r="B88" i="49"/>
  <c r="C88" i="49"/>
  <c r="A89" i="49"/>
  <c r="B89" i="49"/>
  <c r="C89" i="49"/>
  <c r="A90" i="49"/>
  <c r="B90" i="49"/>
  <c r="C90" i="49"/>
  <c r="A91" i="49"/>
  <c r="B91" i="49"/>
  <c r="C91" i="49"/>
  <c r="A92" i="49"/>
  <c r="B92" i="49"/>
  <c r="C92" i="49"/>
  <c r="A93" i="49"/>
  <c r="B93" i="49"/>
  <c r="C93" i="49"/>
  <c r="A94" i="49"/>
  <c r="B94" i="49"/>
  <c r="C94" i="49"/>
  <c r="A95" i="49"/>
  <c r="B95" i="49"/>
  <c r="C95" i="49"/>
  <c r="A96" i="49"/>
  <c r="B96" i="49"/>
  <c r="C96" i="49"/>
  <c r="A97" i="49"/>
  <c r="B97" i="49"/>
  <c r="C97" i="49"/>
  <c r="A98" i="49"/>
  <c r="B98" i="49"/>
  <c r="C98" i="49"/>
  <c r="A99" i="49"/>
  <c r="B99" i="49"/>
  <c r="C99" i="49"/>
  <c r="A100" i="49"/>
  <c r="B100" i="49"/>
  <c r="C100" i="49"/>
  <c r="A101" i="49"/>
  <c r="B101" i="49"/>
  <c r="C101" i="49"/>
  <c r="A102" i="49"/>
  <c r="B102" i="49"/>
  <c r="C102" i="49"/>
  <c r="A103" i="49"/>
  <c r="B103" i="49"/>
  <c r="C103" i="49"/>
  <c r="A104" i="49"/>
  <c r="B104" i="49"/>
  <c r="C104" i="49"/>
  <c r="A105" i="49"/>
  <c r="B105" i="49"/>
  <c r="C105" i="49"/>
  <c r="A106" i="49"/>
  <c r="B106" i="49"/>
  <c r="C106" i="49"/>
  <c r="I106" i="49" s="1"/>
  <c r="A107" i="49"/>
  <c r="B107" i="49"/>
  <c r="C107" i="49"/>
  <c r="A108" i="49"/>
  <c r="B108" i="49"/>
  <c r="C108" i="49"/>
  <c r="I108" i="49" s="1"/>
  <c r="A109" i="49"/>
  <c r="B109" i="49"/>
  <c r="C109" i="49"/>
  <c r="A110" i="49"/>
  <c r="B110" i="49"/>
  <c r="C110" i="49"/>
  <c r="A111" i="49"/>
  <c r="B111" i="49"/>
  <c r="C111" i="49"/>
  <c r="I111" i="49" s="1"/>
  <c r="A112" i="49"/>
  <c r="B112" i="49"/>
  <c r="C112" i="49"/>
  <c r="A113" i="49"/>
  <c r="B113" i="49"/>
  <c r="C113" i="49"/>
  <c r="I113" i="49" s="1"/>
  <c r="A114" i="49"/>
  <c r="B114" i="49"/>
  <c r="C114" i="49"/>
  <c r="I114" i="49" s="1"/>
  <c r="A115" i="49"/>
  <c r="B115" i="49"/>
  <c r="C115" i="49"/>
  <c r="I115" i="49" s="1"/>
  <c r="A116" i="49"/>
  <c r="B116" i="49"/>
  <c r="C116" i="49"/>
  <c r="I116" i="49" s="1"/>
  <c r="A117" i="49"/>
  <c r="B117" i="49"/>
  <c r="C117" i="49"/>
  <c r="A118" i="49"/>
  <c r="B118" i="49"/>
  <c r="C118" i="49"/>
  <c r="I118" i="49" s="1"/>
  <c r="A119" i="49"/>
  <c r="B119" i="49"/>
  <c r="C119" i="49"/>
  <c r="A120" i="49"/>
  <c r="B120" i="49"/>
  <c r="C120" i="49"/>
  <c r="I120" i="49" s="1"/>
  <c r="A121" i="49"/>
  <c r="B121" i="49"/>
  <c r="C121" i="49"/>
  <c r="I121" i="49" s="1"/>
  <c r="A122" i="49"/>
  <c r="B122" i="49"/>
  <c r="C122" i="49"/>
  <c r="I122" i="49" s="1"/>
  <c r="A123" i="49"/>
  <c r="B123" i="49"/>
  <c r="C123" i="49"/>
  <c r="I123" i="49" s="1"/>
  <c r="A124" i="49"/>
  <c r="B124" i="49"/>
  <c r="C124" i="49"/>
  <c r="I124" i="49" s="1"/>
  <c r="A125" i="49"/>
  <c r="B125" i="49"/>
  <c r="C125" i="49"/>
  <c r="I125" i="49" s="1"/>
  <c r="A126" i="49"/>
  <c r="B126" i="49"/>
  <c r="C126" i="49"/>
  <c r="A127" i="49"/>
  <c r="B127" i="49"/>
  <c r="C127" i="49"/>
  <c r="A128" i="49"/>
  <c r="B128" i="49"/>
  <c r="C128" i="49"/>
  <c r="I128" i="49" s="1"/>
  <c r="A129" i="49"/>
  <c r="B129" i="49"/>
  <c r="C129" i="49"/>
  <c r="I129" i="49" s="1"/>
  <c r="A130" i="49"/>
  <c r="B130" i="49"/>
  <c r="C130" i="49"/>
  <c r="I130" i="49" s="1"/>
  <c r="A131" i="49"/>
  <c r="B131" i="49"/>
  <c r="C131" i="49"/>
  <c r="A132" i="49"/>
  <c r="B132" i="49"/>
  <c r="C132" i="49"/>
  <c r="A133" i="49"/>
  <c r="B133" i="49"/>
  <c r="C133" i="49"/>
  <c r="A134" i="49"/>
  <c r="B134" i="49"/>
  <c r="C134" i="49"/>
  <c r="A135" i="49"/>
  <c r="B135" i="49"/>
  <c r="C135" i="49"/>
  <c r="A136" i="49"/>
  <c r="B136" i="49"/>
  <c r="C136" i="49"/>
  <c r="A137" i="49"/>
  <c r="B137" i="49"/>
  <c r="C137" i="49"/>
  <c r="I137" i="49" s="1"/>
  <c r="A138" i="49"/>
  <c r="B138" i="49"/>
  <c r="C138" i="49"/>
  <c r="A139" i="49"/>
  <c r="B139" i="49"/>
  <c r="C139" i="49"/>
  <c r="A140" i="49"/>
  <c r="B140" i="49"/>
  <c r="C140" i="49"/>
  <c r="A141" i="49"/>
  <c r="B141" i="49"/>
  <c r="C141" i="49"/>
  <c r="A142" i="49"/>
  <c r="B142" i="49"/>
  <c r="C142" i="49"/>
  <c r="I142" i="49" s="1"/>
  <c r="A143" i="49"/>
  <c r="B143" i="49"/>
  <c r="C143" i="49"/>
  <c r="I143" i="49" s="1"/>
  <c r="A144" i="49"/>
  <c r="B144" i="49"/>
  <c r="C144" i="49"/>
  <c r="I144" i="49" s="1"/>
  <c r="A145" i="49"/>
  <c r="B145" i="49"/>
  <c r="C145" i="49"/>
  <c r="A146" i="49"/>
  <c r="B146" i="49"/>
  <c r="C146" i="49"/>
  <c r="I146" i="49" s="1"/>
  <c r="A147" i="49"/>
  <c r="B147" i="49"/>
  <c r="C147" i="49"/>
  <c r="I147" i="49" s="1"/>
  <c r="A148" i="49"/>
  <c r="B148" i="49"/>
  <c r="C148" i="49"/>
  <c r="I148" i="49" s="1"/>
  <c r="A149" i="49"/>
  <c r="B149" i="49"/>
  <c r="C149" i="49"/>
  <c r="A150" i="49"/>
  <c r="B150" i="49"/>
  <c r="C150" i="49"/>
  <c r="I150" i="49" s="1"/>
  <c r="A151" i="49"/>
  <c r="B151" i="49"/>
  <c r="C151" i="49"/>
  <c r="A152" i="49"/>
  <c r="B152" i="49"/>
  <c r="C152" i="49"/>
  <c r="A153" i="49"/>
  <c r="B153" i="49"/>
  <c r="C153" i="49"/>
  <c r="A154" i="49"/>
  <c r="B154" i="49"/>
  <c r="C154" i="49"/>
  <c r="A155" i="49"/>
  <c r="B155" i="49"/>
  <c r="A156" i="49"/>
  <c r="B156" i="49"/>
  <c r="C156" i="49"/>
  <c r="A157" i="49"/>
  <c r="B157" i="49"/>
  <c r="C157" i="49"/>
  <c r="A158" i="49"/>
  <c r="B158" i="49"/>
  <c r="C158" i="49"/>
  <c r="A159" i="49"/>
  <c r="B159" i="49"/>
  <c r="C159" i="49"/>
  <c r="A160" i="49"/>
  <c r="B160" i="49"/>
  <c r="C160" i="49"/>
  <c r="A161" i="49"/>
  <c r="B161" i="49"/>
  <c r="C161" i="49"/>
  <c r="A162" i="49"/>
  <c r="B162" i="49"/>
  <c r="C162" i="49"/>
  <c r="A163" i="49"/>
  <c r="B163" i="49"/>
  <c r="C163" i="49"/>
  <c r="A164" i="49"/>
  <c r="B164" i="49"/>
  <c r="C164" i="49"/>
  <c r="A165" i="49"/>
  <c r="B165" i="49"/>
  <c r="C165" i="49"/>
  <c r="A166" i="49"/>
  <c r="B166" i="49"/>
  <c r="C166" i="49"/>
  <c r="A167" i="49"/>
  <c r="B167" i="49"/>
  <c r="C167" i="49"/>
  <c r="A168" i="49"/>
  <c r="B168" i="49"/>
  <c r="C168" i="49"/>
  <c r="A169" i="49"/>
  <c r="B169" i="49"/>
  <c r="C169" i="49"/>
  <c r="A170" i="49"/>
  <c r="B170" i="49"/>
  <c r="C170" i="49"/>
  <c r="A171" i="49"/>
  <c r="B171" i="49"/>
  <c r="C171" i="49"/>
  <c r="A172" i="49"/>
  <c r="B172" i="49"/>
  <c r="C172" i="49"/>
  <c r="A173" i="49"/>
  <c r="B173" i="49"/>
  <c r="C173" i="49"/>
  <c r="A174" i="49"/>
  <c r="B174" i="49"/>
  <c r="C174" i="49"/>
  <c r="A175" i="49"/>
  <c r="B175" i="49"/>
  <c r="C175" i="49"/>
  <c r="A176" i="49"/>
  <c r="B176" i="49"/>
  <c r="C176" i="49"/>
  <c r="A177" i="49"/>
  <c r="B177" i="49"/>
  <c r="C177" i="49"/>
  <c r="A178" i="49"/>
  <c r="B178" i="49"/>
  <c r="C178" i="49"/>
  <c r="A179" i="49"/>
  <c r="B179" i="49"/>
  <c r="C179" i="49"/>
  <c r="A180" i="49"/>
  <c r="B180" i="49"/>
  <c r="C180" i="49"/>
  <c r="A181" i="49"/>
  <c r="B181" i="49"/>
  <c r="C181" i="49"/>
  <c r="A182" i="49"/>
  <c r="B182" i="49"/>
  <c r="C182" i="49"/>
  <c r="A183" i="49"/>
  <c r="B183" i="49"/>
  <c r="C183" i="49"/>
  <c r="A184" i="49"/>
  <c r="B184" i="49"/>
  <c r="C184" i="49"/>
  <c r="I184" i="49" s="1"/>
  <c r="A185" i="49"/>
  <c r="B185" i="49"/>
  <c r="C185" i="49"/>
  <c r="A186" i="49"/>
  <c r="B186" i="49"/>
  <c r="C186" i="49"/>
  <c r="A187" i="49"/>
  <c r="B187" i="49"/>
  <c r="C187" i="49"/>
  <c r="A188" i="49"/>
  <c r="B188" i="49"/>
  <c r="C188" i="49"/>
  <c r="A189" i="49"/>
  <c r="B189" i="49"/>
  <c r="C189" i="49"/>
  <c r="A190" i="49"/>
  <c r="B190" i="49"/>
  <c r="C190" i="49"/>
  <c r="A191" i="49"/>
  <c r="B191" i="49"/>
  <c r="C191" i="49"/>
  <c r="A192" i="49"/>
  <c r="B192" i="49"/>
  <c r="C192" i="49"/>
  <c r="A193" i="49"/>
  <c r="B193" i="49"/>
  <c r="C193" i="49"/>
  <c r="A194" i="49"/>
  <c r="B194" i="49"/>
  <c r="C194" i="49"/>
  <c r="A195" i="49"/>
  <c r="B195" i="49"/>
  <c r="C195" i="49"/>
  <c r="I195" i="49" s="1"/>
  <c r="A196" i="49"/>
  <c r="B196" i="49"/>
  <c r="C196" i="49"/>
  <c r="I196" i="49" s="1"/>
  <c r="A197" i="49"/>
  <c r="B197" i="49"/>
  <c r="C197" i="49"/>
  <c r="A198" i="49"/>
  <c r="B198" i="49"/>
  <c r="C198" i="49"/>
  <c r="A199" i="49"/>
  <c r="B199" i="49"/>
  <c r="C199" i="49"/>
  <c r="A200" i="49"/>
  <c r="B200" i="49"/>
  <c r="C200" i="49"/>
  <c r="A201" i="49"/>
  <c r="B201" i="49"/>
  <c r="C201" i="49"/>
  <c r="A202" i="49"/>
  <c r="B202" i="49"/>
  <c r="C202" i="49"/>
  <c r="A203" i="49"/>
  <c r="B203" i="49"/>
  <c r="C203" i="49"/>
  <c r="A204" i="49"/>
  <c r="B204" i="49"/>
  <c r="C204" i="49"/>
  <c r="A205" i="49"/>
  <c r="B205" i="49"/>
  <c r="C205" i="49"/>
  <c r="A206" i="49"/>
  <c r="B206" i="49"/>
  <c r="C206" i="49"/>
  <c r="A207" i="49"/>
  <c r="B207" i="49"/>
  <c r="C207" i="49"/>
  <c r="A208" i="49"/>
  <c r="B208" i="49"/>
  <c r="C208" i="49"/>
  <c r="A209" i="49"/>
  <c r="B209" i="49"/>
  <c r="C209" i="49"/>
  <c r="A210" i="49"/>
  <c r="B210" i="49"/>
  <c r="C210" i="49"/>
  <c r="A211" i="49"/>
  <c r="B211" i="49"/>
  <c r="C211" i="49"/>
  <c r="A212" i="49"/>
  <c r="B212" i="49"/>
  <c r="C212" i="49"/>
  <c r="A213" i="49"/>
  <c r="B213" i="49"/>
  <c r="C213" i="49"/>
  <c r="A214" i="49"/>
  <c r="B214" i="49"/>
  <c r="C214" i="49"/>
  <c r="A215" i="49"/>
  <c r="B215" i="49"/>
  <c r="C215" i="49"/>
  <c r="A216" i="49"/>
  <c r="B216" i="49"/>
  <c r="C216" i="49"/>
  <c r="A217" i="49"/>
  <c r="B217" i="49"/>
  <c r="A218" i="49"/>
  <c r="B218" i="49"/>
  <c r="A219" i="49"/>
  <c r="B219" i="49"/>
  <c r="C219" i="49"/>
  <c r="A220" i="49"/>
  <c r="B220" i="49"/>
  <c r="C220" i="49"/>
  <c r="A221" i="49"/>
  <c r="B221" i="49"/>
  <c r="C221" i="49"/>
  <c r="A222" i="49"/>
  <c r="B222" i="49"/>
  <c r="C222" i="49"/>
  <c r="A223" i="49"/>
  <c r="B223" i="49"/>
  <c r="C223" i="49"/>
  <c r="A224" i="49"/>
  <c r="B224" i="49"/>
  <c r="C224" i="49"/>
  <c r="A225" i="49"/>
  <c r="B225" i="49"/>
  <c r="C225" i="49"/>
  <c r="A226" i="49"/>
  <c r="B226" i="49"/>
  <c r="C226" i="49"/>
  <c r="A227" i="49"/>
  <c r="B227" i="49"/>
  <c r="C227" i="49"/>
  <c r="A228" i="49"/>
  <c r="B228" i="49"/>
  <c r="C228" i="49"/>
  <c r="A229" i="49"/>
  <c r="B229" i="49"/>
  <c r="C229" i="49"/>
  <c r="A230" i="49"/>
  <c r="B230" i="49"/>
  <c r="C230" i="49"/>
  <c r="A231" i="49"/>
  <c r="B231" i="49"/>
  <c r="C231" i="49"/>
  <c r="A232" i="49"/>
  <c r="B232" i="49"/>
  <c r="C232" i="49"/>
  <c r="A233" i="49"/>
  <c r="B233" i="49"/>
  <c r="C233" i="49"/>
  <c r="A234" i="49"/>
  <c r="B234" i="49"/>
  <c r="C234" i="49"/>
  <c r="A235" i="49"/>
  <c r="B235" i="49"/>
  <c r="A236" i="49"/>
  <c r="B236" i="49"/>
  <c r="C236" i="49"/>
  <c r="A237" i="49"/>
  <c r="B237" i="49"/>
  <c r="C237" i="49"/>
  <c r="A238" i="49"/>
  <c r="B238" i="49"/>
  <c r="C238" i="49"/>
  <c r="A239" i="49"/>
  <c r="B239" i="49"/>
  <c r="C239" i="49"/>
  <c r="A240" i="49"/>
  <c r="B240" i="49"/>
  <c r="C240" i="49"/>
  <c r="A241" i="49"/>
  <c r="B241" i="49"/>
  <c r="C241" i="49"/>
  <c r="A242" i="49"/>
  <c r="B242" i="49"/>
  <c r="C242" i="49"/>
  <c r="A243" i="49"/>
  <c r="B243" i="49"/>
  <c r="C243" i="49"/>
  <c r="A244" i="49"/>
  <c r="B244" i="49"/>
  <c r="C244" i="49"/>
  <c r="A245" i="49"/>
  <c r="B245" i="49"/>
  <c r="C245" i="49"/>
  <c r="A246" i="49"/>
  <c r="B246" i="49"/>
  <c r="C246" i="49"/>
  <c r="A247" i="49"/>
  <c r="B247" i="49"/>
  <c r="C247" i="49"/>
  <c r="A248" i="49"/>
  <c r="B248" i="49"/>
  <c r="C248" i="49"/>
  <c r="A249" i="49"/>
  <c r="B249" i="49"/>
  <c r="C249" i="49"/>
  <c r="A250" i="49"/>
  <c r="B250" i="49"/>
  <c r="C250" i="49"/>
  <c r="A251" i="49"/>
  <c r="B251" i="49"/>
  <c r="C251" i="49"/>
  <c r="A252" i="49"/>
  <c r="B252" i="49"/>
  <c r="C252" i="49"/>
  <c r="A253" i="49"/>
  <c r="B253" i="49"/>
  <c r="C253" i="49"/>
  <c r="A254" i="49"/>
  <c r="B254" i="49"/>
  <c r="C254" i="49"/>
  <c r="A255" i="49"/>
  <c r="B255" i="49"/>
  <c r="C255" i="49"/>
  <c r="A256" i="49"/>
  <c r="B256" i="49"/>
  <c r="C256" i="49"/>
  <c r="A257" i="49"/>
  <c r="B257" i="49"/>
  <c r="C257" i="49"/>
  <c r="A258" i="49"/>
  <c r="B258" i="49"/>
  <c r="C258" i="49"/>
  <c r="A259" i="49"/>
  <c r="B259" i="49"/>
  <c r="C259" i="49"/>
  <c r="A260" i="49"/>
  <c r="B260" i="49"/>
  <c r="C260" i="49"/>
  <c r="A261" i="49"/>
  <c r="B261" i="49"/>
  <c r="C261" i="49"/>
  <c r="A262" i="49"/>
  <c r="B262" i="49"/>
  <c r="C262" i="49"/>
  <c r="A263" i="49"/>
  <c r="B263" i="49"/>
  <c r="C263" i="49"/>
  <c r="A264" i="49"/>
  <c r="B264" i="49"/>
  <c r="C264" i="49"/>
  <c r="A265" i="49"/>
  <c r="B265" i="49"/>
  <c r="C265" i="49"/>
  <c r="A266" i="49"/>
  <c r="B266" i="49"/>
  <c r="C266" i="49"/>
  <c r="A267" i="49"/>
  <c r="B267" i="49"/>
  <c r="C267" i="49"/>
  <c r="I267" i="49" s="1"/>
  <c r="A268" i="49"/>
  <c r="B268" i="49"/>
  <c r="C268" i="49"/>
  <c r="I268" i="49" s="1"/>
  <c r="A269" i="49"/>
  <c r="B269" i="49"/>
  <c r="C269" i="49"/>
  <c r="I269" i="49" s="1"/>
  <c r="A270" i="49"/>
  <c r="B270" i="49"/>
  <c r="C270" i="49"/>
  <c r="I270" i="49" s="1"/>
  <c r="A271" i="49"/>
  <c r="B271" i="49"/>
  <c r="C271" i="49"/>
  <c r="I271" i="49" s="1"/>
  <c r="A272" i="49"/>
  <c r="B272" i="49"/>
  <c r="C272" i="49"/>
  <c r="I272" i="49" s="1"/>
  <c r="A273" i="49"/>
  <c r="B273" i="49"/>
  <c r="C273" i="49"/>
  <c r="I273" i="49" s="1"/>
  <c r="A274" i="49"/>
  <c r="B274" i="49"/>
  <c r="C274" i="49"/>
  <c r="I274" i="49" s="1"/>
  <c r="A275" i="49"/>
  <c r="B275" i="49"/>
  <c r="A276" i="49"/>
  <c r="B276" i="49"/>
  <c r="C276" i="49"/>
  <c r="A277" i="49"/>
  <c r="B277" i="49"/>
  <c r="C277" i="49"/>
  <c r="A278" i="49"/>
  <c r="B278" i="49"/>
  <c r="C278" i="49"/>
  <c r="I278" i="49" s="1"/>
  <c r="A279" i="49"/>
  <c r="B279" i="49"/>
  <c r="C279" i="49"/>
  <c r="A280" i="49"/>
  <c r="B280" i="49"/>
  <c r="C280" i="49"/>
  <c r="A281" i="49"/>
  <c r="B281" i="49"/>
  <c r="C281" i="49"/>
  <c r="A282" i="49"/>
  <c r="B282" i="49"/>
  <c r="C282" i="49"/>
  <c r="I282" i="49" s="1"/>
  <c r="A283" i="49"/>
  <c r="B283" i="49"/>
  <c r="C283" i="49"/>
  <c r="A284" i="49"/>
  <c r="B284" i="49"/>
  <c r="C284" i="49"/>
  <c r="A285" i="49"/>
  <c r="B285" i="49"/>
  <c r="C285" i="49"/>
  <c r="A286" i="49"/>
  <c r="B286" i="49"/>
  <c r="C286" i="49"/>
  <c r="A287" i="49"/>
  <c r="B287" i="49"/>
  <c r="C287" i="49"/>
  <c r="I287" i="49" s="1"/>
  <c r="A288" i="49"/>
  <c r="B288" i="49"/>
  <c r="C288" i="49"/>
  <c r="I288" i="49" s="1"/>
  <c r="A289" i="49"/>
  <c r="B289" i="49"/>
  <c r="C289" i="49"/>
  <c r="A290" i="49"/>
  <c r="B290" i="49"/>
  <c r="C290" i="49"/>
  <c r="A291" i="49"/>
  <c r="B291" i="49"/>
  <c r="C291" i="49"/>
  <c r="A292" i="49"/>
  <c r="B292" i="49"/>
  <c r="C292" i="49"/>
  <c r="A293" i="49"/>
  <c r="B293" i="49"/>
  <c r="C293" i="49"/>
  <c r="A294" i="49"/>
  <c r="B294" i="49"/>
  <c r="C294" i="49"/>
  <c r="I294" i="49" s="1"/>
  <c r="A295" i="49"/>
  <c r="B295" i="49"/>
  <c r="C295" i="49"/>
  <c r="A296" i="49"/>
  <c r="B296" i="49"/>
  <c r="C296" i="49"/>
  <c r="I296" i="49" s="1"/>
  <c r="A297" i="49"/>
  <c r="B297" i="49"/>
  <c r="C297" i="49"/>
  <c r="I297" i="49" s="1"/>
  <c r="A298" i="49"/>
  <c r="B298" i="49"/>
  <c r="C298" i="49"/>
  <c r="I298" i="49" s="1"/>
  <c r="A299" i="49"/>
  <c r="B299" i="49"/>
  <c r="C299" i="49"/>
  <c r="A300" i="49"/>
  <c r="B300" i="49"/>
  <c r="C300" i="49"/>
  <c r="A301" i="49"/>
  <c r="B301" i="49"/>
  <c r="C301" i="49"/>
  <c r="A302" i="49"/>
  <c r="B302" i="49"/>
  <c r="C302" i="49"/>
  <c r="A303" i="49"/>
  <c r="B303" i="49"/>
  <c r="C303" i="49"/>
  <c r="A304" i="49"/>
  <c r="B304" i="49"/>
  <c r="C304" i="49"/>
  <c r="I304" i="49" s="1"/>
  <c r="A305" i="49"/>
  <c r="B305" i="49"/>
  <c r="C305" i="49"/>
  <c r="C68" i="49"/>
  <c r="C235" i="49"/>
  <c r="F137" i="49" l="1"/>
  <c r="G137" i="49" s="1"/>
  <c r="P137" i="19"/>
  <c r="R137" i="19" s="1"/>
  <c r="F120" i="49"/>
  <c r="G120" i="49" s="1"/>
  <c r="P120" i="19"/>
  <c r="R120" i="19" s="1"/>
  <c r="E270" i="25"/>
  <c r="J271" i="49"/>
  <c r="C271" i="13"/>
  <c r="C271" i="39"/>
  <c r="C271" i="12"/>
  <c r="C277" i="9"/>
  <c r="C271" i="33"/>
  <c r="P261" i="19"/>
  <c r="R261" i="19" s="1"/>
  <c r="F261" i="49"/>
  <c r="G261" i="49" s="1"/>
  <c r="F113" i="49"/>
  <c r="G113" i="49" s="1"/>
  <c r="P113" i="19"/>
  <c r="R113" i="19" s="1"/>
  <c r="F175" i="49"/>
  <c r="G175" i="49" s="1"/>
  <c r="P175" i="19"/>
  <c r="R175" i="19" s="1"/>
  <c r="F143" i="49"/>
  <c r="G143" i="49" s="1"/>
  <c r="P143" i="19"/>
  <c r="R143" i="19" s="1"/>
  <c r="F21" i="49"/>
  <c r="G21" i="49" s="1"/>
  <c r="P21" i="19"/>
  <c r="R21" i="19" s="1"/>
  <c r="AL235" i="42"/>
  <c r="AD235" i="42"/>
  <c r="AL68" i="42"/>
  <c r="AD68" i="42"/>
  <c r="C155" i="49"/>
  <c r="C275" i="49"/>
  <c r="I275" i="49" s="1"/>
  <c r="E112" i="25" l="1"/>
  <c r="J113" i="49"/>
  <c r="C113" i="39"/>
  <c r="C113" i="12"/>
  <c r="C113" i="13"/>
  <c r="C113" i="33"/>
  <c r="C119" i="9"/>
  <c r="C271" i="11"/>
  <c r="C277" i="34"/>
  <c r="E271" i="33"/>
  <c r="D271" i="37" s="1"/>
  <c r="E142" i="25"/>
  <c r="J143" i="49"/>
  <c r="C143" i="13"/>
  <c r="C143" i="39"/>
  <c r="C143" i="12"/>
  <c r="C143" i="33"/>
  <c r="C149" i="9"/>
  <c r="E20" i="25"/>
  <c r="J21" i="49"/>
  <c r="C21" i="13"/>
  <c r="C21" i="39"/>
  <c r="C21" i="12"/>
  <c r="C21" i="33"/>
  <c r="C27" i="9"/>
  <c r="J261" i="49"/>
  <c r="E260" i="25"/>
  <c r="C261" i="39"/>
  <c r="C261" i="12"/>
  <c r="C261" i="13"/>
  <c r="C261" i="33"/>
  <c r="C267" i="9"/>
  <c r="J175" i="49"/>
  <c r="E174" i="25"/>
  <c r="C175" i="39"/>
  <c r="C175" i="12"/>
  <c r="C175" i="13"/>
  <c r="C175" i="33"/>
  <c r="C181" i="9"/>
  <c r="E119" i="25"/>
  <c r="J120" i="49"/>
  <c r="C120" i="13"/>
  <c r="C120" i="12"/>
  <c r="C120" i="39"/>
  <c r="C120" i="33"/>
  <c r="C126" i="9"/>
  <c r="E136" i="25"/>
  <c r="J137" i="49"/>
  <c r="C137" i="39"/>
  <c r="C137" i="12"/>
  <c r="C137" i="13"/>
  <c r="C137" i="33"/>
  <c r="C143" i="9"/>
  <c r="AK149" i="42"/>
  <c r="AE64" i="42"/>
  <c r="AK25" i="42"/>
  <c r="AK296" i="42"/>
  <c r="AC190" i="42"/>
  <c r="AC160" i="42"/>
  <c r="AC19" i="42"/>
  <c r="AE230" i="42"/>
  <c r="AE192" i="42"/>
  <c r="AC59" i="42"/>
  <c r="AC188" i="42"/>
  <c r="AC180" i="42"/>
  <c r="AE198" i="42"/>
  <c r="AC27" i="42"/>
  <c r="AM35" i="42"/>
  <c r="AC133" i="42"/>
  <c r="AD155" i="42"/>
  <c r="AK224" i="42"/>
  <c r="AC224" i="42"/>
  <c r="AM224" i="42"/>
  <c r="AE224" i="42"/>
  <c r="AK266" i="42"/>
  <c r="AC266" i="42"/>
  <c r="AE266" i="42"/>
  <c r="AM266" i="42"/>
  <c r="AK63" i="42"/>
  <c r="AC63" i="42"/>
  <c r="AE63" i="42"/>
  <c r="AM63" i="42"/>
  <c r="AK158" i="42"/>
  <c r="AC158" i="42"/>
  <c r="AE158" i="42"/>
  <c r="AM158" i="42"/>
  <c r="AK182" i="42"/>
  <c r="AC182" i="42"/>
  <c r="AE182" i="42"/>
  <c r="AM182" i="42"/>
  <c r="AK156" i="42"/>
  <c r="AM156" i="42"/>
  <c r="AC156" i="42"/>
  <c r="AE156" i="42"/>
  <c r="AK172" i="42"/>
  <c r="AM172" i="42"/>
  <c r="AE172" i="42"/>
  <c r="AC172" i="42"/>
  <c r="AK176" i="42"/>
  <c r="AC176" i="42"/>
  <c r="AM176" i="42"/>
  <c r="AE176" i="42"/>
  <c r="AK240" i="42"/>
  <c r="AC240" i="42"/>
  <c r="AE240" i="42"/>
  <c r="AM240" i="42"/>
  <c r="AK300" i="42"/>
  <c r="AC300" i="42"/>
  <c r="AE300" i="42"/>
  <c r="AM300" i="42"/>
  <c r="AK184" i="42"/>
  <c r="AC184" i="42"/>
  <c r="AE184" i="42"/>
  <c r="AM184" i="42"/>
  <c r="AK220" i="42"/>
  <c r="AC220" i="42"/>
  <c r="AE220" i="42"/>
  <c r="AM220" i="42"/>
  <c r="AK141" i="42"/>
  <c r="AM141" i="42"/>
  <c r="AC141" i="42"/>
  <c r="AE141" i="42"/>
  <c r="AK206" i="42"/>
  <c r="AE206" i="42"/>
  <c r="AC206" i="42"/>
  <c r="AM206" i="42"/>
  <c r="AK270" i="42"/>
  <c r="AC270" i="42"/>
  <c r="AE270" i="42"/>
  <c r="AM270" i="42"/>
  <c r="AK164" i="42"/>
  <c r="AM164" i="42"/>
  <c r="AC164" i="42"/>
  <c r="AE164" i="42"/>
  <c r="AK37" i="42"/>
  <c r="AC37" i="42"/>
  <c r="AE37" i="42"/>
  <c r="AM37" i="42"/>
  <c r="AD275" i="42"/>
  <c r="AK23" i="42"/>
  <c r="AC23" i="42"/>
  <c r="AE23" i="42"/>
  <c r="AM23" i="42"/>
  <c r="AK31" i="42"/>
  <c r="AC31" i="42"/>
  <c r="AE31" i="42"/>
  <c r="AM31" i="42"/>
  <c r="AK39" i="42"/>
  <c r="AC39" i="42"/>
  <c r="AE39" i="42"/>
  <c r="AM39" i="42"/>
  <c r="AK190" i="42"/>
  <c r="AE190" i="42"/>
  <c r="AK280" i="42"/>
  <c r="AC280" i="42"/>
  <c r="AE280" i="42"/>
  <c r="AM280" i="42"/>
  <c r="AK282" i="42"/>
  <c r="AC282" i="42"/>
  <c r="AE282" i="42"/>
  <c r="AM282" i="42"/>
  <c r="AK304" i="42"/>
  <c r="AC304" i="42"/>
  <c r="AE304" i="42"/>
  <c r="AM304" i="42"/>
  <c r="AK160" i="42"/>
  <c r="AK196" i="42"/>
  <c r="AC196" i="42"/>
  <c r="AE196" i="42"/>
  <c r="AM196" i="42"/>
  <c r="AK216" i="42"/>
  <c r="AC216" i="42"/>
  <c r="AM216" i="42"/>
  <c r="AE216" i="42"/>
  <c r="AK254" i="42"/>
  <c r="AC254" i="42"/>
  <c r="AM254" i="42"/>
  <c r="AE254" i="42"/>
  <c r="AK166" i="42"/>
  <c r="AC166" i="42"/>
  <c r="AE166" i="42"/>
  <c r="AM166" i="42"/>
  <c r="AK226" i="42"/>
  <c r="AE226" i="42"/>
  <c r="AK51" i="42"/>
  <c r="AM51" i="42"/>
  <c r="AC51" i="42"/>
  <c r="AE51" i="42"/>
  <c r="AK208" i="42"/>
  <c r="AC208" i="42"/>
  <c r="AE208" i="42"/>
  <c r="AM208" i="42"/>
  <c r="AK9" i="42"/>
  <c r="AC9" i="42"/>
  <c r="AE9" i="42"/>
  <c r="AM9" i="42"/>
  <c r="AL275" i="42"/>
  <c r="AK55" i="42"/>
  <c r="AC55" i="42"/>
  <c r="AE55" i="42"/>
  <c r="AM55" i="42"/>
  <c r="AK284" i="42"/>
  <c r="AC284" i="42"/>
  <c r="AE284" i="42"/>
  <c r="AM284" i="42"/>
  <c r="AM278" i="42"/>
  <c r="AK278" i="42"/>
  <c r="AE278" i="42"/>
  <c r="AC278" i="42"/>
  <c r="AK145" i="42"/>
  <c r="AC145" i="42"/>
  <c r="AM145" i="42"/>
  <c r="AE145" i="42"/>
  <c r="AE222" i="42"/>
  <c r="AE149" i="42"/>
  <c r="AL155" i="42"/>
  <c r="AK27" i="42"/>
  <c r="AM27" i="42"/>
  <c r="AK194" i="42"/>
  <c r="AC194" i="42"/>
  <c r="AM194" i="42"/>
  <c r="AE194" i="42"/>
  <c r="AK168" i="42"/>
  <c r="AC168" i="42"/>
  <c r="AE168" i="42"/>
  <c r="AM168" i="42"/>
  <c r="AK234" i="42"/>
  <c r="AC234" i="42"/>
  <c r="AE234" i="42"/>
  <c r="AM234" i="42"/>
  <c r="AK174" i="42"/>
  <c r="AC174" i="42"/>
  <c r="AE174" i="42"/>
  <c r="AM174" i="42"/>
  <c r="AK214" i="42"/>
  <c r="AC214" i="42"/>
  <c r="AE214" i="42"/>
  <c r="AM214" i="42"/>
  <c r="AK232" i="42"/>
  <c r="AC232" i="42"/>
  <c r="AE232" i="42"/>
  <c r="AM232" i="42"/>
  <c r="AK17" i="42"/>
  <c r="AC17" i="42"/>
  <c r="AM17" i="42"/>
  <c r="AE17" i="42"/>
  <c r="AK153" i="42"/>
  <c r="AC153" i="42"/>
  <c r="AM153" i="42"/>
  <c r="AE153" i="42"/>
  <c r="AK256" i="42"/>
  <c r="AC256" i="42"/>
  <c r="AE256" i="42"/>
  <c r="AM256" i="42"/>
  <c r="AK29" i="42"/>
  <c r="AC29" i="42"/>
  <c r="AM29" i="42"/>
  <c r="AM25" i="42"/>
  <c r="AE25" i="42"/>
  <c r="AC33" i="42"/>
  <c r="AE33" i="42"/>
  <c r="AK294" i="42"/>
  <c r="AC294" i="42"/>
  <c r="AE294" i="42"/>
  <c r="AM294" i="42"/>
  <c r="AK262" i="42"/>
  <c r="AC262" i="42"/>
  <c r="AE262" i="42"/>
  <c r="AM262" i="42"/>
  <c r="AK272" i="42"/>
  <c r="AC272" i="42"/>
  <c r="AE272" i="42"/>
  <c r="AM272" i="42"/>
  <c r="AK264" i="42"/>
  <c r="AC264" i="42"/>
  <c r="AM264" i="42"/>
  <c r="AE264" i="42"/>
  <c r="AK242" i="42"/>
  <c r="AC242" i="42"/>
  <c r="AM242" i="42"/>
  <c r="AE242" i="42"/>
  <c r="AK290" i="42"/>
  <c r="AC290" i="42"/>
  <c r="AM290" i="42"/>
  <c r="AE290" i="42"/>
  <c r="AK129" i="42"/>
  <c r="AC129" i="42"/>
  <c r="AE129" i="42"/>
  <c r="AM129" i="42"/>
  <c r="AK15" i="42"/>
  <c r="AC15" i="42"/>
  <c r="AE15" i="42"/>
  <c r="AM15" i="42"/>
  <c r="AE21" i="42"/>
  <c r="AK21" i="42"/>
  <c r="AC21" i="42"/>
  <c r="AM21" i="42"/>
  <c r="AK137" i="42"/>
  <c r="AC137" i="42"/>
  <c r="AM137" i="42"/>
  <c r="AE137" i="42"/>
  <c r="C143" i="11" l="1"/>
  <c r="C149" i="34"/>
  <c r="E143" i="33"/>
  <c r="D143" i="37" s="1"/>
  <c r="C21" i="11"/>
  <c r="C27" i="34"/>
  <c r="E21" i="33"/>
  <c r="D21" i="37" s="1"/>
  <c r="E261" i="33"/>
  <c r="D261" i="37" s="1"/>
  <c r="C261" i="11"/>
  <c r="C267" i="34"/>
  <c r="C113" i="11"/>
  <c r="C119" i="34"/>
  <c r="E113" i="33"/>
  <c r="D113" i="37" s="1"/>
  <c r="C175" i="11"/>
  <c r="C181" i="34"/>
  <c r="E175" i="33"/>
  <c r="D175" i="37" s="1"/>
  <c r="C120" i="11"/>
  <c r="C126" i="34"/>
  <c r="E120" i="33"/>
  <c r="D120" i="37" s="1"/>
  <c r="C137" i="11"/>
  <c r="C143" i="34"/>
  <c r="E137" i="33"/>
  <c r="D137" i="37" s="1"/>
  <c r="AM149" i="42"/>
  <c r="AC149" i="42"/>
  <c r="AC43" i="42"/>
  <c r="AM59" i="42"/>
  <c r="AK64" i="42"/>
  <c r="AC226" i="42"/>
  <c r="AC230" i="42"/>
  <c r="AM226" i="42"/>
  <c r="AC192" i="42"/>
  <c r="AC198" i="42"/>
  <c r="AE11" i="42"/>
  <c r="AM288" i="42"/>
  <c r="AM296" i="42"/>
  <c r="AK192" i="42"/>
  <c r="AC11" i="42"/>
  <c r="AK198" i="42"/>
  <c r="AC288" i="42"/>
  <c r="AE296" i="42"/>
  <c r="AM192" i="42"/>
  <c r="AK11" i="42"/>
  <c r="AM198" i="42"/>
  <c r="AK288" i="42"/>
  <c r="AC296" i="42"/>
  <c r="AM11" i="42"/>
  <c r="AE288" i="42"/>
  <c r="AM43" i="42"/>
  <c r="AM64" i="42"/>
  <c r="AK188" i="42"/>
  <c r="AM204" i="42"/>
  <c r="AK43" i="42"/>
  <c r="AC64" i="42"/>
  <c r="AE43" i="42"/>
  <c r="AK19" i="42"/>
  <c r="AK35" i="42"/>
  <c r="AC222" i="42"/>
  <c r="AK180" i="42"/>
  <c r="AK33" i="42"/>
  <c r="AC25" i="42"/>
  <c r="AE27" i="42"/>
  <c r="AE59" i="42"/>
  <c r="AK59" i="42"/>
  <c r="AK222" i="42"/>
  <c r="AM230" i="42"/>
  <c r="AE160" i="42"/>
  <c r="AM190" i="42"/>
  <c r="AK133" i="42"/>
  <c r="AK230" i="42"/>
  <c r="AM160" i="42"/>
  <c r="AM33" i="42"/>
  <c r="AM222" i="42"/>
  <c r="AC204" i="42"/>
  <c r="AE19" i="42"/>
  <c r="AE188" i="42"/>
  <c r="AK204" i="42"/>
  <c r="AM19" i="42"/>
  <c r="AM188" i="42"/>
  <c r="AE204" i="42"/>
  <c r="AM133" i="42"/>
  <c r="AE35" i="42"/>
  <c r="AM180" i="42"/>
  <c r="AE133" i="42"/>
  <c r="AC35" i="42"/>
  <c r="AE180" i="42"/>
  <c r="AK61" i="42"/>
  <c r="AE61" i="42"/>
  <c r="AC61" i="42"/>
  <c r="AM61" i="42"/>
  <c r="AK258" i="42"/>
  <c r="AC258" i="42"/>
  <c r="AE258" i="42"/>
  <c r="AM258" i="42"/>
  <c r="AK260" i="42"/>
  <c r="AC260" i="42"/>
  <c r="AE260" i="42"/>
  <c r="AM260" i="42"/>
  <c r="AK305" i="42"/>
  <c r="AC305" i="42"/>
  <c r="AM305" i="42"/>
  <c r="AE305" i="42"/>
  <c r="AK289" i="42"/>
  <c r="AC289" i="42"/>
  <c r="AM289" i="42"/>
  <c r="AE289" i="42"/>
  <c r="AK95" i="42"/>
  <c r="AC95" i="42"/>
  <c r="AE95" i="42"/>
  <c r="AM95" i="42"/>
  <c r="AK302" i="42"/>
  <c r="AC302" i="42"/>
  <c r="AM302" i="42"/>
  <c r="AE302" i="42"/>
  <c r="AK303" i="42"/>
  <c r="AC303" i="42"/>
  <c r="AE303" i="42"/>
  <c r="AM303" i="42"/>
  <c r="AK286" i="42"/>
  <c r="AE286" i="42"/>
  <c r="AC286" i="42"/>
  <c r="AM286" i="42"/>
  <c r="AK7" i="42"/>
  <c r="AC7" i="42"/>
  <c r="AE7" i="42"/>
  <c r="AM7" i="42"/>
  <c r="AK210" i="42"/>
  <c r="AC210" i="42"/>
  <c r="AM210" i="42"/>
  <c r="AE210" i="42"/>
  <c r="AK276" i="42"/>
  <c r="AC276" i="42"/>
  <c r="AE276" i="42"/>
  <c r="AM276" i="42"/>
  <c r="AK301" i="42"/>
  <c r="AC301" i="42"/>
  <c r="AE301" i="42"/>
  <c r="AM301" i="42"/>
  <c r="AM285" i="42"/>
  <c r="AK285" i="42"/>
  <c r="AC285" i="42"/>
  <c r="AE285" i="42"/>
  <c r="AK103" i="42"/>
  <c r="AC103" i="42"/>
  <c r="AE103" i="42"/>
  <c r="AM103" i="42"/>
  <c r="AM252" i="42"/>
  <c r="AK252" i="42"/>
  <c r="AC252" i="42"/>
  <c r="AE252" i="42"/>
  <c r="AK255" i="42"/>
  <c r="AC255" i="42"/>
  <c r="AE255" i="42"/>
  <c r="AM255" i="42"/>
  <c r="AK277" i="42"/>
  <c r="AC277" i="42"/>
  <c r="AM277" i="42"/>
  <c r="AE277" i="42"/>
  <c r="AK83" i="42"/>
  <c r="AC83" i="42"/>
  <c r="AE83" i="42"/>
  <c r="AM83" i="42"/>
  <c r="AK269" i="42"/>
  <c r="AC269" i="42"/>
  <c r="AM269" i="42"/>
  <c r="AE269" i="42"/>
  <c r="AK202" i="42"/>
  <c r="AC202" i="42"/>
  <c r="AE202" i="42"/>
  <c r="AM202" i="42"/>
  <c r="AK79" i="42"/>
  <c r="AC79" i="42"/>
  <c r="AE79" i="42"/>
  <c r="AM79" i="42"/>
  <c r="AK248" i="42"/>
  <c r="AC248" i="42"/>
  <c r="AM248" i="42"/>
  <c r="AE248" i="42"/>
  <c r="AK75" i="42"/>
  <c r="AM75" i="42"/>
  <c r="AC75" i="42"/>
  <c r="AE75" i="42"/>
  <c r="AK293" i="42"/>
  <c r="AC293" i="42"/>
  <c r="AE293" i="42"/>
  <c r="AM293" i="42"/>
  <c r="AK295" i="42"/>
  <c r="AC295" i="42"/>
  <c r="AE295" i="42"/>
  <c r="AM295" i="42"/>
  <c r="AK298" i="42"/>
  <c r="AC298" i="42"/>
  <c r="AE298" i="42"/>
  <c r="AM298" i="42"/>
  <c r="AK45" i="42"/>
  <c r="AC45" i="42"/>
  <c r="AE45" i="42"/>
  <c r="AM45" i="42"/>
  <c r="AM292" i="42"/>
  <c r="AK292" i="42"/>
  <c r="AC292" i="42"/>
  <c r="AE292" i="42"/>
  <c r="AK246" i="42"/>
  <c r="AC246" i="42"/>
  <c r="AE246" i="42"/>
  <c r="AM246" i="42"/>
  <c r="AK297" i="42"/>
  <c r="AC297" i="42"/>
  <c r="AE297" i="42"/>
  <c r="AM297" i="42"/>
  <c r="AK267" i="42"/>
  <c r="AC267" i="42"/>
  <c r="AM267" i="42"/>
  <c r="AE267" i="42"/>
  <c r="AK274" i="42"/>
  <c r="AC274" i="42"/>
  <c r="AE274" i="42"/>
  <c r="AM274" i="42"/>
  <c r="AM229" i="42"/>
  <c r="AK229" i="42"/>
  <c r="AC229" i="42"/>
  <c r="AE229" i="42"/>
  <c r="AK239" i="42"/>
  <c r="AC239" i="42"/>
  <c r="AM239" i="42"/>
  <c r="AE239" i="42"/>
  <c r="AK195" i="42"/>
  <c r="AM195" i="42"/>
  <c r="AC195" i="42"/>
  <c r="AE195" i="42"/>
  <c r="AK217" i="42"/>
  <c r="AC217" i="42"/>
  <c r="AE217" i="42"/>
  <c r="AM217" i="42"/>
  <c r="AK199" i="42"/>
  <c r="AC199" i="42"/>
  <c r="AE199" i="42"/>
  <c r="AM199" i="42"/>
  <c r="AK108" i="42"/>
  <c r="AC108" i="42"/>
  <c r="AM108" i="42"/>
  <c r="AE108" i="42"/>
  <c r="AK89" i="42"/>
  <c r="AC89" i="42"/>
  <c r="AM89" i="42"/>
  <c r="AE89" i="42"/>
  <c r="AK104" i="42"/>
  <c r="AC104" i="42"/>
  <c r="AE104" i="42"/>
  <c r="AM104" i="42"/>
  <c r="AK90" i="42"/>
  <c r="AC90" i="42"/>
  <c r="AE90" i="42"/>
  <c r="AM90" i="42"/>
  <c r="AK16" i="42"/>
  <c r="AC16" i="42"/>
  <c r="AE16" i="42"/>
  <c r="AM16" i="42"/>
  <c r="AM213" i="42"/>
  <c r="AK213" i="42"/>
  <c r="AC213" i="42"/>
  <c r="AE213" i="42"/>
  <c r="AK187" i="42"/>
  <c r="AM187" i="42"/>
  <c r="AC187" i="42"/>
  <c r="AE187" i="42"/>
  <c r="AK209" i="42"/>
  <c r="AC209" i="42"/>
  <c r="AE209" i="42"/>
  <c r="AM209" i="42"/>
  <c r="AK191" i="42"/>
  <c r="AC191" i="42"/>
  <c r="AE191" i="42"/>
  <c r="AM191" i="42"/>
  <c r="AK144" i="42"/>
  <c r="AC144" i="42"/>
  <c r="AE144" i="42"/>
  <c r="AM144" i="42"/>
  <c r="AK117" i="42"/>
  <c r="AC117" i="42"/>
  <c r="AM117" i="42"/>
  <c r="AE117" i="42"/>
  <c r="AK140" i="42"/>
  <c r="AC140" i="42"/>
  <c r="AE140" i="42"/>
  <c r="AM140" i="42"/>
  <c r="AC68" i="42"/>
  <c r="AK68" i="42"/>
  <c r="AK52" i="42"/>
  <c r="AC52" i="42"/>
  <c r="AE52" i="42"/>
  <c r="AM52" i="42"/>
  <c r="AK62" i="42"/>
  <c r="AC62" i="42"/>
  <c r="AM62" i="42"/>
  <c r="AE62" i="42"/>
  <c r="AK227" i="42"/>
  <c r="AC227" i="42"/>
  <c r="AM227" i="42"/>
  <c r="AE227" i="42"/>
  <c r="AC235" i="42"/>
  <c r="AK235" i="42"/>
  <c r="AK231" i="42"/>
  <c r="AC231" i="42"/>
  <c r="AE231" i="42"/>
  <c r="AM231" i="42"/>
  <c r="AK111" i="42"/>
  <c r="AC111" i="42"/>
  <c r="AE111" i="42"/>
  <c r="AM111" i="42"/>
  <c r="AK142" i="42"/>
  <c r="AC142" i="42"/>
  <c r="AM142" i="42"/>
  <c r="AE142" i="42"/>
  <c r="AK73" i="42"/>
  <c r="AC73" i="42"/>
  <c r="AE73" i="42"/>
  <c r="AM73" i="42"/>
  <c r="AK88" i="42"/>
  <c r="AC88" i="42"/>
  <c r="AE88" i="42"/>
  <c r="AM88" i="42"/>
  <c r="AK74" i="42"/>
  <c r="AC74" i="42"/>
  <c r="AM74" i="42"/>
  <c r="AE74" i="42"/>
  <c r="AK40" i="42"/>
  <c r="AC40" i="42"/>
  <c r="AE40" i="42"/>
  <c r="AM40" i="42"/>
  <c r="AK157" i="42"/>
  <c r="AC157" i="42"/>
  <c r="AE157" i="42"/>
  <c r="AM157" i="42"/>
  <c r="AK233" i="42"/>
  <c r="AC233" i="42"/>
  <c r="AE233" i="42"/>
  <c r="AM233" i="42"/>
  <c r="AM221" i="42"/>
  <c r="AK221" i="42"/>
  <c r="AC221" i="42"/>
  <c r="AE221" i="42"/>
  <c r="AK107" i="42"/>
  <c r="AM107" i="42"/>
  <c r="AC107" i="42"/>
  <c r="AE107" i="42"/>
  <c r="AK134" i="42"/>
  <c r="AM134" i="42"/>
  <c r="AC134" i="42"/>
  <c r="AE134" i="42"/>
  <c r="AK69" i="42"/>
  <c r="AC69" i="42"/>
  <c r="AE69" i="42"/>
  <c r="AM69" i="42"/>
  <c r="AK84" i="42"/>
  <c r="AM84" i="42"/>
  <c r="AC84" i="42"/>
  <c r="AE84" i="42"/>
  <c r="AK70" i="42"/>
  <c r="AC70" i="42"/>
  <c r="AE70" i="42"/>
  <c r="AM70" i="42"/>
  <c r="AK38" i="42"/>
  <c r="AC38" i="42"/>
  <c r="AM38" i="42"/>
  <c r="AE38" i="42"/>
  <c r="AK154" i="42"/>
  <c r="AC154" i="42"/>
  <c r="AM154" i="42"/>
  <c r="AE154" i="42"/>
  <c r="AK146" i="42"/>
  <c r="AC146" i="42"/>
  <c r="AE146" i="42"/>
  <c r="AM146" i="42"/>
  <c r="AK169" i="42"/>
  <c r="AC169" i="42"/>
  <c r="AE169" i="42"/>
  <c r="AM169" i="42"/>
  <c r="AK139" i="42"/>
  <c r="AC139" i="42"/>
  <c r="AE139" i="42"/>
  <c r="AM139" i="42"/>
  <c r="AK126" i="42"/>
  <c r="AM126" i="42"/>
  <c r="AC126" i="42"/>
  <c r="AE126" i="42"/>
  <c r="AK65" i="42"/>
  <c r="AC65" i="42"/>
  <c r="AM65" i="42"/>
  <c r="AE65" i="42"/>
  <c r="AK80" i="42"/>
  <c r="AE80" i="42"/>
  <c r="AC80" i="42"/>
  <c r="AM80" i="42"/>
  <c r="AK66" i="42"/>
  <c r="AC66" i="42"/>
  <c r="AE66" i="42"/>
  <c r="AM66" i="42"/>
  <c r="AK30" i="42"/>
  <c r="AM30" i="42"/>
  <c r="AC30" i="42"/>
  <c r="AE30" i="42"/>
  <c r="AK203" i="42"/>
  <c r="AM203" i="42"/>
  <c r="AC203" i="42"/>
  <c r="AE203" i="42"/>
  <c r="AK223" i="42"/>
  <c r="AC223" i="42"/>
  <c r="AE223" i="42"/>
  <c r="AM223" i="42"/>
  <c r="AK207" i="42"/>
  <c r="AC207" i="42"/>
  <c r="AM207" i="42"/>
  <c r="AE207" i="42"/>
  <c r="AK112" i="42"/>
  <c r="AC112" i="42"/>
  <c r="AM112" i="42"/>
  <c r="AE112" i="42"/>
  <c r="AK93" i="42"/>
  <c r="AC93" i="42"/>
  <c r="AM93" i="42"/>
  <c r="AE93" i="42"/>
  <c r="AK49" i="42"/>
  <c r="AC49" i="42"/>
  <c r="AE49" i="42"/>
  <c r="AM49" i="42"/>
  <c r="AK94" i="42"/>
  <c r="AC94" i="42"/>
  <c r="AM94" i="42"/>
  <c r="AE94" i="42"/>
  <c r="AK24" i="42"/>
  <c r="AC24" i="42"/>
  <c r="AE24" i="42"/>
  <c r="AM24" i="42"/>
  <c r="AK12" i="42"/>
  <c r="AC12" i="42"/>
  <c r="AE12" i="42"/>
  <c r="AM12" i="42"/>
  <c r="AE235" i="42"/>
  <c r="AK47" i="42"/>
  <c r="AC47" i="42"/>
  <c r="AE47" i="42"/>
  <c r="AM47" i="42"/>
  <c r="AM68" i="42"/>
  <c r="AK67" i="42"/>
  <c r="AM67" i="42"/>
  <c r="AC67" i="42"/>
  <c r="AE67" i="42"/>
  <c r="AK299" i="42"/>
  <c r="AC299" i="42"/>
  <c r="AE299" i="42"/>
  <c r="AM299" i="42"/>
  <c r="AK257" i="42"/>
  <c r="AC257" i="42"/>
  <c r="AM257" i="42"/>
  <c r="AE257" i="42"/>
  <c r="AK251" i="42"/>
  <c r="AC251" i="42"/>
  <c r="AM251" i="42"/>
  <c r="AE251" i="42"/>
  <c r="AK281" i="42"/>
  <c r="AC281" i="42"/>
  <c r="AE281" i="42"/>
  <c r="AM281" i="42"/>
  <c r="AK212" i="42"/>
  <c r="AC212" i="42"/>
  <c r="AE212" i="42"/>
  <c r="AM212" i="42"/>
  <c r="AK13" i="42"/>
  <c r="AM13" i="42"/>
  <c r="AC13" i="42"/>
  <c r="AE13" i="42"/>
  <c r="AK273" i="42"/>
  <c r="AC273" i="42"/>
  <c r="AE273" i="42"/>
  <c r="AM273" i="42"/>
  <c r="AK181" i="42"/>
  <c r="AC181" i="42"/>
  <c r="AE181" i="42"/>
  <c r="AM181" i="42"/>
  <c r="AK197" i="42"/>
  <c r="AC197" i="42"/>
  <c r="AM197" i="42"/>
  <c r="AE197" i="42"/>
  <c r="AK127" i="42"/>
  <c r="AC127" i="42"/>
  <c r="AE127" i="42"/>
  <c r="AM127" i="42"/>
  <c r="AM253" i="42"/>
  <c r="AK253" i="42"/>
  <c r="AC253" i="42"/>
  <c r="AE253" i="42"/>
  <c r="AM261" i="42"/>
  <c r="AK261" i="42"/>
  <c r="AC261" i="42"/>
  <c r="AE261" i="42"/>
  <c r="AK218" i="42"/>
  <c r="AC218" i="42"/>
  <c r="AE218" i="42"/>
  <c r="AM218" i="42"/>
  <c r="AK283" i="42"/>
  <c r="AC283" i="42"/>
  <c r="AE283" i="42"/>
  <c r="AM283" i="42"/>
  <c r="AK162" i="42"/>
  <c r="AC162" i="42"/>
  <c r="AE162" i="42"/>
  <c r="AM162" i="42"/>
  <c r="AM205" i="42"/>
  <c r="AK205" i="42"/>
  <c r="AC205" i="42"/>
  <c r="AE205" i="42"/>
  <c r="AK179" i="42"/>
  <c r="AM179" i="42"/>
  <c r="AC179" i="42"/>
  <c r="AE179" i="42"/>
  <c r="AK201" i="42"/>
  <c r="AC201" i="42"/>
  <c r="AE201" i="42"/>
  <c r="AM201" i="42"/>
  <c r="AK183" i="42"/>
  <c r="AC183" i="42"/>
  <c r="AE183" i="42"/>
  <c r="AM183" i="42"/>
  <c r="AK136" i="42"/>
  <c r="AC136" i="42"/>
  <c r="AE136" i="42"/>
  <c r="AM136" i="42"/>
  <c r="AK132" i="42"/>
  <c r="AC132" i="42"/>
  <c r="AE132" i="42"/>
  <c r="AM132" i="42"/>
  <c r="AK41" i="42"/>
  <c r="AC41" i="42"/>
  <c r="AM41" i="42"/>
  <c r="AE41" i="42"/>
  <c r="AK26" i="42"/>
  <c r="AC26" i="42"/>
  <c r="AE26" i="42"/>
  <c r="AM26" i="42"/>
  <c r="AK54" i="42"/>
  <c r="AC54" i="42"/>
  <c r="AE54" i="42"/>
  <c r="AM54" i="42"/>
  <c r="AM237" i="42"/>
  <c r="AK237" i="42"/>
  <c r="AC237" i="42"/>
  <c r="AE237" i="42"/>
  <c r="AK243" i="42"/>
  <c r="AC243" i="42"/>
  <c r="AE243" i="42"/>
  <c r="AM243" i="42"/>
  <c r="AK241" i="42"/>
  <c r="AC241" i="42"/>
  <c r="AE241" i="42"/>
  <c r="AM241" i="42"/>
  <c r="AK115" i="42"/>
  <c r="AM115" i="42"/>
  <c r="AC115" i="42"/>
  <c r="AE115" i="42"/>
  <c r="AK150" i="42"/>
  <c r="AC150" i="42"/>
  <c r="AM150" i="42"/>
  <c r="AE150" i="42"/>
  <c r="AK77" i="42"/>
  <c r="AE77" i="42"/>
  <c r="AC77" i="42"/>
  <c r="AM77" i="42"/>
  <c r="AK92" i="42"/>
  <c r="AC92" i="42"/>
  <c r="AM92" i="42"/>
  <c r="AE92" i="42"/>
  <c r="AK78" i="42"/>
  <c r="AM78" i="42"/>
  <c r="AC78" i="42"/>
  <c r="AE78" i="42"/>
  <c r="AK48" i="42"/>
  <c r="AE48" i="42"/>
  <c r="AC48" i="42"/>
  <c r="AM48" i="42"/>
  <c r="AK151" i="42"/>
  <c r="AC151" i="42"/>
  <c r="AE151" i="42"/>
  <c r="AM151" i="42"/>
  <c r="AK53" i="42"/>
  <c r="AE53" i="42"/>
  <c r="AC53" i="42"/>
  <c r="AM53" i="42"/>
  <c r="AK279" i="42"/>
  <c r="AC279" i="42"/>
  <c r="AM279" i="42"/>
  <c r="AE279" i="42"/>
  <c r="AK250" i="42"/>
  <c r="AC250" i="42"/>
  <c r="AE250" i="42"/>
  <c r="AM250" i="42"/>
  <c r="AK71" i="42"/>
  <c r="AC71" i="42"/>
  <c r="AM71" i="42"/>
  <c r="AE71" i="42"/>
  <c r="AM268" i="42"/>
  <c r="AK268" i="42"/>
  <c r="AC268" i="42"/>
  <c r="AE268" i="42"/>
  <c r="AK263" i="42"/>
  <c r="AC263" i="42"/>
  <c r="AE263" i="42"/>
  <c r="AM263" i="42"/>
  <c r="AK291" i="42"/>
  <c r="AC291" i="42"/>
  <c r="AM291" i="42"/>
  <c r="AE291" i="42"/>
  <c r="AK91" i="42"/>
  <c r="AC91" i="42"/>
  <c r="AM91" i="42"/>
  <c r="AE91" i="42"/>
  <c r="AK87" i="42"/>
  <c r="AC87" i="42"/>
  <c r="AE87" i="42"/>
  <c r="AM87" i="42"/>
  <c r="AK131" i="42"/>
  <c r="AC131" i="42"/>
  <c r="AM131" i="42"/>
  <c r="AE131" i="42"/>
  <c r="AK34" i="42"/>
  <c r="AC34" i="42"/>
  <c r="AE34" i="42"/>
  <c r="AM34" i="42"/>
  <c r="AK147" i="42"/>
  <c r="AM147" i="42"/>
  <c r="AC147" i="42"/>
  <c r="AE147" i="42"/>
  <c r="AK152" i="42"/>
  <c r="AC152" i="42"/>
  <c r="AE152" i="42"/>
  <c r="AM152" i="42"/>
  <c r="AK121" i="42"/>
  <c r="AC121" i="42"/>
  <c r="AE121" i="42"/>
  <c r="AM121" i="42"/>
  <c r="AK148" i="42"/>
  <c r="AM148" i="42"/>
  <c r="AC148" i="42"/>
  <c r="AE148" i="42"/>
  <c r="AK72" i="42"/>
  <c r="AC72" i="42"/>
  <c r="AE72" i="42"/>
  <c r="AM72" i="42"/>
  <c r="AK57" i="42"/>
  <c r="AC57" i="42"/>
  <c r="AE57" i="42"/>
  <c r="AM57" i="42"/>
  <c r="AK14" i="42"/>
  <c r="AE14" i="42"/>
  <c r="AC14" i="42"/>
  <c r="AM14" i="42"/>
  <c r="AK249" i="42"/>
  <c r="AC249" i="42"/>
  <c r="AM249" i="42"/>
  <c r="AE249" i="42"/>
  <c r="AK189" i="42"/>
  <c r="AC189" i="42"/>
  <c r="AE189" i="42"/>
  <c r="AM189" i="42"/>
  <c r="AK138" i="42"/>
  <c r="AC138" i="42"/>
  <c r="AE138" i="42"/>
  <c r="AM138" i="42"/>
  <c r="AK123" i="42"/>
  <c r="AC123" i="42"/>
  <c r="AE123" i="42"/>
  <c r="AM123" i="42"/>
  <c r="AK60" i="42"/>
  <c r="AC60" i="42"/>
  <c r="AE60" i="42"/>
  <c r="AM60" i="42"/>
  <c r="AK85" i="42"/>
  <c r="AC85" i="42"/>
  <c r="AE85" i="42"/>
  <c r="AM85" i="42"/>
  <c r="AK100" i="42"/>
  <c r="AM100" i="42"/>
  <c r="AC100" i="42"/>
  <c r="AE100" i="42"/>
  <c r="AK86" i="42"/>
  <c r="AC86" i="42"/>
  <c r="AE86" i="42"/>
  <c r="AM86" i="42"/>
  <c r="AK8" i="42"/>
  <c r="AC8" i="42"/>
  <c r="AE8" i="42"/>
  <c r="AM8" i="42"/>
  <c r="AK165" i="42"/>
  <c r="AC165" i="42"/>
  <c r="AM165" i="42"/>
  <c r="AE165" i="42"/>
  <c r="AK163" i="42"/>
  <c r="AM163" i="42"/>
  <c r="AC163" i="42"/>
  <c r="AE163" i="42"/>
  <c r="AK185" i="42"/>
  <c r="AC185" i="42"/>
  <c r="AE185" i="42"/>
  <c r="AM185" i="42"/>
  <c r="AK167" i="42"/>
  <c r="AC167" i="42"/>
  <c r="AE167" i="42"/>
  <c r="AM167" i="42"/>
  <c r="AK124" i="42"/>
  <c r="AC124" i="42"/>
  <c r="AM124" i="42"/>
  <c r="AE124" i="42"/>
  <c r="AK105" i="42"/>
  <c r="AC105" i="42"/>
  <c r="AE105" i="42"/>
  <c r="AM105" i="42"/>
  <c r="AK118" i="42"/>
  <c r="AC118" i="42"/>
  <c r="AE118" i="42"/>
  <c r="AM118" i="42"/>
  <c r="AK106" i="42"/>
  <c r="AC106" i="42"/>
  <c r="AM106" i="42"/>
  <c r="AE106" i="42"/>
  <c r="AK50" i="42"/>
  <c r="AC50" i="42"/>
  <c r="AE50" i="42"/>
  <c r="AM50" i="42"/>
  <c r="AK36" i="42"/>
  <c r="AE36" i="42"/>
  <c r="AC36" i="42"/>
  <c r="AM36" i="42"/>
  <c r="AK219" i="42"/>
  <c r="AC219" i="42"/>
  <c r="AE219" i="42"/>
  <c r="AM219" i="42"/>
  <c r="AK177" i="42"/>
  <c r="AC177" i="42"/>
  <c r="AE177" i="42"/>
  <c r="AM177" i="42"/>
  <c r="AK159" i="42"/>
  <c r="AC159" i="42"/>
  <c r="AE159" i="42"/>
  <c r="AM159" i="42"/>
  <c r="AK101" i="42"/>
  <c r="AC101" i="42"/>
  <c r="AE101" i="42"/>
  <c r="AM101" i="42"/>
  <c r="AK114" i="42"/>
  <c r="AC114" i="42"/>
  <c r="AE114" i="42"/>
  <c r="AM114" i="42"/>
  <c r="AK102" i="42"/>
  <c r="AC102" i="42"/>
  <c r="AE102" i="42"/>
  <c r="AM102" i="42"/>
  <c r="AK42" i="42"/>
  <c r="AC42" i="42"/>
  <c r="AM42" i="42"/>
  <c r="AE42" i="42"/>
  <c r="AK28" i="42"/>
  <c r="AE28" i="42"/>
  <c r="AC28" i="42"/>
  <c r="AM28" i="42"/>
  <c r="AK211" i="42"/>
  <c r="AC211" i="42"/>
  <c r="AM211" i="42"/>
  <c r="AE211" i="42"/>
  <c r="AK225" i="42"/>
  <c r="AC225" i="42"/>
  <c r="AE225" i="42"/>
  <c r="AM225" i="42"/>
  <c r="AK215" i="42"/>
  <c r="AC215" i="42"/>
  <c r="AE215" i="42"/>
  <c r="AM215" i="42"/>
  <c r="AK116" i="42"/>
  <c r="AC116" i="42"/>
  <c r="AE116" i="42"/>
  <c r="AM116" i="42"/>
  <c r="AK97" i="42"/>
  <c r="AC97" i="42"/>
  <c r="AE97" i="42"/>
  <c r="AM97" i="42"/>
  <c r="AK110" i="42"/>
  <c r="AC110" i="42"/>
  <c r="AE110" i="42"/>
  <c r="AM110" i="42"/>
  <c r="AK98" i="42"/>
  <c r="AC98" i="42"/>
  <c r="AE98" i="42"/>
  <c r="AM98" i="42"/>
  <c r="AK32" i="42"/>
  <c r="AC32" i="42"/>
  <c r="AE32" i="42"/>
  <c r="AM32" i="42"/>
  <c r="AK20" i="42"/>
  <c r="AM20" i="42"/>
  <c r="AC20" i="42"/>
  <c r="AE20" i="42"/>
  <c r="AK161" i="42"/>
  <c r="AC161" i="42"/>
  <c r="AM161" i="42"/>
  <c r="AE161" i="42"/>
  <c r="AK130" i="42"/>
  <c r="AC130" i="42"/>
  <c r="AE130" i="42"/>
  <c r="AM130" i="42"/>
  <c r="AK125" i="42"/>
  <c r="AM125" i="42"/>
  <c r="AC125" i="42"/>
  <c r="AE125" i="42"/>
  <c r="AK44" i="42"/>
  <c r="AE44" i="42"/>
  <c r="AC44" i="42"/>
  <c r="AM44" i="42"/>
  <c r="AK76" i="42"/>
  <c r="AC76" i="42"/>
  <c r="AE76" i="42"/>
  <c r="AM76" i="42"/>
  <c r="AK22" i="42"/>
  <c r="AC22" i="42"/>
  <c r="AM22" i="42"/>
  <c r="AE22" i="42"/>
  <c r="AK200" i="42"/>
  <c r="AC200" i="42"/>
  <c r="AE200" i="42"/>
  <c r="AM200" i="42"/>
  <c r="AK170" i="42"/>
  <c r="AC170" i="42"/>
  <c r="AM170" i="42"/>
  <c r="AE170" i="42"/>
  <c r="AK238" i="42"/>
  <c r="AC238" i="42"/>
  <c r="AE238" i="42"/>
  <c r="AM238" i="42"/>
  <c r="AK244" i="42"/>
  <c r="AC244" i="42"/>
  <c r="AM244" i="42"/>
  <c r="AE244" i="42"/>
  <c r="AK186" i="42"/>
  <c r="AC186" i="42"/>
  <c r="AE186" i="42"/>
  <c r="AM186" i="42"/>
  <c r="AK236" i="42"/>
  <c r="AC236" i="42"/>
  <c r="AE236" i="42"/>
  <c r="AM236" i="42"/>
  <c r="AK259" i="42"/>
  <c r="AC259" i="42"/>
  <c r="AE259" i="42"/>
  <c r="AM259" i="42"/>
  <c r="AK178" i="42"/>
  <c r="AC178" i="42"/>
  <c r="AE178" i="42"/>
  <c r="AM178" i="42"/>
  <c r="AK265" i="42"/>
  <c r="AC265" i="42"/>
  <c r="AM265" i="42"/>
  <c r="AE265" i="42"/>
  <c r="AK99" i="42"/>
  <c r="AC99" i="42"/>
  <c r="AM99" i="42"/>
  <c r="AE99" i="42"/>
  <c r="AK287" i="42"/>
  <c r="AC287" i="42"/>
  <c r="AE287" i="42"/>
  <c r="AM287" i="42"/>
  <c r="AM245" i="42"/>
  <c r="AK245" i="42"/>
  <c r="AC245" i="42"/>
  <c r="AE245" i="42"/>
  <c r="AK247" i="42"/>
  <c r="AC247" i="42"/>
  <c r="AE247" i="42"/>
  <c r="AM247" i="42"/>
  <c r="AK135" i="42"/>
  <c r="AC135" i="42"/>
  <c r="AE135" i="42"/>
  <c r="AM135" i="42"/>
  <c r="AK119" i="42"/>
  <c r="AC119" i="42"/>
  <c r="AE119" i="42"/>
  <c r="AM119" i="42"/>
  <c r="AK18" i="42"/>
  <c r="AC18" i="42"/>
  <c r="AE18" i="42"/>
  <c r="AM18" i="42"/>
  <c r="AK81" i="42"/>
  <c r="AC81" i="42"/>
  <c r="AM81" i="42"/>
  <c r="AE81" i="42"/>
  <c r="AK96" i="42"/>
  <c r="AC96" i="42"/>
  <c r="AM96" i="42"/>
  <c r="AE96" i="42"/>
  <c r="AK82" i="42"/>
  <c r="AC82" i="42"/>
  <c r="AM82" i="42"/>
  <c r="AE82" i="42"/>
  <c r="AK56" i="42"/>
  <c r="AE56" i="42"/>
  <c r="AC56" i="42"/>
  <c r="AM56" i="42"/>
  <c r="AK173" i="42"/>
  <c r="AC173" i="42"/>
  <c r="AE173" i="42"/>
  <c r="AM173" i="42"/>
  <c r="AK171" i="42"/>
  <c r="AM171" i="42"/>
  <c r="AC171" i="42"/>
  <c r="AE171" i="42"/>
  <c r="AK193" i="42"/>
  <c r="AC193" i="42"/>
  <c r="AE193" i="42"/>
  <c r="AM193" i="42"/>
  <c r="AK128" i="42"/>
  <c r="AC128" i="42"/>
  <c r="AE128" i="42"/>
  <c r="AM128" i="42"/>
  <c r="AK109" i="42"/>
  <c r="AC109" i="42"/>
  <c r="AM109" i="42"/>
  <c r="AE109" i="42"/>
  <c r="AK122" i="42"/>
  <c r="AC122" i="42"/>
  <c r="AE122" i="42"/>
  <c r="AM122" i="42"/>
  <c r="AK10" i="42"/>
  <c r="AC10" i="42"/>
  <c r="AE10" i="42"/>
  <c r="AM10" i="42"/>
  <c r="AK58" i="42"/>
  <c r="AC58" i="42"/>
  <c r="AE58" i="42"/>
  <c r="AM58" i="42"/>
  <c r="AK46" i="42"/>
  <c r="AC46" i="42"/>
  <c r="AM46" i="42"/>
  <c r="AE46" i="42"/>
  <c r="AM235" i="42"/>
  <c r="AE68" i="42"/>
  <c r="AK120" i="42"/>
  <c r="AE120" i="42"/>
  <c r="AC120" i="42"/>
  <c r="AM120" i="42"/>
  <c r="AC271" i="42"/>
  <c r="AK271" i="42"/>
  <c r="AM271" i="42"/>
  <c r="AE271" i="42"/>
  <c r="AC175" i="42"/>
  <c r="AK175" i="42"/>
  <c r="AE175" i="42"/>
  <c r="AM175" i="42"/>
  <c r="AK143" i="42"/>
  <c r="AC143" i="42"/>
  <c r="AE143" i="42"/>
  <c r="AM143" i="42"/>
  <c r="AK113" i="42"/>
  <c r="AC113" i="42"/>
  <c r="AM113" i="42"/>
  <c r="AE113" i="42"/>
  <c r="E29" i="11"/>
  <c r="AD6" i="42"/>
  <c r="M7" i="42"/>
  <c r="M8" i="42"/>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9" i="42"/>
  <c r="M230" i="42"/>
  <c r="M231" i="42"/>
  <c r="M232" i="42"/>
  <c r="M233" i="42"/>
  <c r="M234"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M265" i="42"/>
  <c r="M266" i="42"/>
  <c r="M267" i="42"/>
  <c r="M268" i="42"/>
  <c r="M269" i="42"/>
  <c r="M270" i="42"/>
  <c r="M271" i="42"/>
  <c r="M272" i="42"/>
  <c r="M273" i="42"/>
  <c r="M274"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B33" i="40"/>
  <c r="B56" i="40"/>
  <c r="T303" i="42" l="1"/>
  <c r="T295" i="42"/>
  <c r="T287" i="42"/>
  <c r="T279" i="42"/>
  <c r="T270" i="42"/>
  <c r="T262" i="42"/>
  <c r="T254" i="42"/>
  <c r="T246" i="42"/>
  <c r="T238" i="42"/>
  <c r="T229" i="42"/>
  <c r="T220" i="42"/>
  <c r="T212" i="42"/>
  <c r="T204" i="42"/>
  <c r="T196" i="42"/>
  <c r="T188" i="42"/>
  <c r="T180" i="42"/>
  <c r="T172" i="42"/>
  <c r="T164" i="42"/>
  <c r="T156" i="42"/>
  <c r="T147" i="42"/>
  <c r="T139" i="42"/>
  <c r="T131" i="42"/>
  <c r="T123" i="42"/>
  <c r="T115" i="42"/>
  <c r="T107" i="42"/>
  <c r="T99" i="42"/>
  <c r="T91" i="42"/>
  <c r="T83" i="42"/>
  <c r="T75" i="42"/>
  <c r="T66" i="42"/>
  <c r="T58" i="42"/>
  <c r="T50" i="42"/>
  <c r="T42" i="42"/>
  <c r="T34" i="42"/>
  <c r="T26" i="42"/>
  <c r="T18" i="42"/>
  <c r="T10" i="42"/>
  <c r="T294" i="42"/>
  <c r="T278" i="42"/>
  <c r="T261" i="42"/>
  <c r="T253" i="42"/>
  <c r="T245" i="42"/>
  <c r="T237" i="42"/>
  <c r="T227" i="42"/>
  <c r="T219" i="42"/>
  <c r="T211" i="42"/>
  <c r="T203" i="42"/>
  <c r="T195" i="42"/>
  <c r="T187" i="42"/>
  <c r="T179" i="42"/>
  <c r="T171" i="42"/>
  <c r="T163" i="42"/>
  <c r="T154" i="42"/>
  <c r="T146" i="42"/>
  <c r="T138" i="42"/>
  <c r="T130" i="42"/>
  <c r="T122" i="42"/>
  <c r="T114" i="42"/>
  <c r="T106" i="42"/>
  <c r="T98" i="42"/>
  <c r="T90" i="42"/>
  <c r="T82" i="42"/>
  <c r="T74" i="42"/>
  <c r="T65" i="42"/>
  <c r="T57" i="42"/>
  <c r="T49" i="42"/>
  <c r="T41" i="42"/>
  <c r="T33" i="42"/>
  <c r="T25" i="42"/>
  <c r="T17" i="42"/>
  <c r="T9" i="42"/>
  <c r="T302" i="42"/>
  <c r="T286" i="42"/>
  <c r="T269" i="42"/>
  <c r="T301" i="42"/>
  <c r="T293" i="42"/>
  <c r="T285" i="42"/>
  <c r="T277" i="42"/>
  <c r="T268" i="42"/>
  <c r="T260" i="42"/>
  <c r="T252" i="42"/>
  <c r="T244" i="42"/>
  <c r="T236" i="42"/>
  <c r="T226" i="42"/>
  <c r="T218" i="42"/>
  <c r="T210" i="42"/>
  <c r="T202" i="42"/>
  <c r="T194" i="42"/>
  <c r="T186" i="42"/>
  <c r="T178" i="42"/>
  <c r="T170" i="42"/>
  <c r="T162" i="42"/>
  <c r="T153" i="42"/>
  <c r="T145" i="42"/>
  <c r="T137" i="42"/>
  <c r="T129" i="42"/>
  <c r="T121" i="42"/>
  <c r="T113" i="42"/>
  <c r="T105" i="42"/>
  <c r="T97" i="42"/>
  <c r="T89" i="42"/>
  <c r="T81" i="42"/>
  <c r="T73" i="42"/>
  <c r="T64" i="42"/>
  <c r="T56" i="42"/>
  <c r="T48" i="42"/>
  <c r="T40" i="42"/>
  <c r="T32" i="42"/>
  <c r="T24" i="42"/>
  <c r="T16" i="42"/>
  <c r="T8" i="42"/>
  <c r="T300" i="42"/>
  <c r="T292" i="42"/>
  <c r="T284" i="42"/>
  <c r="T276" i="42"/>
  <c r="T267" i="42"/>
  <c r="T259" i="42"/>
  <c r="T251" i="42"/>
  <c r="T243" i="42"/>
  <c r="T234" i="42"/>
  <c r="T225" i="42"/>
  <c r="T217" i="42"/>
  <c r="T209" i="42"/>
  <c r="T201" i="42"/>
  <c r="T193" i="42"/>
  <c r="T185" i="42"/>
  <c r="T177" i="42"/>
  <c r="T169" i="42"/>
  <c r="T161" i="42"/>
  <c r="T152" i="42"/>
  <c r="T144" i="42"/>
  <c r="T136" i="42"/>
  <c r="T128" i="42"/>
  <c r="T120" i="42"/>
  <c r="T112" i="42"/>
  <c r="T104" i="42"/>
  <c r="T96" i="42"/>
  <c r="T88" i="42"/>
  <c r="T80" i="42"/>
  <c r="T72" i="42"/>
  <c r="T63" i="42"/>
  <c r="T55" i="42"/>
  <c r="T47" i="42"/>
  <c r="T39" i="42"/>
  <c r="T31" i="42"/>
  <c r="T23" i="42"/>
  <c r="T15" i="42"/>
  <c r="T7" i="42"/>
  <c r="T299" i="42"/>
  <c r="T291" i="42"/>
  <c r="T283" i="42"/>
  <c r="T274" i="42"/>
  <c r="T258" i="42"/>
  <c r="T250" i="42"/>
  <c r="T242" i="42"/>
  <c r="T233" i="42"/>
  <c r="T224" i="42"/>
  <c r="T216" i="42"/>
  <c r="T208" i="42"/>
  <c r="T200" i="42"/>
  <c r="T192" i="42"/>
  <c r="T184" i="42"/>
  <c r="T176" i="42"/>
  <c r="T168" i="42"/>
  <c r="T160" i="42"/>
  <c r="T151" i="42"/>
  <c r="T143" i="42"/>
  <c r="T135" i="42"/>
  <c r="T127" i="42"/>
  <c r="T119" i="42"/>
  <c r="T111" i="42"/>
  <c r="T103" i="42"/>
  <c r="T95" i="42"/>
  <c r="T87" i="42"/>
  <c r="T79" i="42"/>
  <c r="T71" i="42"/>
  <c r="T62" i="42"/>
  <c r="T54" i="42"/>
  <c r="T46" i="42"/>
  <c r="T38" i="42"/>
  <c r="T30" i="42"/>
  <c r="T22" i="42"/>
  <c r="T14" i="42"/>
  <c r="T290" i="42"/>
  <c r="T249" i="42"/>
  <c r="T241" i="42"/>
  <c r="T232" i="42"/>
  <c r="T223" i="42"/>
  <c r="T215" i="42"/>
  <c r="T207" i="42"/>
  <c r="T199" i="42"/>
  <c r="T191" i="42"/>
  <c r="T183" i="42"/>
  <c r="T175" i="42"/>
  <c r="T167" i="42"/>
  <c r="T159" i="42"/>
  <c r="T150" i="42"/>
  <c r="T142" i="42"/>
  <c r="T134" i="42"/>
  <c r="T126" i="42"/>
  <c r="T118" i="42"/>
  <c r="T110" i="42"/>
  <c r="T102" i="42"/>
  <c r="T94" i="42"/>
  <c r="T86" i="42"/>
  <c r="T78" i="42"/>
  <c r="T70" i="42"/>
  <c r="T61" i="42"/>
  <c r="T53" i="42"/>
  <c r="T45" i="42"/>
  <c r="T37" i="42"/>
  <c r="T29" i="42"/>
  <c r="T21" i="42"/>
  <c r="T13" i="42"/>
  <c r="T298" i="42"/>
  <c r="T273" i="42"/>
  <c r="T297" i="42"/>
  <c r="T272" i="42"/>
  <c r="T256" i="42"/>
  <c r="T248" i="42"/>
  <c r="T240" i="42"/>
  <c r="T231" i="42"/>
  <c r="T222" i="42"/>
  <c r="T214" i="42"/>
  <c r="T206" i="42"/>
  <c r="T198" i="42"/>
  <c r="T190" i="42"/>
  <c r="T182" i="42"/>
  <c r="T174" i="42"/>
  <c r="T166" i="42"/>
  <c r="T158" i="42"/>
  <c r="T149" i="42"/>
  <c r="T141" i="42"/>
  <c r="T133" i="42"/>
  <c r="T125" i="42"/>
  <c r="T117" i="42"/>
  <c r="T109" i="42"/>
  <c r="T101" i="42"/>
  <c r="T93" i="42"/>
  <c r="T85" i="42"/>
  <c r="T77" i="42"/>
  <c r="T69" i="42"/>
  <c r="T60" i="42"/>
  <c r="T52" i="42"/>
  <c r="T44" i="42"/>
  <c r="T36" i="42"/>
  <c r="T28" i="42"/>
  <c r="T20" i="42"/>
  <c r="T12" i="42"/>
  <c r="C228" i="19"/>
  <c r="L228" i="19" s="1"/>
  <c r="T282" i="42"/>
  <c r="T257" i="42"/>
  <c r="T305" i="42"/>
  <c r="T289" i="42"/>
  <c r="T281" i="42"/>
  <c r="T304" i="42"/>
  <c r="T296" i="42"/>
  <c r="T288" i="42"/>
  <c r="T280" i="42"/>
  <c r="T271" i="42"/>
  <c r="T263" i="42"/>
  <c r="T255" i="42"/>
  <c r="T247" i="42"/>
  <c r="T239" i="42"/>
  <c r="T230" i="42"/>
  <c r="T221" i="42"/>
  <c r="T213" i="42"/>
  <c r="T205" i="42"/>
  <c r="T197" i="42"/>
  <c r="T189" i="42"/>
  <c r="T181" i="42"/>
  <c r="T173" i="42"/>
  <c r="T165" i="42"/>
  <c r="T157" i="42"/>
  <c r="T148" i="42"/>
  <c r="T140" i="42"/>
  <c r="T132" i="42"/>
  <c r="T124" i="42"/>
  <c r="T116" i="42"/>
  <c r="T108" i="42"/>
  <c r="T100" i="42"/>
  <c r="T92" i="42"/>
  <c r="T84" i="42"/>
  <c r="T76" i="42"/>
  <c r="T67" i="42"/>
  <c r="T59" i="42"/>
  <c r="T51" i="42"/>
  <c r="T43" i="42"/>
  <c r="T35" i="42"/>
  <c r="T27" i="42"/>
  <c r="T19" i="42"/>
  <c r="T11" i="42"/>
  <c r="AC275" i="42"/>
  <c r="AK275" i="42"/>
  <c r="AD29" i="42"/>
  <c r="AE29" i="42" s="1"/>
  <c r="AM275" i="42"/>
  <c r="AE275" i="42"/>
  <c r="M228" i="42"/>
  <c r="T228" i="42" s="1"/>
  <c r="A1" i="42"/>
  <c r="E12" i="9"/>
  <c r="E11" i="9"/>
  <c r="D11" i="9"/>
  <c r="D12" i="9"/>
  <c r="P228" i="19" l="1"/>
  <c r="R228" i="19" s="1"/>
  <c r="F228" i="49"/>
  <c r="G228" i="49" s="1"/>
  <c r="F27" i="9"/>
  <c r="F19" i="9"/>
  <c r="F39" i="9"/>
  <c r="F55" i="9"/>
  <c r="F71" i="9"/>
  <c r="F87" i="9"/>
  <c r="F103" i="9"/>
  <c r="F119" i="9"/>
  <c r="F132" i="9"/>
  <c r="F148" i="9"/>
  <c r="F174" i="9"/>
  <c r="F189" i="9"/>
  <c r="F205" i="9"/>
  <c r="F221" i="9"/>
  <c r="F236" i="9"/>
  <c r="F244" i="9"/>
  <c r="F249" i="9"/>
  <c r="F252" i="9"/>
  <c r="F255" i="9"/>
  <c r="F268" i="9"/>
  <c r="F271" i="9"/>
  <c r="F274" i="9"/>
  <c r="F290" i="9"/>
  <c r="F306" i="9"/>
  <c r="F23" i="9"/>
  <c r="F43" i="9"/>
  <c r="F59" i="9"/>
  <c r="F75" i="9"/>
  <c r="F91" i="9"/>
  <c r="F107" i="9"/>
  <c r="F123" i="9"/>
  <c r="F136" i="9"/>
  <c r="F152" i="9"/>
  <c r="F168" i="9"/>
  <c r="F177" i="9"/>
  <c r="F193" i="9"/>
  <c r="F209" i="9"/>
  <c r="F225" i="9"/>
  <c r="F278" i="9"/>
  <c r="F294" i="9"/>
  <c r="F310" i="9"/>
  <c r="F31" i="9"/>
  <c r="F47" i="9"/>
  <c r="F63" i="9"/>
  <c r="F79" i="9"/>
  <c r="F95" i="9"/>
  <c r="F166" i="9"/>
  <c r="F232" i="9"/>
  <c r="F237" i="9"/>
  <c r="F260" i="9"/>
  <c r="F15" i="9"/>
  <c r="F35" i="9"/>
  <c r="F51" i="9"/>
  <c r="F67" i="9"/>
  <c r="F83" i="9"/>
  <c r="F99" i="9"/>
  <c r="F115" i="9"/>
  <c r="F128" i="9"/>
  <c r="F144" i="9"/>
  <c r="F160" i="9"/>
  <c r="F176" i="9"/>
  <c r="F185" i="9"/>
  <c r="F201" i="9"/>
  <c r="F217" i="9"/>
  <c r="F286" i="9"/>
  <c r="F302" i="9"/>
  <c r="F233" i="9"/>
  <c r="F241" i="9"/>
  <c r="F261" i="9"/>
  <c r="F111" i="9"/>
  <c r="F140" i="9"/>
  <c r="F156" i="9"/>
  <c r="F181" i="9"/>
  <c r="F197" i="9"/>
  <c r="F213" i="9"/>
  <c r="F229" i="9"/>
  <c r="F240" i="9"/>
  <c r="F245" i="9"/>
  <c r="F248" i="9"/>
  <c r="F282" i="9"/>
  <c r="F298" i="9"/>
  <c r="F305" i="9"/>
  <c r="F204" i="9"/>
  <c r="F164" i="9"/>
  <c r="F108" i="9"/>
  <c r="F291" i="9"/>
  <c r="F266" i="9"/>
  <c r="F162" i="9"/>
  <c r="F303" i="9"/>
  <c r="F284" i="9"/>
  <c r="F259" i="9"/>
  <c r="F224" i="9"/>
  <c r="F202" i="9"/>
  <c r="F183" i="9"/>
  <c r="F155" i="9"/>
  <c r="F112" i="9"/>
  <c r="F81" i="9"/>
  <c r="F64" i="9"/>
  <c r="F46" i="9"/>
  <c r="F26" i="9"/>
  <c r="F283" i="9"/>
  <c r="F227" i="9"/>
  <c r="F173" i="9"/>
  <c r="F138" i="9"/>
  <c r="F92" i="9"/>
  <c r="F74" i="9"/>
  <c r="F45" i="9"/>
  <c r="F28" i="9"/>
  <c r="F295" i="9"/>
  <c r="F276" i="9"/>
  <c r="F256" i="9"/>
  <c r="F226" i="9"/>
  <c r="F207" i="9"/>
  <c r="F184" i="9"/>
  <c r="F149" i="9"/>
  <c r="F131" i="9"/>
  <c r="F104" i="9"/>
  <c r="F86" i="9"/>
  <c r="F57" i="9"/>
  <c r="F40" i="9"/>
  <c r="F18" i="9"/>
  <c r="F228" i="9"/>
  <c r="F187" i="9"/>
  <c r="F165" i="9"/>
  <c r="F145" i="9"/>
  <c r="F116" i="9"/>
  <c r="F85" i="9"/>
  <c r="F68" i="9"/>
  <c r="F37" i="9"/>
  <c r="F24" i="9"/>
  <c r="F17" i="9"/>
  <c r="F273" i="9"/>
  <c r="F188" i="9"/>
  <c r="F153" i="9"/>
  <c r="F93" i="9"/>
  <c r="F288" i="9"/>
  <c r="F253" i="9"/>
  <c r="F50" i="9"/>
  <c r="F300" i="9"/>
  <c r="F277" i="9"/>
  <c r="F247" i="9"/>
  <c r="F218" i="9"/>
  <c r="F199" i="9"/>
  <c r="F171" i="9"/>
  <c r="F142" i="9"/>
  <c r="F110" i="9"/>
  <c r="F80" i="9"/>
  <c r="F62" i="9"/>
  <c r="F33" i="9"/>
  <c r="F13" i="9"/>
  <c r="F299" i="9"/>
  <c r="F280" i="9"/>
  <c r="F211" i="9"/>
  <c r="F169" i="9"/>
  <c r="F137" i="9"/>
  <c r="F90" i="9"/>
  <c r="F61" i="9"/>
  <c r="F44" i="9"/>
  <c r="F311" i="9"/>
  <c r="F292" i="9"/>
  <c r="F272" i="9"/>
  <c r="F251" i="9"/>
  <c r="F223" i="9"/>
  <c r="F200" i="9"/>
  <c r="F178" i="9"/>
  <c r="F147" i="9"/>
  <c r="F127" i="9"/>
  <c r="F102" i="9"/>
  <c r="F73" i="9"/>
  <c r="F56" i="9"/>
  <c r="F38" i="9"/>
  <c r="F212" i="9"/>
  <c r="F180" i="9"/>
  <c r="F161" i="9"/>
  <c r="F143" i="9"/>
  <c r="F114" i="9"/>
  <c r="F84" i="9"/>
  <c r="F66" i="9"/>
  <c r="F36" i="9"/>
  <c r="F22" i="9"/>
  <c r="F16" i="9"/>
  <c r="F258" i="9"/>
  <c r="F170" i="9"/>
  <c r="F135" i="9"/>
  <c r="F307" i="9"/>
  <c r="F275" i="9"/>
  <c r="F250" i="9"/>
  <c r="F293" i="9"/>
  <c r="F265" i="9"/>
  <c r="F239" i="9"/>
  <c r="F215" i="9"/>
  <c r="F192" i="9"/>
  <c r="F158" i="9"/>
  <c r="F141" i="9"/>
  <c r="F96" i="9"/>
  <c r="F78" i="9"/>
  <c r="F49" i="9"/>
  <c r="F32" i="9"/>
  <c r="F296" i="9"/>
  <c r="F257" i="9"/>
  <c r="F195" i="9"/>
  <c r="F154" i="9"/>
  <c r="F122" i="9"/>
  <c r="F77" i="9"/>
  <c r="F60" i="9"/>
  <c r="F42" i="9"/>
  <c r="F308" i="9"/>
  <c r="F285" i="9"/>
  <c r="F267" i="9"/>
  <c r="F243" i="9"/>
  <c r="F216" i="9"/>
  <c r="F194" i="9"/>
  <c r="F163" i="9"/>
  <c r="F134" i="9"/>
  <c r="F120" i="9"/>
  <c r="F89" i="9"/>
  <c r="F72" i="9"/>
  <c r="F54" i="9"/>
  <c r="F21" i="9"/>
  <c r="F297" i="9"/>
  <c r="F203" i="9"/>
  <c r="F175" i="9"/>
  <c r="F159" i="9"/>
  <c r="F130" i="9"/>
  <c r="F100" i="9"/>
  <c r="F82" i="9"/>
  <c r="F53" i="9"/>
  <c r="F34" i="9"/>
  <c r="F14" i="9"/>
  <c r="F220" i="9"/>
  <c r="F167" i="9"/>
  <c r="F124" i="9"/>
  <c r="F304" i="9"/>
  <c r="F269" i="9"/>
  <c r="F219" i="9"/>
  <c r="F309" i="9"/>
  <c r="F287" i="9"/>
  <c r="F264" i="9"/>
  <c r="F231" i="9"/>
  <c r="F208" i="9"/>
  <c r="F186" i="9"/>
  <c r="F157" i="9"/>
  <c r="F139" i="9"/>
  <c r="F94" i="9"/>
  <c r="F65" i="9"/>
  <c r="F48" i="9"/>
  <c r="F30" i="9"/>
  <c r="F289" i="9"/>
  <c r="F246" i="9"/>
  <c r="F179" i="9"/>
  <c r="F151" i="9"/>
  <c r="F106" i="9"/>
  <c r="F76" i="9"/>
  <c r="F58" i="9"/>
  <c r="F29" i="9"/>
  <c r="F301" i="9"/>
  <c r="F279" i="9"/>
  <c r="F263" i="9"/>
  <c r="F235" i="9"/>
  <c r="F210" i="9"/>
  <c r="F191" i="9"/>
  <c r="F150" i="9"/>
  <c r="F133" i="9"/>
  <c r="F118" i="9"/>
  <c r="F88" i="9"/>
  <c r="F70" i="9"/>
  <c r="F41" i="9"/>
  <c r="F20" i="9"/>
  <c r="F281" i="9"/>
  <c r="F196" i="9"/>
  <c r="F172" i="9"/>
  <c r="F146" i="9"/>
  <c r="F129" i="9"/>
  <c r="F98" i="9"/>
  <c r="F69" i="9"/>
  <c r="F52" i="9"/>
  <c r="F25" i="9"/>
  <c r="F238" i="9"/>
  <c r="F198" i="9"/>
  <c r="F222" i="9"/>
  <c r="F113" i="9"/>
  <c r="F125" i="9"/>
  <c r="F234" i="9"/>
  <c r="F182" i="9"/>
  <c r="F206" i="9"/>
  <c r="F105" i="9"/>
  <c r="F117" i="9"/>
  <c r="F262" i="9"/>
  <c r="F230" i="9"/>
  <c r="F270" i="9"/>
  <c r="F190" i="9"/>
  <c r="F97" i="9"/>
  <c r="F109" i="9"/>
  <c r="F242" i="9"/>
  <c r="F214" i="9"/>
  <c r="F254" i="9"/>
  <c r="F121" i="9"/>
  <c r="F126" i="9"/>
  <c r="F101" i="9"/>
  <c r="AK155" i="42"/>
  <c r="AE155" i="42"/>
  <c r="AC155" i="42"/>
  <c r="AM155" i="42"/>
  <c r="D312" i="9"/>
  <c r="F12" i="9"/>
  <c r="E312" i="9"/>
  <c r="E227" i="25" l="1"/>
  <c r="C228" i="39"/>
  <c r="C228" i="12"/>
  <c r="J228" i="49"/>
  <c r="C228" i="33"/>
  <c r="C228" i="13"/>
  <c r="C234" i="9"/>
  <c r="AK228" i="42"/>
  <c r="AC228" i="42"/>
  <c r="AM228" i="42"/>
  <c r="AE228" i="42"/>
  <c r="F312" i="9"/>
  <c r="C6" i="9" s="1"/>
  <c r="E228" i="33" l="1"/>
  <c r="D228" i="37" s="1"/>
  <c r="C228" i="11"/>
  <c r="C234" i="34"/>
  <c r="AJ306" i="42"/>
  <c r="B6" i="54" l="1"/>
  <c r="A6" i="54"/>
  <c r="B6" i="11" l="1"/>
  <c r="B6" i="48" l="1"/>
  <c r="C7" i="34"/>
  <c r="C6" i="34"/>
  <c r="H5" i="39" l="1"/>
  <c r="D5" i="25" l="1"/>
  <c r="B5" i="25"/>
  <c r="A5" i="25"/>
  <c r="A2" i="25" l="1"/>
  <c r="A2" i="49"/>
  <c r="A2" i="13"/>
  <c r="A2" i="39"/>
  <c r="A2" i="12"/>
  <c r="A2" i="34"/>
  <c r="A2" i="11"/>
  <c r="A2" i="37"/>
  <c r="A2" i="36"/>
  <c r="A2" i="9"/>
  <c r="A2" i="33"/>
  <c r="A2" i="19"/>
  <c r="A2" i="42"/>
  <c r="E46" i="40"/>
  <c r="I45" i="40" l="1"/>
  <c r="A56" i="40"/>
  <c r="D5" i="49" l="1"/>
  <c r="Q5" i="19"/>
  <c r="X5" i="42"/>
  <c r="E6" i="49" l="1"/>
  <c r="D6" i="49"/>
  <c r="C6" i="49"/>
  <c r="I6" i="49" s="1"/>
  <c r="AR306" i="42"/>
  <c r="J6" i="11" l="1"/>
  <c r="E6" i="11"/>
  <c r="AN306" i="42"/>
  <c r="AL6" i="42"/>
  <c r="AH306" i="42"/>
  <c r="AG306" i="42"/>
  <c r="AB306" i="42"/>
  <c r="AF306" i="42"/>
  <c r="D6" i="33"/>
  <c r="AL306" i="42" l="1"/>
  <c r="D306" i="33"/>
  <c r="R5" i="19"/>
  <c r="O6" i="19"/>
  <c r="AD306" i="42" l="1"/>
  <c r="S306" i="42" l="1"/>
  <c r="H306" i="42"/>
  <c r="I306" i="42"/>
  <c r="J306" i="42"/>
  <c r="N306" i="42" l="1"/>
  <c r="J5" i="12" l="1"/>
  <c r="G306" i="42" l="1"/>
  <c r="K306" i="42"/>
  <c r="L306" i="42"/>
  <c r="D306" i="42"/>
  <c r="E306" i="42"/>
  <c r="C306" i="42"/>
  <c r="D6" i="19" l="1"/>
  <c r="H5" i="33"/>
  <c r="I5" i="33"/>
  <c r="J5" i="33"/>
  <c r="K5" i="33"/>
  <c r="H4" i="33"/>
  <c r="I4" i="33"/>
  <c r="J4" i="33"/>
  <c r="K4" i="33"/>
  <c r="F6" i="37" l="1"/>
  <c r="Q6" i="19"/>
  <c r="C5" i="25" s="1"/>
  <c r="Z5" i="42" l="1"/>
  <c r="U306" i="42" l="1"/>
  <c r="V306" i="42"/>
  <c r="W306" i="42"/>
  <c r="A6" i="11" l="1"/>
  <c r="K6" i="19" l="1"/>
  <c r="N6" i="19"/>
  <c r="G6" i="19"/>
  <c r="F6" i="19"/>
  <c r="M6" i="19"/>
  <c r="E6" i="19"/>
  <c r="L5" i="11" l="1"/>
  <c r="G5" i="11"/>
  <c r="F218" i="11" l="1"/>
  <c r="G218" i="11" s="1"/>
  <c r="F57" i="11"/>
  <c r="G57" i="11" s="1"/>
  <c r="F59" i="11"/>
  <c r="G59" i="11" s="1"/>
  <c r="F284" i="11"/>
  <c r="G284" i="11" s="1"/>
  <c r="F192" i="11"/>
  <c r="G192" i="11" s="1"/>
  <c r="F291" i="11"/>
  <c r="G291" i="11" s="1"/>
  <c r="F128" i="11"/>
  <c r="G128" i="11" s="1"/>
  <c r="F200" i="11"/>
  <c r="G200" i="11" s="1"/>
  <c r="F296" i="11"/>
  <c r="G296" i="11" s="1"/>
  <c r="F131" i="11"/>
  <c r="G131" i="11" s="1"/>
  <c r="F35" i="11"/>
  <c r="G35" i="11" s="1"/>
  <c r="F11" i="11"/>
  <c r="G11" i="11" s="1"/>
  <c r="F234" i="11"/>
  <c r="G234" i="11" s="1"/>
  <c r="F43" i="11"/>
  <c r="G43" i="11" s="1"/>
  <c r="F211" i="11"/>
  <c r="G211" i="11" s="1"/>
  <c r="F276" i="11"/>
  <c r="G276" i="11" s="1"/>
  <c r="F136" i="11"/>
  <c r="G136" i="11" s="1"/>
  <c r="F173" i="11"/>
  <c r="G173" i="11" s="1"/>
  <c r="F189" i="11"/>
  <c r="G189" i="11" s="1"/>
  <c r="F246" i="11"/>
  <c r="G246" i="11" s="1"/>
  <c r="F115" i="11"/>
  <c r="G115" i="11" s="1"/>
  <c r="F165" i="11"/>
  <c r="G165" i="11" s="1"/>
  <c r="F171" i="11"/>
  <c r="G171" i="11" s="1"/>
  <c r="F133" i="11"/>
  <c r="G133" i="11" s="1"/>
  <c r="F191" i="11"/>
  <c r="G191" i="11" s="1"/>
  <c r="F145" i="11"/>
  <c r="G145" i="11" s="1"/>
  <c r="F199" i="11"/>
  <c r="G199" i="11" s="1"/>
  <c r="F250" i="11"/>
  <c r="G250" i="11" s="1"/>
  <c r="F177" i="11"/>
  <c r="G177" i="11" s="1"/>
  <c r="F144" i="11"/>
  <c r="G144" i="11" s="1"/>
  <c r="F207" i="11"/>
  <c r="G207" i="11" s="1"/>
  <c r="F201" i="11"/>
  <c r="G201" i="11" s="1"/>
  <c r="F176" i="11"/>
  <c r="G176" i="11" s="1"/>
  <c r="F102" i="11"/>
  <c r="G102" i="11" s="1"/>
  <c r="F149" i="11"/>
  <c r="G149" i="11" s="1"/>
  <c r="F238" i="11"/>
  <c r="G238" i="11" s="1"/>
  <c r="F168" i="11"/>
  <c r="G168" i="11" s="1"/>
  <c r="F15" i="11"/>
  <c r="G15" i="11" s="1"/>
  <c r="F152" i="11"/>
  <c r="G152" i="11" s="1"/>
  <c r="F181" i="11"/>
  <c r="G181" i="11" s="1"/>
  <c r="F127" i="11"/>
  <c r="G127" i="11" s="1"/>
  <c r="F110" i="11"/>
  <c r="G110" i="11" s="1"/>
  <c r="F135" i="11"/>
  <c r="G135" i="11" s="1"/>
  <c r="F197" i="11"/>
  <c r="G197" i="11" s="1"/>
  <c r="F195" i="11"/>
  <c r="G195" i="11" s="1"/>
  <c r="F183" i="11"/>
  <c r="G183" i="11" s="1"/>
  <c r="F193" i="11"/>
  <c r="G193" i="11" s="1"/>
  <c r="F153" i="11"/>
  <c r="G153" i="11" s="1"/>
  <c r="F205" i="11"/>
  <c r="G205" i="11" s="1"/>
  <c r="F294" i="11"/>
  <c r="G294" i="11" s="1"/>
  <c r="F13" i="11"/>
  <c r="G13" i="11" s="1"/>
  <c r="F283" i="11"/>
  <c r="G283" i="11" s="1"/>
  <c r="F230" i="11"/>
  <c r="G230" i="11" s="1"/>
  <c r="F49" i="11"/>
  <c r="G49" i="11" s="1"/>
  <c r="F292" i="11"/>
  <c r="G292" i="11" s="1"/>
  <c r="F19" i="11"/>
  <c r="G19" i="11" s="1"/>
  <c r="F179" i="11"/>
  <c r="G179" i="11" s="1"/>
  <c r="F33" i="11"/>
  <c r="G33" i="11" s="1"/>
  <c r="F160" i="11"/>
  <c r="G160" i="11" s="1"/>
  <c r="F184" i="11"/>
  <c r="G184" i="11" s="1"/>
  <c r="F129" i="11"/>
  <c r="G129" i="11" s="1"/>
  <c r="F125" i="11"/>
  <c r="G125" i="11" s="1"/>
  <c r="F161" i="11"/>
  <c r="G161" i="11" s="1"/>
  <c r="F112" i="11"/>
  <c r="G112" i="11" s="1"/>
  <c r="F41" i="11"/>
  <c r="G41" i="11" s="1"/>
  <c r="F185" i="11"/>
  <c r="G185" i="11" s="1"/>
  <c r="F163" i="11"/>
  <c r="G163" i="11" s="1"/>
  <c r="F27" i="11"/>
  <c r="G27" i="11" s="1"/>
  <c r="F226" i="11"/>
  <c r="G226" i="11" s="1"/>
  <c r="F25" i="11"/>
  <c r="G25" i="11" s="1"/>
  <c r="F51" i="11"/>
  <c r="G51" i="11" s="1"/>
  <c r="F139" i="11"/>
  <c r="G139" i="11" s="1"/>
  <c r="F203" i="11"/>
  <c r="G203" i="11" s="1"/>
  <c r="F141" i="11"/>
  <c r="G141" i="11" s="1"/>
  <c r="F157" i="11"/>
  <c r="G157" i="11" s="1"/>
  <c r="F107" i="11"/>
  <c r="G107" i="11" s="1"/>
  <c r="F187" i="11"/>
  <c r="G187" i="11" s="1"/>
  <c r="F304" i="11"/>
  <c r="G304" i="11" s="1"/>
  <c r="F264" i="11"/>
  <c r="G264" i="11" s="1"/>
  <c r="F94" i="11"/>
  <c r="G94" i="11" s="1"/>
  <c r="F263" i="11"/>
  <c r="G263" i="11" s="1"/>
  <c r="F142" i="11"/>
  <c r="G142" i="11" s="1"/>
  <c r="F159" i="11"/>
  <c r="G159" i="11" s="1"/>
  <c r="F8" i="11"/>
  <c r="G8" i="11" s="1"/>
  <c r="F156" i="11"/>
  <c r="G156" i="11" s="1"/>
  <c r="F67" i="11"/>
  <c r="G67" i="11" s="1"/>
  <c r="F32" i="11"/>
  <c r="G32" i="11" s="1"/>
  <c r="F268" i="11"/>
  <c r="G268" i="11" s="1"/>
  <c r="F222" i="11"/>
  <c r="G222" i="11" s="1"/>
  <c r="F216" i="11"/>
  <c r="G216" i="11" s="1"/>
  <c r="F231" i="11"/>
  <c r="G231" i="11" s="1"/>
  <c r="F204" i="11"/>
  <c r="G204" i="11" s="1"/>
  <c r="F293" i="11"/>
  <c r="G293" i="11" s="1"/>
  <c r="F166" i="11"/>
  <c r="G166" i="11" s="1"/>
  <c r="F79" i="11"/>
  <c r="G79" i="11" s="1"/>
  <c r="F28" i="11"/>
  <c r="G28" i="11" s="1"/>
  <c r="F217" i="11"/>
  <c r="G217" i="11" s="1"/>
  <c r="F124" i="11"/>
  <c r="G124" i="11" s="1"/>
  <c r="F240" i="11"/>
  <c r="G240" i="11" s="1"/>
  <c r="F251" i="11"/>
  <c r="G251" i="11" s="1"/>
  <c r="F69" i="11"/>
  <c r="G69" i="11" s="1"/>
  <c r="F154" i="11"/>
  <c r="G154" i="11" s="1"/>
  <c r="F91" i="11"/>
  <c r="G91" i="11" s="1"/>
  <c r="F148" i="11"/>
  <c r="G148" i="11" s="1"/>
  <c r="F119" i="11"/>
  <c r="G119" i="11" s="1"/>
  <c r="F16" i="11"/>
  <c r="G16" i="11" s="1"/>
  <c r="F288" i="11"/>
  <c r="G288" i="11" s="1"/>
  <c r="F241" i="11"/>
  <c r="G241" i="11" s="1"/>
  <c r="F219" i="11"/>
  <c r="G219" i="11" s="1"/>
  <c r="F50" i="11"/>
  <c r="G50" i="11" s="1"/>
  <c r="F106" i="11"/>
  <c r="G106" i="11" s="1"/>
  <c r="F301" i="11"/>
  <c r="G301" i="11" s="1"/>
  <c r="F247" i="11"/>
  <c r="G247" i="11" s="1"/>
  <c r="F130" i="11"/>
  <c r="G130" i="11" s="1"/>
  <c r="F236" i="11"/>
  <c r="G236" i="11" s="1"/>
  <c r="F290" i="11"/>
  <c r="G290" i="11" s="1"/>
  <c r="F40" i="11"/>
  <c r="G40" i="11" s="1"/>
  <c r="F297" i="11"/>
  <c r="G297" i="11" s="1"/>
  <c r="F10" i="11"/>
  <c r="G10" i="11" s="1"/>
  <c r="F96" i="11"/>
  <c r="G96" i="11" s="1"/>
  <c r="F114" i="11"/>
  <c r="G114" i="11" s="1"/>
  <c r="F109" i="11"/>
  <c r="G109" i="11" s="1"/>
  <c r="F42" i="11"/>
  <c r="G42" i="11" s="1"/>
  <c r="F278" i="11"/>
  <c r="G278" i="11" s="1"/>
  <c r="F225" i="11"/>
  <c r="G225" i="11" s="1"/>
  <c r="F267" i="11"/>
  <c r="G267" i="11" s="1"/>
  <c r="F123" i="11"/>
  <c r="G123" i="11" s="1"/>
  <c r="F45" i="11"/>
  <c r="G45" i="11" s="1"/>
  <c r="F58" i="11"/>
  <c r="G58" i="11" s="1"/>
  <c r="F53" i="11"/>
  <c r="G53" i="11" s="1"/>
  <c r="F164" i="11"/>
  <c r="G164" i="11" s="1"/>
  <c r="F215" i="11"/>
  <c r="G215" i="11" s="1"/>
  <c r="F298" i="11"/>
  <c r="G298" i="11" s="1"/>
  <c r="F85" i="11"/>
  <c r="G85" i="11" s="1"/>
  <c r="F209" i="11"/>
  <c r="G209" i="11" s="1"/>
  <c r="F300" i="11"/>
  <c r="G300" i="11" s="1"/>
  <c r="F287" i="11"/>
  <c r="G287" i="11" s="1"/>
  <c r="F118" i="11"/>
  <c r="G118" i="11" s="1"/>
  <c r="F24" i="11"/>
  <c r="G24" i="11" s="1"/>
  <c r="F235" i="11"/>
  <c r="G235" i="11" s="1"/>
  <c r="F100" i="11"/>
  <c r="G100" i="11" s="1"/>
  <c r="F101" i="11"/>
  <c r="G101" i="11" s="1"/>
  <c r="F221" i="11"/>
  <c r="G221" i="11" s="1"/>
  <c r="F47" i="11"/>
  <c r="G47" i="11" s="1"/>
  <c r="F26" i="11"/>
  <c r="G26" i="11" s="1"/>
  <c r="F279" i="11"/>
  <c r="G279" i="11" s="1"/>
  <c r="F73" i="11"/>
  <c r="G73" i="11" s="1"/>
  <c r="F224" i="11"/>
  <c r="G224" i="11" s="1"/>
  <c r="F84" i="11"/>
  <c r="G84" i="11" s="1"/>
  <c r="F282" i="11"/>
  <c r="G282" i="11" s="1"/>
  <c r="F99" i="11"/>
  <c r="G99" i="11" s="1"/>
  <c r="F64" i="11"/>
  <c r="G64" i="11" s="1"/>
  <c r="F17" i="11"/>
  <c r="G17" i="11" s="1"/>
  <c r="F36" i="11"/>
  <c r="G36" i="11" s="1"/>
  <c r="F273" i="11"/>
  <c r="G273" i="11" s="1"/>
  <c r="F105" i="11"/>
  <c r="G105" i="11" s="1"/>
  <c r="F198" i="11"/>
  <c r="G198" i="11" s="1"/>
  <c r="F253" i="11"/>
  <c r="G253" i="11" s="1"/>
  <c r="F86" i="11"/>
  <c r="G86" i="11" s="1"/>
  <c r="F74" i="11"/>
  <c r="G74" i="11" s="1"/>
  <c r="F138" i="11"/>
  <c r="G138" i="11" s="1"/>
  <c r="F258" i="11"/>
  <c r="G258" i="11" s="1"/>
  <c r="F46" i="11"/>
  <c r="G46" i="11" s="1"/>
  <c r="F256" i="11"/>
  <c r="G256" i="11" s="1"/>
  <c r="F227" i="11"/>
  <c r="G227" i="11" s="1"/>
  <c r="F18" i="11"/>
  <c r="G18" i="11" s="1"/>
  <c r="F277" i="11"/>
  <c r="G277" i="11" s="1"/>
  <c r="F270" i="11"/>
  <c r="G270" i="11" s="1"/>
  <c r="F266" i="11"/>
  <c r="G266" i="11" s="1"/>
  <c r="F54" i="11"/>
  <c r="G54" i="11" s="1"/>
  <c r="F162" i="11"/>
  <c r="G162" i="11" s="1"/>
  <c r="F150" i="11"/>
  <c r="G150" i="11" s="1"/>
  <c r="F76" i="11"/>
  <c r="G76" i="11" s="1"/>
  <c r="F37" i="11"/>
  <c r="G37" i="11" s="1"/>
  <c r="F12" i="11"/>
  <c r="G12" i="11" s="1"/>
  <c r="F29" i="11"/>
  <c r="G29" i="11" s="1"/>
  <c r="F90" i="11"/>
  <c r="G90" i="11" s="1"/>
  <c r="F9" i="11"/>
  <c r="G9" i="11" s="1"/>
  <c r="F237" i="11"/>
  <c r="G237" i="11" s="1"/>
  <c r="F70" i="11"/>
  <c r="G70" i="11" s="1"/>
  <c r="F68" i="11"/>
  <c r="G68" i="11" s="1"/>
  <c r="F126" i="11"/>
  <c r="G126" i="11" s="1"/>
  <c r="F245" i="11"/>
  <c r="G245" i="11" s="1"/>
  <c r="F97" i="11"/>
  <c r="G97" i="11" s="1"/>
  <c r="F61" i="11"/>
  <c r="G61" i="11" s="1"/>
  <c r="F180" i="11"/>
  <c r="G180" i="11" s="1"/>
  <c r="F78" i="11"/>
  <c r="G78" i="11" s="1"/>
  <c r="F98" i="11"/>
  <c r="G98" i="11" s="1"/>
  <c r="F206" i="11"/>
  <c r="G206" i="11" s="1"/>
  <c r="F178" i="11"/>
  <c r="G178" i="11" s="1"/>
  <c r="F259" i="11"/>
  <c r="G259" i="11" s="1"/>
  <c r="F146" i="11"/>
  <c r="G146" i="11" s="1"/>
  <c r="F87" i="11"/>
  <c r="G87" i="11" s="1"/>
  <c r="F255" i="11"/>
  <c r="G255" i="11" s="1"/>
  <c r="F188" i="11"/>
  <c r="G188" i="11" s="1"/>
  <c r="F71" i="11"/>
  <c r="G71" i="11" s="1"/>
  <c r="F285" i="11"/>
  <c r="G285" i="11" s="1"/>
  <c r="F280" i="11"/>
  <c r="G280" i="11" s="1"/>
  <c r="F202" i="11"/>
  <c r="G202" i="11" s="1"/>
  <c r="F274" i="11"/>
  <c r="G274" i="11" s="1"/>
  <c r="F77" i="11"/>
  <c r="G77" i="11" s="1"/>
  <c r="F66" i="11"/>
  <c r="G66" i="11" s="1"/>
  <c r="F212" i="11"/>
  <c r="G212" i="11" s="1"/>
  <c r="F242" i="11"/>
  <c r="G242" i="11" s="1"/>
  <c r="F186" i="11"/>
  <c r="G186" i="11" s="1"/>
  <c r="F257" i="11"/>
  <c r="G257" i="11" s="1"/>
  <c r="F214" i="11"/>
  <c r="G214" i="11" s="1"/>
  <c r="F56" i="11"/>
  <c r="G56" i="11" s="1"/>
  <c r="F305" i="11"/>
  <c r="G305" i="11" s="1"/>
  <c r="F147" i="11"/>
  <c r="G147" i="11" s="1"/>
  <c r="F63" i="11"/>
  <c r="G63" i="11" s="1"/>
  <c r="F55" i="11"/>
  <c r="G55" i="11" s="1"/>
  <c r="F82" i="11"/>
  <c r="G82" i="11" s="1"/>
  <c r="F62" i="11"/>
  <c r="G62" i="11" s="1"/>
  <c r="F260" i="11"/>
  <c r="G260" i="11" s="1"/>
  <c r="F121" i="11"/>
  <c r="G121" i="11" s="1"/>
  <c r="F243" i="11"/>
  <c r="G243" i="11" s="1"/>
  <c r="F265" i="11"/>
  <c r="G265" i="11" s="1"/>
  <c r="F103" i="11"/>
  <c r="G103" i="11" s="1"/>
  <c r="F80" i="11"/>
  <c r="G80" i="11" s="1"/>
  <c r="F182" i="11"/>
  <c r="G182" i="11" s="1"/>
  <c r="F117" i="11"/>
  <c r="G117" i="11" s="1"/>
  <c r="F31" i="11"/>
  <c r="G31" i="11" s="1"/>
  <c r="F239" i="11"/>
  <c r="G239" i="11" s="1"/>
  <c r="F286" i="11"/>
  <c r="G286" i="11" s="1"/>
  <c r="F14" i="11"/>
  <c r="G14" i="11" s="1"/>
  <c r="F208" i="11"/>
  <c r="G208" i="11" s="1"/>
  <c r="F295" i="11"/>
  <c r="G295" i="11" s="1"/>
  <c r="F213" i="11"/>
  <c r="G213" i="11" s="1"/>
  <c r="F190" i="11"/>
  <c r="G190" i="11" s="1"/>
  <c r="F151" i="11"/>
  <c r="G151" i="11" s="1"/>
  <c r="F169" i="11"/>
  <c r="G169" i="11" s="1"/>
  <c r="F132" i="11"/>
  <c r="G132" i="11" s="1"/>
  <c r="F39" i="11"/>
  <c r="G39" i="11" s="1"/>
  <c r="F249" i="11"/>
  <c r="G249" i="11" s="1"/>
  <c r="F289" i="11"/>
  <c r="G289" i="11" s="1"/>
  <c r="F48" i="11"/>
  <c r="G48" i="11" s="1"/>
  <c r="F174" i="11"/>
  <c r="G174" i="11" s="1"/>
  <c r="F244" i="11"/>
  <c r="G244" i="11" s="1"/>
  <c r="F248" i="11"/>
  <c r="G248" i="11" s="1"/>
  <c r="F93" i="11"/>
  <c r="G93" i="11" s="1"/>
  <c r="F44" i="11"/>
  <c r="G44" i="11" s="1"/>
  <c r="F60" i="11"/>
  <c r="G60" i="11" s="1"/>
  <c r="F108" i="11"/>
  <c r="G108" i="11" s="1"/>
  <c r="F116" i="11"/>
  <c r="G116" i="11" s="1"/>
  <c r="F34" i="11"/>
  <c r="G34" i="11" s="1"/>
  <c r="F65" i="11"/>
  <c r="G65" i="11" s="1"/>
  <c r="F158" i="11"/>
  <c r="G158" i="11" s="1"/>
  <c r="F252" i="11"/>
  <c r="G252" i="11" s="1"/>
  <c r="F172" i="11"/>
  <c r="G172" i="11" s="1"/>
  <c r="F210" i="11"/>
  <c r="G210" i="11" s="1"/>
  <c r="F23" i="11"/>
  <c r="G23" i="11" s="1"/>
  <c r="F134" i="11"/>
  <c r="G134" i="11" s="1"/>
  <c r="F269" i="11"/>
  <c r="G269" i="11" s="1"/>
  <c r="F262" i="11"/>
  <c r="G262" i="11" s="1"/>
  <c r="F122" i="11"/>
  <c r="G122" i="11" s="1"/>
  <c r="F7" i="11"/>
  <c r="G7" i="11" s="1"/>
  <c r="F20" i="11"/>
  <c r="G20" i="11" s="1"/>
  <c r="F140" i="11"/>
  <c r="G140" i="11" s="1"/>
  <c r="F52" i="11"/>
  <c r="G52" i="11" s="1"/>
  <c r="F22" i="11"/>
  <c r="G22" i="11" s="1"/>
  <c r="F81" i="11"/>
  <c r="G81" i="11" s="1"/>
  <c r="F104" i="11"/>
  <c r="G104" i="11" s="1"/>
  <c r="F170" i="11"/>
  <c r="G170" i="11" s="1"/>
  <c r="F92" i="11"/>
  <c r="G92" i="11" s="1"/>
  <c r="F155" i="11"/>
  <c r="G155" i="11" s="1"/>
  <c r="F232" i="11"/>
  <c r="G232" i="11" s="1"/>
  <c r="F220" i="11"/>
  <c r="G220" i="11" s="1"/>
  <c r="F83" i="11"/>
  <c r="G83" i="11" s="1"/>
  <c r="F95" i="11"/>
  <c r="G95" i="11" s="1"/>
  <c r="F89" i="11"/>
  <c r="G89" i="11" s="1"/>
  <c r="F88" i="11"/>
  <c r="G88" i="11" s="1"/>
  <c r="F111" i="11"/>
  <c r="G111" i="11" s="1"/>
  <c r="F281" i="11"/>
  <c r="G281" i="11" s="1"/>
  <c r="F196" i="11"/>
  <c r="G196" i="11" s="1"/>
  <c r="F275" i="11"/>
  <c r="G275" i="11" s="1"/>
  <c r="F167" i="11"/>
  <c r="G167" i="11" s="1"/>
  <c r="F223" i="11"/>
  <c r="G223" i="11" s="1"/>
  <c r="F303" i="11"/>
  <c r="G303" i="11" s="1"/>
  <c r="F229" i="11"/>
  <c r="G229" i="11" s="1"/>
  <c r="F72" i="11"/>
  <c r="G72" i="11" s="1"/>
  <c r="F75" i="11"/>
  <c r="G75" i="11" s="1"/>
  <c r="F233" i="11"/>
  <c r="G233" i="11" s="1"/>
  <c r="F38" i="11"/>
  <c r="G38" i="11" s="1"/>
  <c r="F194" i="11"/>
  <c r="G194" i="11" s="1"/>
  <c r="F30" i="11"/>
  <c r="G30" i="11" s="1"/>
  <c r="F299" i="11"/>
  <c r="G299" i="11" s="1"/>
  <c r="F254" i="11"/>
  <c r="G254" i="11" s="1"/>
  <c r="F302" i="11"/>
  <c r="G302" i="11" s="1"/>
  <c r="F272" i="11"/>
  <c r="G272" i="11" s="1"/>
  <c r="F271" i="11"/>
  <c r="G271" i="11" s="1"/>
  <c r="F21" i="11"/>
  <c r="G21" i="11" s="1"/>
  <c r="F120" i="11"/>
  <c r="G120" i="11" s="1"/>
  <c r="F261" i="11"/>
  <c r="G261" i="11" s="1"/>
  <c r="F143" i="11"/>
  <c r="G143" i="11" s="1"/>
  <c r="F137" i="11"/>
  <c r="G137" i="11" s="1"/>
  <c r="F175" i="11"/>
  <c r="G175" i="11" s="1"/>
  <c r="F113" i="11"/>
  <c r="G113" i="11" s="1"/>
  <c r="F228" i="11"/>
  <c r="G228" i="11" s="1"/>
  <c r="K163" i="11"/>
  <c r="L163" i="11" s="1"/>
  <c r="K131" i="11"/>
  <c r="L131" i="11" s="1"/>
  <c r="K35" i="11"/>
  <c r="L35" i="11" s="1"/>
  <c r="K27" i="11"/>
  <c r="L27" i="11" s="1"/>
  <c r="K226" i="11"/>
  <c r="L226" i="11" s="1"/>
  <c r="K43" i="11"/>
  <c r="L43" i="11" s="1"/>
  <c r="K136" i="11"/>
  <c r="L136" i="11" s="1"/>
  <c r="K203" i="11"/>
  <c r="L203" i="11" s="1"/>
  <c r="K141" i="11"/>
  <c r="L141" i="11" s="1"/>
  <c r="K157" i="11"/>
  <c r="L157" i="11" s="1"/>
  <c r="K218" i="11"/>
  <c r="L218" i="11" s="1"/>
  <c r="K57" i="11"/>
  <c r="L57" i="11" s="1"/>
  <c r="K284" i="11"/>
  <c r="L284" i="11" s="1"/>
  <c r="K192" i="11"/>
  <c r="L192" i="11" s="1"/>
  <c r="K291" i="11"/>
  <c r="L291" i="11" s="1"/>
  <c r="K133" i="11"/>
  <c r="L133" i="11" s="1"/>
  <c r="K200" i="11"/>
  <c r="L200" i="11" s="1"/>
  <c r="K296" i="11"/>
  <c r="L296" i="11" s="1"/>
  <c r="K177" i="11"/>
  <c r="L177" i="11" s="1"/>
  <c r="K11" i="11"/>
  <c r="L11" i="11" s="1"/>
  <c r="K234" i="11"/>
  <c r="L234" i="11" s="1"/>
  <c r="K211" i="11"/>
  <c r="L211" i="11" s="1"/>
  <c r="K276" i="11"/>
  <c r="L276" i="11" s="1"/>
  <c r="K173" i="11"/>
  <c r="L173" i="11" s="1"/>
  <c r="K189" i="11"/>
  <c r="L189" i="11" s="1"/>
  <c r="K102" i="11"/>
  <c r="L102" i="11" s="1"/>
  <c r="K246" i="11"/>
  <c r="L246" i="11" s="1"/>
  <c r="K149" i="11"/>
  <c r="L149" i="11" s="1"/>
  <c r="K115" i="11"/>
  <c r="L115" i="11" s="1"/>
  <c r="K165" i="11"/>
  <c r="L165" i="11" s="1"/>
  <c r="K171" i="11"/>
  <c r="L171" i="11" s="1"/>
  <c r="K152" i="11"/>
  <c r="L152" i="11" s="1"/>
  <c r="K110" i="11"/>
  <c r="L110" i="11" s="1"/>
  <c r="K191" i="11"/>
  <c r="L191" i="11" s="1"/>
  <c r="K145" i="11"/>
  <c r="L145" i="11" s="1"/>
  <c r="K199" i="11"/>
  <c r="L199" i="11" s="1"/>
  <c r="K250" i="11"/>
  <c r="L250" i="11" s="1"/>
  <c r="K144" i="11"/>
  <c r="L144" i="11" s="1"/>
  <c r="K207" i="11"/>
  <c r="L207" i="11" s="1"/>
  <c r="K201" i="11"/>
  <c r="L201" i="11" s="1"/>
  <c r="K176" i="11"/>
  <c r="L176" i="11" s="1"/>
  <c r="K238" i="11"/>
  <c r="L238" i="11" s="1"/>
  <c r="K168" i="11"/>
  <c r="L168" i="11" s="1"/>
  <c r="K15" i="11"/>
  <c r="L15" i="11" s="1"/>
  <c r="K181" i="11"/>
  <c r="L181" i="11" s="1"/>
  <c r="K127" i="11"/>
  <c r="L127" i="11" s="1"/>
  <c r="K135" i="11"/>
  <c r="L135" i="11" s="1"/>
  <c r="K197" i="11"/>
  <c r="L197" i="11" s="1"/>
  <c r="K129" i="11"/>
  <c r="L129" i="11" s="1"/>
  <c r="K161" i="11"/>
  <c r="L161" i="11" s="1"/>
  <c r="K112" i="11"/>
  <c r="L112" i="11" s="1"/>
  <c r="K195" i="11"/>
  <c r="L195" i="11" s="1"/>
  <c r="K183" i="11"/>
  <c r="L183" i="11" s="1"/>
  <c r="K193" i="11"/>
  <c r="L193" i="11" s="1"/>
  <c r="K153" i="11"/>
  <c r="L153" i="11" s="1"/>
  <c r="K205" i="11"/>
  <c r="L205" i="11" s="1"/>
  <c r="K294" i="11"/>
  <c r="L294" i="11" s="1"/>
  <c r="K13" i="11"/>
  <c r="L13" i="11" s="1"/>
  <c r="K25" i="11"/>
  <c r="L25" i="11" s="1"/>
  <c r="K51" i="11"/>
  <c r="L51" i="11" s="1"/>
  <c r="K283" i="11"/>
  <c r="L283" i="11" s="1"/>
  <c r="K139" i="11"/>
  <c r="L139" i="11" s="1"/>
  <c r="K230" i="11"/>
  <c r="L230" i="11" s="1"/>
  <c r="K49" i="11"/>
  <c r="L49" i="11" s="1"/>
  <c r="K292" i="11"/>
  <c r="L292" i="11" s="1"/>
  <c r="K19" i="11"/>
  <c r="L19" i="11" s="1"/>
  <c r="K179" i="11"/>
  <c r="L179" i="11" s="1"/>
  <c r="K33" i="11"/>
  <c r="L33" i="11" s="1"/>
  <c r="K59" i="11"/>
  <c r="L59" i="11" s="1"/>
  <c r="K160" i="11"/>
  <c r="L160" i="11" s="1"/>
  <c r="K184" i="11"/>
  <c r="L184" i="11" s="1"/>
  <c r="K128" i="11"/>
  <c r="L128" i="11" s="1"/>
  <c r="K125" i="11"/>
  <c r="L125" i="11" s="1"/>
  <c r="K41" i="11"/>
  <c r="L41" i="11" s="1"/>
  <c r="K185" i="11"/>
  <c r="L185" i="11" s="1"/>
  <c r="K241" i="11"/>
  <c r="L241" i="11" s="1"/>
  <c r="K89" i="11"/>
  <c r="L89" i="11" s="1"/>
  <c r="K111" i="11"/>
  <c r="L111" i="11" s="1"/>
  <c r="K50" i="11"/>
  <c r="L50" i="11" s="1"/>
  <c r="K281" i="11"/>
  <c r="L281" i="11" s="1"/>
  <c r="K196" i="11"/>
  <c r="L196" i="11" s="1"/>
  <c r="K275" i="11"/>
  <c r="L275" i="11" s="1"/>
  <c r="K223" i="11"/>
  <c r="L223" i="11" s="1"/>
  <c r="K303" i="11"/>
  <c r="L303" i="11" s="1"/>
  <c r="K72" i="11"/>
  <c r="L72" i="11" s="1"/>
  <c r="K75" i="11"/>
  <c r="L75" i="11" s="1"/>
  <c r="K233" i="11"/>
  <c r="L233" i="11" s="1"/>
  <c r="K96" i="11"/>
  <c r="L96" i="11" s="1"/>
  <c r="K109" i="11"/>
  <c r="L109" i="11" s="1"/>
  <c r="K38" i="11"/>
  <c r="L38" i="11" s="1"/>
  <c r="K194" i="11"/>
  <c r="L194" i="11" s="1"/>
  <c r="K299" i="11"/>
  <c r="L299" i="11" s="1"/>
  <c r="K254" i="11"/>
  <c r="L254" i="11" s="1"/>
  <c r="K225" i="11"/>
  <c r="L225" i="11" s="1"/>
  <c r="K272" i="11"/>
  <c r="L272" i="11" s="1"/>
  <c r="K244" i="11"/>
  <c r="L244" i="11" s="1"/>
  <c r="K164" i="11"/>
  <c r="L164" i="11" s="1"/>
  <c r="K97" i="11"/>
  <c r="L97" i="11" s="1"/>
  <c r="K107" i="11"/>
  <c r="L107" i="11" s="1"/>
  <c r="K85" i="11"/>
  <c r="L85" i="11" s="1"/>
  <c r="K187" i="11"/>
  <c r="L187" i="11" s="1"/>
  <c r="K304" i="11"/>
  <c r="L304" i="11" s="1"/>
  <c r="K263" i="11"/>
  <c r="L263" i="11" s="1"/>
  <c r="K142" i="11"/>
  <c r="L142" i="11" s="1"/>
  <c r="K8" i="11"/>
  <c r="L8" i="11" s="1"/>
  <c r="K156" i="11"/>
  <c r="L156" i="11" s="1"/>
  <c r="K235" i="11"/>
  <c r="L235" i="11" s="1"/>
  <c r="K100" i="11"/>
  <c r="L100" i="11" s="1"/>
  <c r="K32" i="11"/>
  <c r="L32" i="11" s="1"/>
  <c r="K268" i="11"/>
  <c r="L268" i="11" s="1"/>
  <c r="K101" i="11"/>
  <c r="L101" i="11" s="1"/>
  <c r="K222" i="11"/>
  <c r="L222" i="11" s="1"/>
  <c r="K216" i="11"/>
  <c r="L216" i="11" s="1"/>
  <c r="K231" i="11"/>
  <c r="L231" i="11" s="1"/>
  <c r="K204" i="11"/>
  <c r="L204" i="11" s="1"/>
  <c r="K47" i="11"/>
  <c r="L47" i="11" s="1"/>
  <c r="K293" i="11"/>
  <c r="L293" i="11" s="1"/>
  <c r="K166" i="11"/>
  <c r="L166" i="11" s="1"/>
  <c r="K79" i="11"/>
  <c r="L79" i="11" s="1"/>
  <c r="K28" i="11"/>
  <c r="L28" i="11" s="1"/>
  <c r="K73" i="11"/>
  <c r="L73" i="11" s="1"/>
  <c r="K217" i="11"/>
  <c r="L217" i="11" s="1"/>
  <c r="K124" i="11"/>
  <c r="L124" i="11" s="1"/>
  <c r="K84" i="11"/>
  <c r="L84" i="11" s="1"/>
  <c r="K240" i="11"/>
  <c r="L240" i="11" s="1"/>
  <c r="K251" i="11"/>
  <c r="L251" i="11" s="1"/>
  <c r="K154" i="11"/>
  <c r="L154" i="11" s="1"/>
  <c r="K91" i="11"/>
  <c r="L91" i="11" s="1"/>
  <c r="K148" i="11"/>
  <c r="L148" i="11" s="1"/>
  <c r="K119" i="11"/>
  <c r="L119" i="11" s="1"/>
  <c r="K16" i="11"/>
  <c r="L16" i="11" s="1"/>
  <c r="K288" i="11"/>
  <c r="L288" i="11" s="1"/>
  <c r="K219" i="11"/>
  <c r="L219" i="11" s="1"/>
  <c r="K106" i="11"/>
  <c r="L106" i="11" s="1"/>
  <c r="K301" i="11"/>
  <c r="L301" i="11" s="1"/>
  <c r="K247" i="11"/>
  <c r="L247" i="11" s="1"/>
  <c r="K130" i="11"/>
  <c r="L130" i="11" s="1"/>
  <c r="K236" i="11"/>
  <c r="L236" i="11" s="1"/>
  <c r="K86" i="11"/>
  <c r="L86" i="11" s="1"/>
  <c r="K74" i="11"/>
  <c r="L74" i="11" s="1"/>
  <c r="K290" i="11"/>
  <c r="L290" i="11" s="1"/>
  <c r="K40" i="11"/>
  <c r="L40" i="11" s="1"/>
  <c r="K138" i="11"/>
  <c r="L138" i="11" s="1"/>
  <c r="K46" i="11"/>
  <c r="L46" i="11" s="1"/>
  <c r="K297" i="11"/>
  <c r="L297" i="11" s="1"/>
  <c r="K270" i="11"/>
  <c r="L270" i="11" s="1"/>
  <c r="K10" i="11"/>
  <c r="L10" i="11" s="1"/>
  <c r="K162" i="11"/>
  <c r="L162" i="11" s="1"/>
  <c r="K114" i="11"/>
  <c r="L114" i="11" s="1"/>
  <c r="K42" i="11"/>
  <c r="L42" i="11" s="1"/>
  <c r="K278" i="11"/>
  <c r="L278" i="11" s="1"/>
  <c r="K70" i="11"/>
  <c r="L70" i="11" s="1"/>
  <c r="K126" i="11"/>
  <c r="L126" i="11" s="1"/>
  <c r="K267" i="11"/>
  <c r="L267" i="11" s="1"/>
  <c r="K245" i="11"/>
  <c r="L245" i="11" s="1"/>
  <c r="K123" i="11"/>
  <c r="L123" i="11" s="1"/>
  <c r="K45" i="11"/>
  <c r="L45" i="11" s="1"/>
  <c r="K215" i="11"/>
  <c r="L215" i="11" s="1"/>
  <c r="K298" i="11"/>
  <c r="L298" i="11" s="1"/>
  <c r="K209" i="11"/>
  <c r="L209" i="11" s="1"/>
  <c r="K78" i="11"/>
  <c r="L78" i="11" s="1"/>
  <c r="K300" i="11"/>
  <c r="L300" i="11" s="1"/>
  <c r="K287" i="11"/>
  <c r="L287" i="11" s="1"/>
  <c r="K178" i="11"/>
  <c r="L178" i="11" s="1"/>
  <c r="K118" i="11"/>
  <c r="L118" i="11" s="1"/>
  <c r="K24" i="11"/>
  <c r="L24" i="11" s="1"/>
  <c r="K71" i="11"/>
  <c r="L71" i="11" s="1"/>
  <c r="K221" i="11"/>
  <c r="L221" i="11" s="1"/>
  <c r="K26" i="11"/>
  <c r="L26" i="11" s="1"/>
  <c r="K279" i="11"/>
  <c r="L279" i="11" s="1"/>
  <c r="K66" i="11"/>
  <c r="L66" i="11" s="1"/>
  <c r="K224" i="11"/>
  <c r="L224" i="11" s="1"/>
  <c r="K282" i="11"/>
  <c r="L282" i="11" s="1"/>
  <c r="K99" i="11"/>
  <c r="L99" i="11" s="1"/>
  <c r="K257" i="11"/>
  <c r="L257" i="11" s="1"/>
  <c r="K56" i="11"/>
  <c r="L56" i="11" s="1"/>
  <c r="K58" i="11"/>
  <c r="L58" i="11" s="1"/>
  <c r="K64" i="11"/>
  <c r="L64" i="11" s="1"/>
  <c r="K53" i="11"/>
  <c r="L53" i="11" s="1"/>
  <c r="K147" i="11"/>
  <c r="L147" i="11" s="1"/>
  <c r="K17" i="11"/>
  <c r="L17" i="11" s="1"/>
  <c r="K36" i="11"/>
  <c r="L36" i="11" s="1"/>
  <c r="K273" i="11"/>
  <c r="L273" i="11" s="1"/>
  <c r="K105" i="11"/>
  <c r="L105" i="11" s="1"/>
  <c r="K198" i="11"/>
  <c r="L198" i="11" s="1"/>
  <c r="K253" i="11"/>
  <c r="L253" i="11" s="1"/>
  <c r="K80" i="11"/>
  <c r="L80" i="11" s="1"/>
  <c r="K258" i="11"/>
  <c r="L258" i="11" s="1"/>
  <c r="K256" i="11"/>
  <c r="L256" i="11" s="1"/>
  <c r="K227" i="11"/>
  <c r="L227" i="11" s="1"/>
  <c r="K18" i="11"/>
  <c r="L18" i="11" s="1"/>
  <c r="K277" i="11"/>
  <c r="L277" i="11" s="1"/>
  <c r="K286" i="11"/>
  <c r="L286" i="11" s="1"/>
  <c r="K266" i="11"/>
  <c r="L266" i="11" s="1"/>
  <c r="K54" i="11"/>
  <c r="L54" i="11" s="1"/>
  <c r="K150" i="11"/>
  <c r="L150" i="11" s="1"/>
  <c r="K76" i="11"/>
  <c r="L76" i="11" s="1"/>
  <c r="K37" i="11"/>
  <c r="L37" i="11" s="1"/>
  <c r="K12" i="11"/>
  <c r="L12" i="11" s="1"/>
  <c r="K29" i="11"/>
  <c r="L29" i="11" s="1"/>
  <c r="K90" i="11"/>
  <c r="L90" i="11" s="1"/>
  <c r="K9" i="11"/>
  <c r="L9" i="11" s="1"/>
  <c r="K237" i="11"/>
  <c r="L237" i="11" s="1"/>
  <c r="K169" i="11"/>
  <c r="L169" i="11" s="1"/>
  <c r="K68" i="11"/>
  <c r="L68" i="11" s="1"/>
  <c r="K180" i="11"/>
  <c r="L180" i="11" s="1"/>
  <c r="K93" i="11"/>
  <c r="L93" i="11" s="1"/>
  <c r="K98" i="11"/>
  <c r="L98" i="11" s="1"/>
  <c r="K206" i="11"/>
  <c r="L206" i="11" s="1"/>
  <c r="K108" i="11"/>
  <c r="L108" i="11" s="1"/>
  <c r="K259" i="11"/>
  <c r="L259" i="11" s="1"/>
  <c r="K146" i="11"/>
  <c r="L146" i="11" s="1"/>
  <c r="K87" i="11"/>
  <c r="L87" i="11" s="1"/>
  <c r="K255" i="11"/>
  <c r="L255" i="11" s="1"/>
  <c r="K188" i="11"/>
  <c r="L188" i="11" s="1"/>
  <c r="K172" i="11"/>
  <c r="L172" i="11" s="1"/>
  <c r="K285" i="11"/>
  <c r="L285" i="11" s="1"/>
  <c r="K23" i="11"/>
  <c r="L23" i="11" s="1"/>
  <c r="K134" i="11"/>
  <c r="L134" i="11" s="1"/>
  <c r="K280" i="11"/>
  <c r="L280" i="11" s="1"/>
  <c r="K202" i="11"/>
  <c r="L202" i="11" s="1"/>
  <c r="K274" i="11"/>
  <c r="L274" i="11" s="1"/>
  <c r="K77" i="11"/>
  <c r="L77" i="11" s="1"/>
  <c r="K104" i="11"/>
  <c r="L104" i="11" s="1"/>
  <c r="K170" i="11"/>
  <c r="L170" i="11" s="1"/>
  <c r="K212" i="11"/>
  <c r="L212" i="11" s="1"/>
  <c r="K242" i="11"/>
  <c r="L242" i="11" s="1"/>
  <c r="K186" i="11"/>
  <c r="L186" i="11" s="1"/>
  <c r="K92" i="11"/>
  <c r="L92" i="11" s="1"/>
  <c r="K214" i="11"/>
  <c r="L214" i="11" s="1"/>
  <c r="K61" i="11"/>
  <c r="L61" i="11" s="1"/>
  <c r="K83" i="11"/>
  <c r="L83" i="11" s="1"/>
  <c r="K305" i="11"/>
  <c r="L305" i="11" s="1"/>
  <c r="K88" i="11"/>
  <c r="L88" i="11" s="1"/>
  <c r="K63" i="11"/>
  <c r="L63" i="11" s="1"/>
  <c r="K55" i="11"/>
  <c r="L55" i="11" s="1"/>
  <c r="K82" i="11"/>
  <c r="L82" i="11" s="1"/>
  <c r="K62" i="11"/>
  <c r="L62" i="11" s="1"/>
  <c r="K260" i="11"/>
  <c r="L260" i="11" s="1"/>
  <c r="K121" i="11"/>
  <c r="L121" i="11" s="1"/>
  <c r="K243" i="11"/>
  <c r="L243" i="11" s="1"/>
  <c r="K265" i="11"/>
  <c r="L265" i="11" s="1"/>
  <c r="K103" i="11"/>
  <c r="L103" i="11" s="1"/>
  <c r="K167" i="11"/>
  <c r="L167" i="11" s="1"/>
  <c r="K182" i="11"/>
  <c r="L182" i="11" s="1"/>
  <c r="K229" i="11"/>
  <c r="L229" i="11" s="1"/>
  <c r="K117" i="11"/>
  <c r="L117" i="11" s="1"/>
  <c r="K31" i="11"/>
  <c r="L31" i="11" s="1"/>
  <c r="K239" i="11"/>
  <c r="L239" i="11" s="1"/>
  <c r="K14" i="11"/>
  <c r="L14" i="11" s="1"/>
  <c r="K208" i="11"/>
  <c r="L208" i="11" s="1"/>
  <c r="K295" i="11"/>
  <c r="L295" i="11" s="1"/>
  <c r="K213" i="11"/>
  <c r="L213" i="11" s="1"/>
  <c r="K30" i="11"/>
  <c r="L30" i="11" s="1"/>
  <c r="K190" i="11"/>
  <c r="L190" i="11" s="1"/>
  <c r="K151" i="11"/>
  <c r="L151" i="11" s="1"/>
  <c r="K302" i="11"/>
  <c r="L302" i="11" s="1"/>
  <c r="K132" i="11"/>
  <c r="L132" i="11" s="1"/>
  <c r="K39" i="11"/>
  <c r="L39" i="11" s="1"/>
  <c r="K249" i="11"/>
  <c r="L249" i="11" s="1"/>
  <c r="K289" i="11"/>
  <c r="L289" i="11" s="1"/>
  <c r="K48" i="11"/>
  <c r="L48" i="11" s="1"/>
  <c r="K174" i="11"/>
  <c r="L174" i="11" s="1"/>
  <c r="K248" i="11"/>
  <c r="L248" i="11" s="1"/>
  <c r="K44" i="11"/>
  <c r="L44" i="11" s="1"/>
  <c r="K264" i="11"/>
  <c r="L264" i="11" s="1"/>
  <c r="K94" i="11"/>
  <c r="L94" i="11" s="1"/>
  <c r="K60" i="11"/>
  <c r="L60" i="11" s="1"/>
  <c r="K116" i="11"/>
  <c r="L116" i="11" s="1"/>
  <c r="K34" i="11"/>
  <c r="L34" i="11" s="1"/>
  <c r="K159" i="11"/>
  <c r="L159" i="11" s="1"/>
  <c r="K65" i="11"/>
  <c r="L65" i="11" s="1"/>
  <c r="K158" i="11"/>
  <c r="L158" i="11" s="1"/>
  <c r="K67" i="11"/>
  <c r="L67" i="11" s="1"/>
  <c r="K252" i="11"/>
  <c r="L252" i="11" s="1"/>
  <c r="K210" i="11"/>
  <c r="L210" i="11" s="1"/>
  <c r="K269" i="11"/>
  <c r="L269" i="11" s="1"/>
  <c r="K262" i="11"/>
  <c r="L262" i="11" s="1"/>
  <c r="K122" i="11"/>
  <c r="L122" i="11" s="1"/>
  <c r="K7" i="11"/>
  <c r="L7" i="11" s="1"/>
  <c r="K20" i="11"/>
  <c r="L20" i="11" s="1"/>
  <c r="K140" i="11"/>
  <c r="L140" i="11" s="1"/>
  <c r="K52" i="11"/>
  <c r="L52" i="11" s="1"/>
  <c r="K22" i="11"/>
  <c r="L22" i="11" s="1"/>
  <c r="K81" i="11"/>
  <c r="L81" i="11" s="1"/>
  <c r="K69" i="11"/>
  <c r="L69" i="11" s="1"/>
  <c r="K155" i="11"/>
  <c r="L155" i="11" s="1"/>
  <c r="K232" i="11"/>
  <c r="L232" i="11" s="1"/>
  <c r="K220" i="11"/>
  <c r="L220" i="11" s="1"/>
  <c r="K95" i="11"/>
  <c r="L95" i="11" s="1"/>
  <c r="K271" i="11"/>
  <c r="L271" i="11" s="1"/>
  <c r="K113" i="11"/>
  <c r="L113" i="11" s="1"/>
  <c r="K21" i="11"/>
  <c r="L21" i="11" s="1"/>
  <c r="K120" i="11"/>
  <c r="L120" i="11" s="1"/>
  <c r="K261" i="11"/>
  <c r="L261" i="11" s="1"/>
  <c r="K137" i="11"/>
  <c r="L137" i="11" s="1"/>
  <c r="K143" i="11"/>
  <c r="L143" i="11" s="1"/>
  <c r="K175" i="11"/>
  <c r="L175" i="11" s="1"/>
  <c r="K228" i="11"/>
  <c r="L228" i="11" s="1"/>
  <c r="M6" i="42"/>
  <c r="T6" i="42" l="1"/>
  <c r="C306" i="49"/>
  <c r="B6" i="49"/>
  <c r="A6" i="49"/>
  <c r="B306" i="49" l="1"/>
  <c r="B9" i="48" l="1"/>
  <c r="F8" i="48"/>
  <c r="B8" i="48"/>
  <c r="C33" i="40"/>
  <c r="B6" i="13"/>
  <c r="A6" i="13"/>
  <c r="B6" i="39"/>
  <c r="A6" i="39"/>
  <c r="B6" i="12"/>
  <c r="A6" i="12"/>
  <c r="J306" i="11"/>
  <c r="D12" i="34"/>
  <c r="B12" i="34"/>
  <c r="A12" i="34"/>
  <c r="C6" i="37"/>
  <c r="B6" i="37"/>
  <c r="A6" i="37"/>
  <c r="C9" i="36"/>
  <c r="B9" i="36"/>
  <c r="A9" i="36"/>
  <c r="B12" i="9"/>
  <c r="A12" i="9"/>
  <c r="D312" i="34" l="1"/>
  <c r="B306" i="37"/>
  <c r="C306" i="37"/>
  <c r="C309" i="36"/>
  <c r="B309" i="36"/>
  <c r="B306" i="12"/>
  <c r="B306" i="39"/>
  <c r="B306" i="13"/>
  <c r="B312" i="34"/>
  <c r="B312" i="9"/>
  <c r="G4" i="33" l="1"/>
  <c r="G5" i="33"/>
  <c r="B6" i="33" l="1"/>
  <c r="A6" i="33"/>
  <c r="B6" i="19"/>
  <c r="A6" i="19"/>
  <c r="R306" i="42"/>
  <c r="Q306" i="42"/>
  <c r="P306" i="42"/>
  <c r="O306" i="42"/>
  <c r="B306" i="42"/>
  <c r="B306" i="19" l="1"/>
  <c r="B306" i="33"/>
  <c r="E5" i="37" l="1"/>
  <c r="E8" i="36"/>
  <c r="D33" i="40"/>
  <c r="F8" i="36" s="1"/>
  <c r="E33" i="40"/>
  <c r="G8" i="36" s="1"/>
  <c r="F33" i="40"/>
  <c r="H8" i="36" s="1"/>
  <c r="G33" i="40"/>
  <c r="I8" i="36" s="1"/>
  <c r="H33" i="40"/>
  <c r="J8" i="36" s="1"/>
  <c r="D8" i="36"/>
  <c r="K306" i="19" l="1"/>
  <c r="C6" i="19"/>
  <c r="H6" i="19"/>
  <c r="I6" i="19"/>
  <c r="J6" i="19"/>
  <c r="E5" i="36"/>
  <c r="G5" i="36"/>
  <c r="I5" i="36"/>
  <c r="H5" i="36"/>
  <c r="G6" i="36"/>
  <c r="D5" i="36"/>
  <c r="D6" i="36"/>
  <c r="E6" i="36"/>
  <c r="F5" i="36"/>
  <c r="F6" i="36"/>
  <c r="H6" i="36"/>
  <c r="J5" i="36"/>
  <c r="I6" i="36"/>
  <c r="I23" i="36" l="1"/>
  <c r="I27" i="36"/>
  <c r="I31" i="36"/>
  <c r="I44" i="36"/>
  <c r="I47" i="36"/>
  <c r="I49" i="36"/>
  <c r="I52" i="36"/>
  <c r="I53" i="36"/>
  <c r="I56" i="36"/>
  <c r="I65" i="36"/>
  <c r="I66" i="36"/>
  <c r="I81" i="36"/>
  <c r="I82" i="36"/>
  <c r="I92" i="36"/>
  <c r="I19" i="36"/>
  <c r="I24" i="36"/>
  <c r="I28" i="36"/>
  <c r="I32" i="36"/>
  <c r="I48" i="36"/>
  <c r="I69" i="36"/>
  <c r="I70" i="36"/>
  <c r="I85" i="36"/>
  <c r="I86" i="36"/>
  <c r="I15" i="36"/>
  <c r="I40" i="36"/>
  <c r="I78" i="36"/>
  <c r="I103" i="36"/>
  <c r="I116" i="36"/>
  <c r="I120" i="36"/>
  <c r="I124" i="36"/>
  <c r="I128" i="36"/>
  <c r="I132" i="36"/>
  <c r="I136" i="36"/>
  <c r="I140" i="36"/>
  <c r="I20" i="36"/>
  <c r="I61" i="36"/>
  <c r="I73" i="36"/>
  <c r="I89" i="36"/>
  <c r="I98" i="36"/>
  <c r="I106" i="36"/>
  <c r="I108" i="36"/>
  <c r="I119" i="36"/>
  <c r="I173" i="36"/>
  <c r="I177" i="36"/>
  <c r="I187" i="36"/>
  <c r="I192" i="36"/>
  <c r="I207" i="36"/>
  <c r="I210" i="36"/>
  <c r="I230" i="36"/>
  <c r="I241" i="36"/>
  <c r="I246" i="36"/>
  <c r="I254" i="36"/>
  <c r="I255" i="36"/>
  <c r="I11" i="36"/>
  <c r="I57" i="36"/>
  <c r="I62" i="36"/>
  <c r="I94" i="36"/>
  <c r="I99" i="36"/>
  <c r="I107" i="36"/>
  <c r="I111" i="36"/>
  <c r="I112" i="36"/>
  <c r="I114" i="36"/>
  <c r="I12" i="36"/>
  <c r="I16" i="36"/>
  <c r="I36" i="36"/>
  <c r="I45" i="36"/>
  <c r="I74" i="36"/>
  <c r="I77" i="36"/>
  <c r="I95" i="36"/>
  <c r="I102" i="36"/>
  <c r="I104" i="36"/>
  <c r="I115" i="36"/>
  <c r="I121" i="36"/>
  <c r="I125" i="36"/>
  <c r="I129" i="36"/>
  <c r="I133" i="36"/>
  <c r="I137" i="36"/>
  <c r="I141" i="36"/>
  <c r="I145" i="36"/>
  <c r="I149" i="36"/>
  <c r="I153" i="36"/>
  <c r="I157" i="36"/>
  <c r="I161" i="36"/>
  <c r="I164" i="36"/>
  <c r="I168" i="36"/>
  <c r="I179" i="36"/>
  <c r="I184" i="36"/>
  <c r="I195" i="36"/>
  <c r="I215" i="36"/>
  <c r="I219" i="36"/>
  <c r="I222" i="36"/>
  <c r="I233" i="36"/>
  <c r="I238" i="36"/>
  <c r="I249" i="36"/>
  <c r="I260" i="36"/>
  <c r="I264" i="36"/>
  <c r="I268" i="36"/>
  <c r="I272" i="36"/>
  <c r="I276" i="36"/>
  <c r="I280" i="36"/>
  <c r="I284" i="36"/>
  <c r="I288" i="36"/>
  <c r="I292" i="36"/>
  <c r="I296" i="36"/>
  <c r="I300" i="36"/>
  <c r="I304" i="36"/>
  <c r="I308" i="36"/>
  <c r="I172" i="36"/>
  <c r="I188" i="36"/>
  <c r="I214" i="36"/>
  <c r="I234" i="36"/>
  <c r="I253" i="36"/>
  <c r="I148" i="36"/>
  <c r="I156" i="36"/>
  <c r="I169" i="36"/>
  <c r="I180" i="36"/>
  <c r="I200" i="36"/>
  <c r="I206" i="36"/>
  <c r="I211" i="36"/>
  <c r="I226" i="36"/>
  <c r="I245" i="36"/>
  <c r="I261" i="36"/>
  <c r="I269" i="36"/>
  <c r="I277" i="36"/>
  <c r="I285" i="36"/>
  <c r="I293" i="36"/>
  <c r="I301" i="36"/>
  <c r="I176" i="36"/>
  <c r="I191" i="36"/>
  <c r="I201" i="36"/>
  <c r="I203" i="36"/>
  <c r="I218" i="36"/>
  <c r="I223" i="36"/>
  <c r="I237" i="36"/>
  <c r="I250" i="36"/>
  <c r="I251" i="36"/>
  <c r="I144" i="36"/>
  <c r="I152" i="36"/>
  <c r="I160" i="36"/>
  <c r="I165" i="36"/>
  <c r="I183" i="36"/>
  <c r="I196" i="36"/>
  <c r="I229" i="36"/>
  <c r="I242" i="36"/>
  <c r="I258" i="36"/>
  <c r="I265" i="36"/>
  <c r="I273" i="36"/>
  <c r="I281" i="36"/>
  <c r="I289" i="36"/>
  <c r="I297" i="36"/>
  <c r="I305" i="36"/>
  <c r="I193" i="36"/>
  <c r="I306" i="36"/>
  <c r="I302" i="36"/>
  <c r="I298" i="36"/>
  <c r="I294" i="36"/>
  <c r="I290" i="36"/>
  <c r="I286" i="36"/>
  <c r="I282" i="36"/>
  <c r="I278" i="36"/>
  <c r="I274" i="36"/>
  <c r="I270" i="36"/>
  <c r="I266" i="36"/>
  <c r="I262" i="36"/>
  <c r="I240" i="36"/>
  <c r="I224" i="36"/>
  <c r="I216" i="36"/>
  <c r="I208" i="36"/>
  <c r="I194" i="36"/>
  <c r="I178" i="36"/>
  <c r="I162" i="36"/>
  <c r="I154" i="36"/>
  <c r="I138" i="36"/>
  <c r="I122" i="36"/>
  <c r="I117" i="36"/>
  <c r="I83" i="36"/>
  <c r="I79" i="36"/>
  <c r="I75" i="36"/>
  <c r="I71" i="36"/>
  <c r="I67" i="36"/>
  <c r="I63" i="36"/>
  <c r="I37" i="36"/>
  <c r="I51" i="36"/>
  <c r="I41" i="36"/>
  <c r="I13" i="36"/>
  <c r="I50" i="36"/>
  <c r="I25" i="36"/>
  <c r="I46" i="36"/>
  <c r="I21" i="36"/>
  <c r="I205" i="36"/>
  <c r="I197" i="36"/>
  <c r="I181" i="36"/>
  <c r="I247" i="36"/>
  <c r="I239" i="36"/>
  <c r="I231" i="36"/>
  <c r="I213" i="36"/>
  <c r="I202" i="36"/>
  <c r="I159" i="36"/>
  <c r="I236" i="36"/>
  <c r="I163" i="36"/>
  <c r="I88" i="36"/>
  <c r="I190" i="36"/>
  <c r="I166" i="36"/>
  <c r="I150" i="36"/>
  <c r="I134" i="36"/>
  <c r="I151" i="36"/>
  <c r="I143" i="36"/>
  <c r="I135" i="36"/>
  <c r="I127" i="36"/>
  <c r="I87" i="36"/>
  <c r="I100" i="36"/>
  <c r="I91" i="36"/>
  <c r="I90" i="36"/>
  <c r="I84" i="36"/>
  <c r="I76" i="36"/>
  <c r="I68" i="36"/>
  <c r="I60" i="36"/>
  <c r="I17" i="36"/>
  <c r="I29" i="36"/>
  <c r="I43" i="36"/>
  <c r="I42" i="36"/>
  <c r="I30" i="36"/>
  <c r="I22" i="36"/>
  <c r="I14" i="36"/>
  <c r="I221" i="36"/>
  <c r="I185" i="36"/>
  <c r="I171" i="36"/>
  <c r="I256" i="36"/>
  <c r="I217" i="36"/>
  <c r="I307" i="36"/>
  <c r="I303" i="36"/>
  <c r="I299" i="36"/>
  <c r="I295" i="36"/>
  <c r="I291" i="36"/>
  <c r="I287" i="36"/>
  <c r="I283" i="36"/>
  <c r="I279" i="36"/>
  <c r="I275" i="36"/>
  <c r="I271" i="36"/>
  <c r="I267" i="36"/>
  <c r="I263" i="36"/>
  <c r="I259" i="36"/>
  <c r="I252" i="36"/>
  <c r="I175" i="36"/>
  <c r="I248" i="36"/>
  <c r="I232" i="36"/>
  <c r="I220" i="36"/>
  <c r="I212" i="36"/>
  <c r="I204" i="36"/>
  <c r="I113" i="36"/>
  <c r="I186" i="36"/>
  <c r="I170" i="36"/>
  <c r="I146" i="36"/>
  <c r="I130" i="36"/>
  <c r="I105" i="36"/>
  <c r="I96" i="36"/>
  <c r="I54" i="36"/>
  <c r="I58" i="36"/>
  <c r="I55" i="36"/>
  <c r="I59" i="36"/>
  <c r="I39" i="36"/>
  <c r="I38" i="36"/>
  <c r="I10" i="36"/>
  <c r="I199" i="36"/>
  <c r="I189" i="36"/>
  <c r="I243" i="36"/>
  <c r="I235" i="36"/>
  <c r="I227" i="36"/>
  <c r="I257" i="36"/>
  <c r="I225" i="36"/>
  <c r="I209" i="36"/>
  <c r="I244" i="36"/>
  <c r="I228" i="36"/>
  <c r="I167" i="36"/>
  <c r="I101" i="36"/>
  <c r="I97" i="36"/>
  <c r="I93" i="36"/>
  <c r="I198" i="36"/>
  <c r="I182" i="36"/>
  <c r="I174" i="36"/>
  <c r="I158" i="36"/>
  <c r="I142" i="36"/>
  <c r="I126" i="36"/>
  <c r="I118" i="36"/>
  <c r="I109" i="36"/>
  <c r="I155" i="36"/>
  <c r="I147" i="36"/>
  <c r="I139" i="36"/>
  <c r="I131" i="36"/>
  <c r="I123" i="36"/>
  <c r="I110" i="36"/>
  <c r="I80" i="36"/>
  <c r="I72" i="36"/>
  <c r="I64" i="36"/>
  <c r="I33" i="36"/>
  <c r="I35" i="36"/>
  <c r="I34" i="36"/>
  <c r="I26" i="36"/>
  <c r="I18" i="36"/>
  <c r="F11" i="36"/>
  <c r="F16" i="36"/>
  <c r="F40" i="36"/>
  <c r="F42" i="36"/>
  <c r="F61" i="36"/>
  <c r="F63" i="36"/>
  <c r="F74" i="36"/>
  <c r="F77" i="36"/>
  <c r="F79" i="36"/>
  <c r="F12" i="36"/>
  <c r="F44" i="36"/>
  <c r="F50" i="36"/>
  <c r="F52" i="36"/>
  <c r="F56" i="36"/>
  <c r="F62" i="36"/>
  <c r="F65" i="36"/>
  <c r="F67" i="36"/>
  <c r="F78" i="36"/>
  <c r="F81" i="36"/>
  <c r="F83" i="36"/>
  <c r="F20" i="36"/>
  <c r="F32" i="36"/>
  <c r="F38" i="36"/>
  <c r="F66" i="36"/>
  <c r="F73" i="36"/>
  <c r="F75" i="36"/>
  <c r="F85" i="36"/>
  <c r="F89" i="36"/>
  <c r="F95" i="36"/>
  <c r="F96" i="36"/>
  <c r="F105" i="36"/>
  <c r="F112" i="36"/>
  <c r="F115" i="36"/>
  <c r="F122" i="36"/>
  <c r="F126" i="36"/>
  <c r="F130" i="36"/>
  <c r="F134" i="36"/>
  <c r="F138" i="36"/>
  <c r="F34" i="36"/>
  <c r="F48" i="36"/>
  <c r="F70" i="36"/>
  <c r="F103" i="36"/>
  <c r="F124" i="36"/>
  <c r="F128" i="36"/>
  <c r="F132" i="36"/>
  <c r="F136" i="36"/>
  <c r="F140" i="36"/>
  <c r="F144" i="36"/>
  <c r="F148" i="36"/>
  <c r="F152" i="36"/>
  <c r="F156" i="36"/>
  <c r="F160" i="36"/>
  <c r="F180" i="36"/>
  <c r="F182" i="36"/>
  <c r="F196" i="36"/>
  <c r="F198" i="36"/>
  <c r="F200" i="36"/>
  <c r="F212" i="36"/>
  <c r="F214" i="36"/>
  <c r="F218" i="36"/>
  <c r="F234" i="36"/>
  <c r="F236" i="36"/>
  <c r="F250" i="36"/>
  <c r="F261" i="36"/>
  <c r="F262" i="36"/>
  <c r="F265" i="36"/>
  <c r="F266" i="36"/>
  <c r="F269" i="36"/>
  <c r="F270" i="36"/>
  <c r="F273" i="36"/>
  <c r="F274" i="36"/>
  <c r="F277" i="36"/>
  <c r="F278" i="36"/>
  <c r="F281" i="36"/>
  <c r="F282" i="36"/>
  <c r="F285" i="36"/>
  <c r="F286" i="36"/>
  <c r="F289" i="36"/>
  <c r="F290" i="36"/>
  <c r="F293" i="36"/>
  <c r="F294" i="36"/>
  <c r="F297" i="36"/>
  <c r="F298" i="36"/>
  <c r="F301" i="36"/>
  <c r="F302" i="36"/>
  <c r="F305" i="36"/>
  <c r="F306" i="36"/>
  <c r="F30" i="36"/>
  <c r="F36" i="36"/>
  <c r="F53" i="36"/>
  <c r="F69" i="36"/>
  <c r="F71" i="36"/>
  <c r="F82" i="36"/>
  <c r="F109" i="36"/>
  <c r="F119" i="36"/>
  <c r="F24" i="36"/>
  <c r="F28" i="36"/>
  <c r="F46" i="36"/>
  <c r="F49" i="36"/>
  <c r="F86" i="36"/>
  <c r="F99" i="36"/>
  <c r="F100" i="36"/>
  <c r="F107" i="36"/>
  <c r="F108" i="36"/>
  <c r="F111" i="36"/>
  <c r="F166" i="36"/>
  <c r="F170" i="36"/>
  <c r="F172" i="36"/>
  <c r="F176" i="36"/>
  <c r="F188" i="36"/>
  <c r="F190" i="36"/>
  <c r="F204" i="36"/>
  <c r="F206" i="36"/>
  <c r="F224" i="36"/>
  <c r="F226" i="36"/>
  <c r="F228" i="36"/>
  <c r="F242" i="36"/>
  <c r="F244" i="36"/>
  <c r="F255" i="36"/>
  <c r="F256" i="36"/>
  <c r="F258" i="36"/>
  <c r="F164" i="36"/>
  <c r="F174" i="36"/>
  <c r="F184" i="36"/>
  <c r="F194" i="36"/>
  <c r="F216" i="36"/>
  <c r="F230" i="36"/>
  <c r="F240" i="36"/>
  <c r="F142" i="36"/>
  <c r="F150" i="36"/>
  <c r="F158" i="36"/>
  <c r="F186" i="36"/>
  <c r="F201" i="36"/>
  <c r="F208" i="36"/>
  <c r="F232" i="36"/>
  <c r="F254" i="36"/>
  <c r="F168" i="36"/>
  <c r="F178" i="36"/>
  <c r="F210" i="36"/>
  <c r="F220" i="36"/>
  <c r="F246" i="36"/>
  <c r="F252" i="36"/>
  <c r="F146" i="36"/>
  <c r="F154" i="36"/>
  <c r="F162" i="36"/>
  <c r="F192" i="36"/>
  <c r="F222" i="36"/>
  <c r="F238" i="36"/>
  <c r="F248" i="36"/>
  <c r="F288" i="36"/>
  <c r="F161" i="36"/>
  <c r="F145" i="36"/>
  <c r="F284" i="36"/>
  <c r="F133" i="36"/>
  <c r="F104" i="36"/>
  <c r="F31" i="36"/>
  <c r="F15" i="36"/>
  <c r="F280" i="36"/>
  <c r="F173" i="36"/>
  <c r="F308" i="36"/>
  <c r="F276" i="36"/>
  <c r="F149" i="36"/>
  <c r="F169" i="36"/>
  <c r="F120" i="36"/>
  <c r="F27" i="36"/>
  <c r="F129" i="36"/>
  <c r="F98" i="36"/>
  <c r="F59" i="36"/>
  <c r="F304" i="36"/>
  <c r="F272" i="36"/>
  <c r="F153" i="36"/>
  <c r="F300" i="36"/>
  <c r="F268" i="36"/>
  <c r="F177" i="36"/>
  <c r="F165" i="36"/>
  <c r="F102" i="36"/>
  <c r="F94" i="36"/>
  <c r="F23" i="36"/>
  <c r="F141" i="36"/>
  <c r="F125" i="36"/>
  <c r="F296" i="36"/>
  <c r="F264" i="36"/>
  <c r="F292" i="36"/>
  <c r="F260" i="36"/>
  <c r="F157" i="36"/>
  <c r="F117" i="36"/>
  <c r="F92" i="36"/>
  <c r="F137" i="36"/>
  <c r="F121" i="36"/>
  <c r="F19" i="36"/>
  <c r="F197" i="36"/>
  <c r="F181" i="36"/>
  <c r="F225" i="36"/>
  <c r="F209" i="36"/>
  <c r="F223" i="36"/>
  <c r="F215" i="36"/>
  <c r="F207" i="36"/>
  <c r="F183" i="36"/>
  <c r="F167" i="36"/>
  <c r="F101" i="36"/>
  <c r="F97" i="36"/>
  <c r="F93" i="36"/>
  <c r="F151" i="36"/>
  <c r="F135" i="36"/>
  <c r="F113" i="36"/>
  <c r="F91" i="36"/>
  <c r="F57" i="36"/>
  <c r="F80" i="36"/>
  <c r="F72" i="36"/>
  <c r="F64" i="36"/>
  <c r="F37" i="36"/>
  <c r="F41" i="36"/>
  <c r="F43" i="36"/>
  <c r="F10" i="36"/>
  <c r="F257" i="36"/>
  <c r="F185" i="36"/>
  <c r="F251" i="36"/>
  <c r="F241" i="36"/>
  <c r="F233" i="36"/>
  <c r="F202" i="36"/>
  <c r="F195" i="36"/>
  <c r="F179" i="36"/>
  <c r="F147" i="36"/>
  <c r="F131" i="36"/>
  <c r="F106" i="36"/>
  <c r="F90" i="36"/>
  <c r="F118" i="36"/>
  <c r="F45" i="36"/>
  <c r="F58" i="36"/>
  <c r="F39" i="36"/>
  <c r="F13" i="36"/>
  <c r="F25" i="36"/>
  <c r="F21" i="36"/>
  <c r="F22" i="36"/>
  <c r="F14" i="36"/>
  <c r="F247" i="36"/>
  <c r="F243" i="36"/>
  <c r="F239" i="36"/>
  <c r="F205" i="36"/>
  <c r="F199" i="36"/>
  <c r="F189" i="36"/>
  <c r="F249" i="36"/>
  <c r="F213" i="36"/>
  <c r="F219" i="36"/>
  <c r="F211" i="36"/>
  <c r="F203" i="36"/>
  <c r="F159" i="36"/>
  <c r="F191" i="36"/>
  <c r="F163" i="36"/>
  <c r="F88" i="36"/>
  <c r="F143" i="36"/>
  <c r="F127" i="36"/>
  <c r="F87" i="36"/>
  <c r="F84" i="36"/>
  <c r="F76" i="36"/>
  <c r="F68" i="36"/>
  <c r="F60" i="36"/>
  <c r="F51" i="36"/>
  <c r="F17" i="36"/>
  <c r="F35" i="36"/>
  <c r="F29" i="36"/>
  <c r="F47" i="36"/>
  <c r="F235" i="36"/>
  <c r="F231" i="36"/>
  <c r="F227" i="36"/>
  <c r="F221" i="36"/>
  <c r="F193" i="36"/>
  <c r="F171" i="36"/>
  <c r="F307" i="36"/>
  <c r="F303" i="36"/>
  <c r="F299" i="36"/>
  <c r="F295" i="36"/>
  <c r="F291" i="36"/>
  <c r="F287" i="36"/>
  <c r="F283" i="36"/>
  <c r="F279" i="36"/>
  <c r="F275" i="36"/>
  <c r="F271" i="36"/>
  <c r="F267" i="36"/>
  <c r="F263" i="36"/>
  <c r="F259" i="36"/>
  <c r="F253" i="36"/>
  <c r="F245" i="36"/>
  <c r="F237" i="36"/>
  <c r="F229" i="36"/>
  <c r="F217" i="36"/>
  <c r="F175" i="36"/>
  <c r="F187" i="36"/>
  <c r="F110" i="36"/>
  <c r="F155" i="36"/>
  <c r="F139" i="36"/>
  <c r="F123" i="36"/>
  <c r="F116" i="36"/>
  <c r="F114" i="36"/>
  <c r="F54" i="36"/>
  <c r="F55" i="36"/>
  <c r="F33" i="36"/>
  <c r="F26" i="36"/>
  <c r="F18" i="36"/>
  <c r="E12" i="36"/>
  <c r="E44" i="36"/>
  <c r="E52" i="36"/>
  <c r="E56" i="36"/>
  <c r="E62" i="36"/>
  <c r="E65" i="36"/>
  <c r="E78" i="36"/>
  <c r="E81" i="36"/>
  <c r="E23" i="36"/>
  <c r="E24" i="36"/>
  <c r="E27" i="36"/>
  <c r="E28" i="36"/>
  <c r="E32" i="36"/>
  <c r="E35" i="36"/>
  <c r="E47" i="36"/>
  <c r="E48" i="36"/>
  <c r="E53" i="36"/>
  <c r="E57" i="36"/>
  <c r="E59" i="36"/>
  <c r="E66" i="36"/>
  <c r="E69" i="36"/>
  <c r="E82" i="36"/>
  <c r="E85" i="36"/>
  <c r="E92" i="36"/>
  <c r="E11" i="36"/>
  <c r="E70" i="36"/>
  <c r="E102" i="36"/>
  <c r="E103" i="36"/>
  <c r="E124" i="36"/>
  <c r="E128" i="36"/>
  <c r="E132" i="36"/>
  <c r="E136" i="36"/>
  <c r="E140" i="36"/>
  <c r="E16" i="36"/>
  <c r="E36" i="36"/>
  <c r="E39" i="36"/>
  <c r="E43" i="36"/>
  <c r="E77" i="36"/>
  <c r="E104" i="36"/>
  <c r="E119" i="36"/>
  <c r="E121" i="36"/>
  <c r="E125" i="36"/>
  <c r="E129" i="36"/>
  <c r="E133" i="36"/>
  <c r="E137" i="36"/>
  <c r="E141" i="36"/>
  <c r="E145" i="36"/>
  <c r="E149" i="36"/>
  <c r="E153" i="36"/>
  <c r="E157" i="36"/>
  <c r="E161" i="36"/>
  <c r="E179" i="36"/>
  <c r="E192" i="36"/>
  <c r="E195" i="36"/>
  <c r="E201" i="36"/>
  <c r="E210" i="36"/>
  <c r="E215" i="36"/>
  <c r="E219" i="36"/>
  <c r="E230" i="36"/>
  <c r="E233" i="36"/>
  <c r="E246" i="36"/>
  <c r="E249" i="36"/>
  <c r="E254" i="36"/>
  <c r="E19" i="36"/>
  <c r="E40" i="36"/>
  <c r="E74" i="36"/>
  <c r="E86" i="36"/>
  <c r="E90" i="36"/>
  <c r="E98" i="36"/>
  <c r="E99" i="36"/>
  <c r="E106" i="36"/>
  <c r="E107" i="36"/>
  <c r="E111" i="36"/>
  <c r="E120" i="36"/>
  <c r="E15" i="36"/>
  <c r="E20" i="36"/>
  <c r="E31" i="36"/>
  <c r="E61" i="36"/>
  <c r="E73" i="36"/>
  <c r="E89" i="36"/>
  <c r="E94" i="36"/>
  <c r="E95" i="36"/>
  <c r="E112" i="36"/>
  <c r="E115" i="36"/>
  <c r="E118" i="36"/>
  <c r="E164" i="36"/>
  <c r="E168" i="36"/>
  <c r="E173" i="36"/>
  <c r="E177" i="36"/>
  <c r="E184" i="36"/>
  <c r="E187" i="36"/>
  <c r="E207" i="36"/>
  <c r="E222" i="36"/>
  <c r="E238" i="36"/>
  <c r="E241" i="36"/>
  <c r="E169" i="36"/>
  <c r="E176" i="36"/>
  <c r="E211" i="36"/>
  <c r="E218" i="36"/>
  <c r="E245" i="36"/>
  <c r="E250" i="36"/>
  <c r="E264" i="36"/>
  <c r="E272" i="36"/>
  <c r="E280" i="36"/>
  <c r="E288" i="36"/>
  <c r="E296" i="36"/>
  <c r="E304" i="36"/>
  <c r="E144" i="36"/>
  <c r="E152" i="36"/>
  <c r="E160" i="36"/>
  <c r="E191" i="36"/>
  <c r="E196" i="36"/>
  <c r="E203" i="36"/>
  <c r="E223" i="36"/>
  <c r="E237" i="36"/>
  <c r="E242" i="36"/>
  <c r="E258" i="36"/>
  <c r="E265" i="36"/>
  <c r="E273" i="36"/>
  <c r="E281" i="36"/>
  <c r="E289" i="36"/>
  <c r="E297" i="36"/>
  <c r="E305" i="36"/>
  <c r="E165" i="36"/>
  <c r="E172" i="36"/>
  <c r="E183" i="36"/>
  <c r="E188" i="36"/>
  <c r="E214" i="36"/>
  <c r="E229" i="36"/>
  <c r="E234" i="36"/>
  <c r="E260" i="36"/>
  <c r="E268" i="36"/>
  <c r="E276" i="36"/>
  <c r="E284" i="36"/>
  <c r="E292" i="36"/>
  <c r="E300" i="36"/>
  <c r="E308" i="36"/>
  <c r="E148" i="36"/>
  <c r="E156" i="36"/>
  <c r="E180" i="36"/>
  <c r="E200" i="36"/>
  <c r="E206" i="36"/>
  <c r="E226" i="36"/>
  <c r="E253" i="36"/>
  <c r="E255" i="36"/>
  <c r="E261" i="36"/>
  <c r="E269" i="36"/>
  <c r="E277" i="36"/>
  <c r="E285" i="36"/>
  <c r="E293" i="36"/>
  <c r="E301" i="36"/>
  <c r="E240" i="36"/>
  <c r="E174" i="36"/>
  <c r="E251" i="36"/>
  <c r="E150" i="36"/>
  <c r="E182" i="36"/>
  <c r="E134" i="36"/>
  <c r="E126" i="36"/>
  <c r="E114" i="36"/>
  <c r="E244" i="36"/>
  <c r="E166" i="36"/>
  <c r="E18" i="36"/>
  <c r="E216" i="36"/>
  <c r="E154" i="36"/>
  <c r="E220" i="36"/>
  <c r="E178" i="36"/>
  <c r="E186" i="36"/>
  <c r="E212" i="36"/>
  <c r="E108" i="36"/>
  <c r="E42" i="36"/>
  <c r="E228" i="36"/>
  <c r="E204" i="36"/>
  <c r="E14" i="36"/>
  <c r="E49" i="36"/>
  <c r="E30" i="36"/>
  <c r="E248" i="36"/>
  <c r="E232" i="36"/>
  <c r="E158" i="36"/>
  <c r="E142" i="36"/>
  <c r="E236" i="36"/>
  <c r="E138" i="36"/>
  <c r="E130" i="36"/>
  <c r="E122" i="36"/>
  <c r="E10" i="36"/>
  <c r="E190" i="36"/>
  <c r="E26" i="36"/>
  <c r="E34" i="36"/>
  <c r="E194" i="36"/>
  <c r="E162" i="36"/>
  <c r="E146" i="36"/>
  <c r="E208" i="36"/>
  <c r="E198" i="36"/>
  <c r="E224" i="36"/>
  <c r="E170" i="36"/>
  <c r="E38" i="36"/>
  <c r="E22" i="36"/>
  <c r="E205" i="36"/>
  <c r="E199" i="36"/>
  <c r="E189" i="36"/>
  <c r="E257" i="36"/>
  <c r="E213" i="36"/>
  <c r="E202" i="36"/>
  <c r="E247" i="36"/>
  <c r="E231" i="36"/>
  <c r="E159" i="36"/>
  <c r="E163" i="36"/>
  <c r="E155" i="36"/>
  <c r="E147" i="36"/>
  <c r="E139" i="36"/>
  <c r="E131" i="36"/>
  <c r="E123" i="36"/>
  <c r="E87" i="36"/>
  <c r="E100" i="36"/>
  <c r="E91" i="36"/>
  <c r="E84" i="36"/>
  <c r="E76" i="36"/>
  <c r="E68" i="36"/>
  <c r="E60" i="36"/>
  <c r="E51" i="36"/>
  <c r="E17" i="36"/>
  <c r="E29" i="36"/>
  <c r="E221" i="36"/>
  <c r="E193" i="36"/>
  <c r="E171" i="36"/>
  <c r="E306" i="36"/>
  <c r="E302" i="36"/>
  <c r="E298" i="36"/>
  <c r="E294" i="36"/>
  <c r="E290" i="36"/>
  <c r="E286" i="36"/>
  <c r="E282" i="36"/>
  <c r="E278" i="36"/>
  <c r="E274" i="36"/>
  <c r="E270" i="36"/>
  <c r="E266" i="36"/>
  <c r="E262" i="36"/>
  <c r="E256" i="36"/>
  <c r="E217" i="36"/>
  <c r="E252" i="36"/>
  <c r="E243" i="36"/>
  <c r="E227" i="36"/>
  <c r="E175" i="36"/>
  <c r="E113" i="36"/>
  <c r="E105" i="36"/>
  <c r="E96" i="36"/>
  <c r="E54" i="36"/>
  <c r="E58" i="36"/>
  <c r="E33" i="36"/>
  <c r="E197" i="36"/>
  <c r="E181" i="36"/>
  <c r="E239" i="36"/>
  <c r="E225" i="36"/>
  <c r="E209" i="36"/>
  <c r="E167" i="36"/>
  <c r="E101" i="36"/>
  <c r="E97" i="36"/>
  <c r="E93" i="36"/>
  <c r="E88" i="36"/>
  <c r="E109" i="36"/>
  <c r="E151" i="36"/>
  <c r="E143" i="36"/>
  <c r="E135" i="36"/>
  <c r="E127" i="36"/>
  <c r="E110" i="36"/>
  <c r="E116" i="36"/>
  <c r="E80" i="36"/>
  <c r="E72" i="36"/>
  <c r="E64" i="36"/>
  <c r="E37" i="36"/>
  <c r="E41" i="36"/>
  <c r="E185" i="36"/>
  <c r="E307" i="36"/>
  <c r="E303" i="36"/>
  <c r="E299" i="36"/>
  <c r="E295" i="36"/>
  <c r="E291" i="36"/>
  <c r="E287" i="36"/>
  <c r="E283" i="36"/>
  <c r="E279" i="36"/>
  <c r="E275" i="36"/>
  <c r="E271" i="36"/>
  <c r="E267" i="36"/>
  <c r="E263" i="36"/>
  <c r="E259" i="36"/>
  <c r="E235" i="36"/>
  <c r="E117" i="36"/>
  <c r="E83" i="36"/>
  <c r="E79" i="36"/>
  <c r="E75" i="36"/>
  <c r="E71" i="36"/>
  <c r="E67" i="36"/>
  <c r="E63" i="36"/>
  <c r="E45" i="36"/>
  <c r="E55" i="36"/>
  <c r="E13" i="36"/>
  <c r="E50" i="36"/>
  <c r="E25" i="36"/>
  <c r="E46" i="36"/>
  <c r="E21" i="36"/>
  <c r="J11" i="36"/>
  <c r="J12" i="36"/>
  <c r="J16" i="36"/>
  <c r="J40" i="36"/>
  <c r="J50" i="36"/>
  <c r="J59" i="36"/>
  <c r="J61" i="36"/>
  <c r="J62" i="36"/>
  <c r="J77" i="36"/>
  <c r="J78" i="36"/>
  <c r="J34" i="36"/>
  <c r="J44" i="36"/>
  <c r="J52" i="36"/>
  <c r="J53" i="36"/>
  <c r="J56" i="36"/>
  <c r="J65" i="36"/>
  <c r="J66" i="36"/>
  <c r="J81" i="36"/>
  <c r="J82" i="36"/>
  <c r="J92" i="36"/>
  <c r="J36" i="36"/>
  <c r="J54" i="36"/>
  <c r="J69" i="36"/>
  <c r="J74" i="36"/>
  <c r="J86" i="36"/>
  <c r="J95" i="36"/>
  <c r="J100" i="36"/>
  <c r="J104" i="36"/>
  <c r="J115" i="36"/>
  <c r="J24" i="36"/>
  <c r="J28" i="36"/>
  <c r="J38" i="36"/>
  <c r="J42" i="36"/>
  <c r="J103" i="36"/>
  <c r="J109" i="36"/>
  <c r="J120" i="36"/>
  <c r="J124" i="36"/>
  <c r="J128" i="36"/>
  <c r="J132" i="36"/>
  <c r="J136" i="36"/>
  <c r="J140" i="36"/>
  <c r="J144" i="36"/>
  <c r="J148" i="36"/>
  <c r="J152" i="36"/>
  <c r="J156" i="36"/>
  <c r="J160" i="36"/>
  <c r="J174" i="36"/>
  <c r="J178" i="36"/>
  <c r="J180" i="36"/>
  <c r="J194" i="36"/>
  <c r="J196" i="36"/>
  <c r="J200" i="36"/>
  <c r="J201" i="36"/>
  <c r="J208" i="36"/>
  <c r="J214" i="36"/>
  <c r="J218" i="36"/>
  <c r="J232" i="36"/>
  <c r="J234" i="36"/>
  <c r="J248" i="36"/>
  <c r="J250" i="36"/>
  <c r="J252" i="36"/>
  <c r="J256" i="36"/>
  <c r="J261" i="36"/>
  <c r="J265" i="36"/>
  <c r="J269" i="36"/>
  <c r="J273" i="36"/>
  <c r="J277" i="36"/>
  <c r="J281" i="36"/>
  <c r="J285" i="36"/>
  <c r="J289" i="36"/>
  <c r="J293" i="36"/>
  <c r="J297" i="36"/>
  <c r="J301" i="36"/>
  <c r="J305" i="36"/>
  <c r="J20" i="36"/>
  <c r="J32" i="36"/>
  <c r="J70" i="36"/>
  <c r="J73" i="36"/>
  <c r="J85" i="36"/>
  <c r="J89" i="36"/>
  <c r="J96" i="36"/>
  <c r="J119" i="36"/>
  <c r="J30" i="36"/>
  <c r="J48" i="36"/>
  <c r="J99" i="36"/>
  <c r="J107" i="36"/>
  <c r="J111" i="36"/>
  <c r="J112" i="36"/>
  <c r="J117" i="36"/>
  <c r="J122" i="36"/>
  <c r="J126" i="36"/>
  <c r="J130" i="36"/>
  <c r="J134" i="36"/>
  <c r="J138" i="36"/>
  <c r="J142" i="36"/>
  <c r="J146" i="36"/>
  <c r="J150" i="36"/>
  <c r="J154" i="36"/>
  <c r="J158" i="36"/>
  <c r="J162" i="36"/>
  <c r="J172" i="36"/>
  <c r="J176" i="36"/>
  <c r="J186" i="36"/>
  <c r="J188" i="36"/>
  <c r="J206" i="36"/>
  <c r="J216" i="36"/>
  <c r="J220" i="36"/>
  <c r="J226" i="36"/>
  <c r="J240" i="36"/>
  <c r="J242" i="36"/>
  <c r="J258" i="36"/>
  <c r="J262" i="36"/>
  <c r="J266" i="36"/>
  <c r="J270" i="36"/>
  <c r="J274" i="36"/>
  <c r="J278" i="36"/>
  <c r="J282" i="36"/>
  <c r="J286" i="36"/>
  <c r="J290" i="36"/>
  <c r="J294" i="36"/>
  <c r="J298" i="36"/>
  <c r="J302" i="36"/>
  <c r="J306" i="36"/>
  <c r="J168" i="36"/>
  <c r="J198" i="36"/>
  <c r="J204" i="36"/>
  <c r="J210" i="36"/>
  <c r="J224" i="36"/>
  <c r="J244" i="36"/>
  <c r="J246" i="36"/>
  <c r="J166" i="36"/>
  <c r="J190" i="36"/>
  <c r="J192" i="36"/>
  <c r="J222" i="36"/>
  <c r="J236" i="36"/>
  <c r="J238" i="36"/>
  <c r="J255" i="36"/>
  <c r="J164" i="36"/>
  <c r="J182" i="36"/>
  <c r="J184" i="36"/>
  <c r="J228" i="36"/>
  <c r="J230" i="36"/>
  <c r="J170" i="36"/>
  <c r="J212" i="36"/>
  <c r="J254" i="36"/>
  <c r="J235" i="36"/>
  <c r="J231" i="36"/>
  <c r="J227" i="36"/>
  <c r="J221" i="36"/>
  <c r="J193" i="36"/>
  <c r="J171" i="36"/>
  <c r="J253" i="36"/>
  <c r="J245" i="36"/>
  <c r="J237" i="36"/>
  <c r="J229" i="36"/>
  <c r="J217" i="36"/>
  <c r="J175" i="36"/>
  <c r="J187" i="36"/>
  <c r="J110" i="36"/>
  <c r="J147" i="36"/>
  <c r="J131" i="36"/>
  <c r="J108" i="36"/>
  <c r="J177" i="36"/>
  <c r="J161" i="36"/>
  <c r="J114" i="36"/>
  <c r="J102" i="36"/>
  <c r="J83" i="36"/>
  <c r="J75" i="36"/>
  <c r="J67" i="36"/>
  <c r="J57" i="36"/>
  <c r="J45" i="36"/>
  <c r="J58" i="36"/>
  <c r="J55" i="36"/>
  <c r="J33" i="36"/>
  <c r="J46" i="36"/>
  <c r="J22" i="36"/>
  <c r="J14" i="36"/>
  <c r="J31" i="36"/>
  <c r="J23" i="36"/>
  <c r="J15" i="36"/>
  <c r="J197" i="36"/>
  <c r="J181" i="36"/>
  <c r="J308" i="36"/>
  <c r="J304" i="36"/>
  <c r="J300" i="36"/>
  <c r="J296" i="36"/>
  <c r="J292" i="36"/>
  <c r="J288" i="36"/>
  <c r="J284" i="36"/>
  <c r="J280" i="36"/>
  <c r="J276" i="36"/>
  <c r="J272" i="36"/>
  <c r="J268" i="36"/>
  <c r="J264" i="36"/>
  <c r="J260" i="36"/>
  <c r="J225" i="36"/>
  <c r="J209" i="36"/>
  <c r="J219" i="36"/>
  <c r="J211" i="36"/>
  <c r="J203" i="36"/>
  <c r="J183" i="36"/>
  <c r="J167" i="36"/>
  <c r="J101" i="36"/>
  <c r="J97" i="36"/>
  <c r="J93" i="36"/>
  <c r="J143" i="36"/>
  <c r="J127" i="36"/>
  <c r="J173" i="36"/>
  <c r="J157" i="36"/>
  <c r="J149" i="36"/>
  <c r="J141" i="36"/>
  <c r="J133" i="36"/>
  <c r="J125" i="36"/>
  <c r="J116" i="36"/>
  <c r="J113" i="36"/>
  <c r="J98" i="36"/>
  <c r="J80" i="36"/>
  <c r="J72" i="36"/>
  <c r="J64" i="36"/>
  <c r="J37" i="36"/>
  <c r="J41" i="36"/>
  <c r="J43" i="36"/>
  <c r="J49" i="36"/>
  <c r="J257" i="36"/>
  <c r="J185" i="36"/>
  <c r="J307" i="36"/>
  <c r="J303" i="36"/>
  <c r="J299" i="36"/>
  <c r="J295" i="36"/>
  <c r="J291" i="36"/>
  <c r="J287" i="36"/>
  <c r="J283" i="36"/>
  <c r="J279" i="36"/>
  <c r="J275" i="36"/>
  <c r="J271" i="36"/>
  <c r="J267" i="36"/>
  <c r="J263" i="36"/>
  <c r="J259" i="36"/>
  <c r="J241" i="36"/>
  <c r="J233" i="36"/>
  <c r="J202" i="36"/>
  <c r="J195" i="36"/>
  <c r="J179" i="36"/>
  <c r="J155" i="36"/>
  <c r="J139" i="36"/>
  <c r="J123" i="36"/>
  <c r="J106" i="36"/>
  <c r="J118" i="36"/>
  <c r="J90" i="36"/>
  <c r="J169" i="36"/>
  <c r="J94" i="36"/>
  <c r="J79" i="36"/>
  <c r="J71" i="36"/>
  <c r="J63" i="36"/>
  <c r="J39" i="36"/>
  <c r="J13" i="36"/>
  <c r="J25" i="36"/>
  <c r="J21" i="36"/>
  <c r="J26" i="36"/>
  <c r="J18" i="36"/>
  <c r="J27" i="36"/>
  <c r="J19" i="36"/>
  <c r="J247" i="36"/>
  <c r="J243" i="36"/>
  <c r="J239" i="36"/>
  <c r="J205" i="36"/>
  <c r="J199" i="36"/>
  <c r="J189" i="36"/>
  <c r="J249" i="36"/>
  <c r="J251" i="36"/>
  <c r="J213" i="36"/>
  <c r="J223" i="36"/>
  <c r="J215" i="36"/>
  <c r="J207" i="36"/>
  <c r="J159" i="36"/>
  <c r="J191" i="36"/>
  <c r="J163" i="36"/>
  <c r="J88" i="36"/>
  <c r="J151" i="36"/>
  <c r="J135" i="36"/>
  <c r="J105" i="36"/>
  <c r="J165" i="36"/>
  <c r="J153" i="36"/>
  <c r="J145" i="36"/>
  <c r="J137" i="36"/>
  <c r="J129" i="36"/>
  <c r="J121" i="36"/>
  <c r="J91" i="36"/>
  <c r="J87" i="36"/>
  <c r="J84" i="36"/>
  <c r="J76" i="36"/>
  <c r="J68" i="36"/>
  <c r="J60" i="36"/>
  <c r="J51" i="36"/>
  <c r="J17" i="36"/>
  <c r="J35" i="36"/>
  <c r="J29" i="36"/>
  <c r="J47" i="36"/>
  <c r="J10" i="36"/>
  <c r="H19" i="36"/>
  <c r="H22" i="36"/>
  <c r="H24" i="36"/>
  <c r="H26" i="36"/>
  <c r="H28" i="36"/>
  <c r="H32" i="36"/>
  <c r="H34" i="36"/>
  <c r="H46" i="36"/>
  <c r="H48" i="36"/>
  <c r="H68" i="36"/>
  <c r="H69" i="36"/>
  <c r="H84" i="36"/>
  <c r="H85" i="36"/>
  <c r="H91" i="36"/>
  <c r="H15" i="36"/>
  <c r="H18" i="36"/>
  <c r="H20" i="36"/>
  <c r="H30" i="36"/>
  <c r="H36" i="36"/>
  <c r="H38" i="36"/>
  <c r="H72" i="36"/>
  <c r="H73" i="36"/>
  <c r="H89" i="36"/>
  <c r="H42" i="36"/>
  <c r="H61" i="36"/>
  <c r="H65" i="36"/>
  <c r="H76" i="36"/>
  <c r="H80" i="36"/>
  <c r="H87" i="36"/>
  <c r="H98" i="36"/>
  <c r="H106" i="36"/>
  <c r="H109" i="36"/>
  <c r="H118" i="36"/>
  <c r="H119" i="36"/>
  <c r="H11" i="36"/>
  <c r="H47" i="36"/>
  <c r="H50" i="36"/>
  <c r="H94" i="36"/>
  <c r="H99" i="36"/>
  <c r="H105" i="36"/>
  <c r="H107" i="36"/>
  <c r="H110" i="36"/>
  <c r="H111" i="36"/>
  <c r="H114" i="36"/>
  <c r="H166" i="36"/>
  <c r="H170" i="36"/>
  <c r="H172" i="36"/>
  <c r="H176" i="36"/>
  <c r="H188" i="36"/>
  <c r="H190" i="36"/>
  <c r="H204" i="36"/>
  <c r="H206" i="36"/>
  <c r="H224" i="36"/>
  <c r="H226" i="36"/>
  <c r="H228" i="36"/>
  <c r="H242" i="36"/>
  <c r="H244" i="36"/>
  <c r="H257" i="36"/>
  <c r="H258" i="36"/>
  <c r="H14" i="36"/>
  <c r="H16" i="36"/>
  <c r="H52" i="36"/>
  <c r="H56" i="36"/>
  <c r="H59" i="36"/>
  <c r="H60" i="36"/>
  <c r="H64" i="36"/>
  <c r="H77" i="36"/>
  <c r="H81" i="36"/>
  <c r="H95" i="36"/>
  <c r="H102" i="36"/>
  <c r="H115" i="36"/>
  <c r="H117" i="36"/>
  <c r="H122" i="36"/>
  <c r="H126" i="36"/>
  <c r="H130" i="36"/>
  <c r="H134" i="36"/>
  <c r="H10" i="36"/>
  <c r="H23" i="36"/>
  <c r="H27" i="36"/>
  <c r="H40" i="36"/>
  <c r="H44" i="36"/>
  <c r="H54" i="36"/>
  <c r="H92" i="36"/>
  <c r="H103" i="36"/>
  <c r="H113" i="36"/>
  <c r="H124" i="36"/>
  <c r="H128" i="36"/>
  <c r="H132" i="36"/>
  <c r="H136" i="36"/>
  <c r="H140" i="36"/>
  <c r="H144" i="36"/>
  <c r="H148" i="36"/>
  <c r="H152" i="36"/>
  <c r="H156" i="36"/>
  <c r="H160" i="36"/>
  <c r="H180" i="36"/>
  <c r="H182" i="36"/>
  <c r="H196" i="36"/>
  <c r="H198" i="36"/>
  <c r="H200" i="36"/>
  <c r="H212" i="36"/>
  <c r="H214" i="36"/>
  <c r="H218" i="36"/>
  <c r="H234" i="36"/>
  <c r="H236" i="36"/>
  <c r="H250" i="36"/>
  <c r="H253" i="36"/>
  <c r="H261" i="36"/>
  <c r="H265" i="36"/>
  <c r="H269" i="36"/>
  <c r="H273" i="36"/>
  <c r="H277" i="36"/>
  <c r="H281" i="36"/>
  <c r="H285" i="36"/>
  <c r="H289" i="36"/>
  <c r="H293" i="36"/>
  <c r="H297" i="36"/>
  <c r="H301" i="36"/>
  <c r="H305" i="36"/>
  <c r="H146" i="36"/>
  <c r="H154" i="36"/>
  <c r="H162" i="36"/>
  <c r="H192" i="36"/>
  <c r="H222" i="36"/>
  <c r="H238" i="36"/>
  <c r="H248" i="36"/>
  <c r="H164" i="36"/>
  <c r="H174" i="36"/>
  <c r="H184" i="36"/>
  <c r="H194" i="36"/>
  <c r="H216" i="36"/>
  <c r="H230" i="36"/>
  <c r="H240" i="36"/>
  <c r="H264" i="36"/>
  <c r="H272" i="36"/>
  <c r="H280" i="36"/>
  <c r="H288" i="36"/>
  <c r="H296" i="36"/>
  <c r="H304" i="36"/>
  <c r="H138" i="36"/>
  <c r="H142" i="36"/>
  <c r="H150" i="36"/>
  <c r="H158" i="36"/>
  <c r="H186" i="36"/>
  <c r="H208" i="36"/>
  <c r="H232" i="36"/>
  <c r="H254" i="36"/>
  <c r="H256" i="36"/>
  <c r="H168" i="36"/>
  <c r="H178" i="36"/>
  <c r="H210" i="36"/>
  <c r="H220" i="36"/>
  <c r="H246" i="36"/>
  <c r="H252" i="36"/>
  <c r="H260" i="36"/>
  <c r="H268" i="36"/>
  <c r="H276" i="36"/>
  <c r="H284" i="36"/>
  <c r="H292" i="36"/>
  <c r="H300" i="36"/>
  <c r="H308" i="36"/>
  <c r="H202" i="36"/>
  <c r="H55" i="36"/>
  <c r="H185" i="36"/>
  <c r="H171" i="36"/>
  <c r="H241" i="36"/>
  <c r="H233" i="36"/>
  <c r="H306" i="36"/>
  <c r="H302" i="36"/>
  <c r="H298" i="36"/>
  <c r="H294" i="36"/>
  <c r="H290" i="36"/>
  <c r="H286" i="36"/>
  <c r="H282" i="36"/>
  <c r="H278" i="36"/>
  <c r="H274" i="36"/>
  <c r="H270" i="36"/>
  <c r="H266" i="36"/>
  <c r="H262" i="36"/>
  <c r="H249" i="36"/>
  <c r="H299" i="36"/>
  <c r="H283" i="36"/>
  <c r="H267" i="36"/>
  <c r="H175" i="36"/>
  <c r="H195" i="36"/>
  <c r="H179" i="36"/>
  <c r="H116" i="36"/>
  <c r="H173" i="36"/>
  <c r="H157" i="36"/>
  <c r="H141" i="36"/>
  <c r="H125" i="36"/>
  <c r="H112" i="36"/>
  <c r="H101" i="36"/>
  <c r="H90" i="36"/>
  <c r="H108" i="36"/>
  <c r="H151" i="36"/>
  <c r="H143" i="36"/>
  <c r="H135" i="36"/>
  <c r="H127" i="36"/>
  <c r="H104" i="36"/>
  <c r="H96" i="36"/>
  <c r="H39" i="36"/>
  <c r="H82" i="36"/>
  <c r="H66" i="36"/>
  <c r="H31" i="36"/>
  <c r="H247" i="36"/>
  <c r="H243" i="36"/>
  <c r="H239" i="36"/>
  <c r="H205" i="36"/>
  <c r="H189" i="36"/>
  <c r="H213" i="36"/>
  <c r="H295" i="36"/>
  <c r="H279" i="36"/>
  <c r="H263" i="36"/>
  <c r="H199" i="36"/>
  <c r="H223" i="36"/>
  <c r="H215" i="36"/>
  <c r="H207" i="36"/>
  <c r="H201" i="36"/>
  <c r="H191" i="36"/>
  <c r="H167" i="36"/>
  <c r="H177" i="36"/>
  <c r="H161" i="36"/>
  <c r="H153" i="36"/>
  <c r="H137" i="36"/>
  <c r="H121" i="36"/>
  <c r="H97" i="36"/>
  <c r="H120" i="36"/>
  <c r="H58" i="36"/>
  <c r="H35" i="36"/>
  <c r="H78" i="36"/>
  <c r="H62" i="36"/>
  <c r="H235" i="36"/>
  <c r="H231" i="36"/>
  <c r="H227" i="36"/>
  <c r="H221" i="36"/>
  <c r="H193" i="36"/>
  <c r="H245" i="36"/>
  <c r="H237" i="36"/>
  <c r="H229" i="36"/>
  <c r="H217" i="36"/>
  <c r="H307" i="36"/>
  <c r="H291" i="36"/>
  <c r="H275" i="36"/>
  <c r="H259" i="36"/>
  <c r="H187" i="36"/>
  <c r="H165" i="36"/>
  <c r="H149" i="36"/>
  <c r="H133" i="36"/>
  <c r="H93" i="36"/>
  <c r="H155" i="36"/>
  <c r="H147" i="36"/>
  <c r="H139" i="36"/>
  <c r="H131" i="36"/>
  <c r="H123" i="36"/>
  <c r="H83" i="36"/>
  <c r="H79" i="36"/>
  <c r="H75" i="36"/>
  <c r="H71" i="36"/>
  <c r="H67" i="36"/>
  <c r="H63" i="36"/>
  <c r="H51" i="36"/>
  <c r="H45" i="36"/>
  <c r="H33" i="36"/>
  <c r="H13" i="36"/>
  <c r="H74" i="36"/>
  <c r="H53" i="36"/>
  <c r="H25" i="36"/>
  <c r="H49" i="36"/>
  <c r="H21" i="36"/>
  <c r="H12" i="36"/>
  <c r="H197" i="36"/>
  <c r="H181" i="36"/>
  <c r="H255" i="36"/>
  <c r="H303" i="36"/>
  <c r="H287" i="36"/>
  <c r="H271" i="36"/>
  <c r="H251" i="36"/>
  <c r="H225" i="36"/>
  <c r="H209" i="36"/>
  <c r="H159" i="36"/>
  <c r="H219" i="36"/>
  <c r="H211" i="36"/>
  <c r="H203" i="36"/>
  <c r="H183" i="36"/>
  <c r="H163" i="36"/>
  <c r="H169" i="36"/>
  <c r="H145" i="36"/>
  <c r="H129" i="36"/>
  <c r="H88" i="36"/>
  <c r="H100" i="36"/>
  <c r="H57" i="36"/>
  <c r="H37" i="36"/>
  <c r="H41" i="36"/>
  <c r="H17" i="36"/>
  <c r="H43" i="36"/>
  <c r="H29" i="36"/>
  <c r="H86" i="36"/>
  <c r="H70" i="36"/>
  <c r="D10" i="36"/>
  <c r="D14" i="36"/>
  <c r="D23" i="36"/>
  <c r="D24" i="36"/>
  <c r="D27" i="36"/>
  <c r="D28" i="36"/>
  <c r="D32" i="36"/>
  <c r="D47" i="36"/>
  <c r="D48" i="36"/>
  <c r="D50" i="36"/>
  <c r="D60" i="36"/>
  <c r="D69" i="36"/>
  <c r="D76" i="36"/>
  <c r="D85" i="36"/>
  <c r="D92" i="36"/>
  <c r="D19" i="36"/>
  <c r="D20" i="36"/>
  <c r="D34" i="36"/>
  <c r="D36" i="36"/>
  <c r="D54" i="36"/>
  <c r="D64" i="36"/>
  <c r="D73" i="36"/>
  <c r="D80" i="36"/>
  <c r="D89" i="36"/>
  <c r="D16" i="36"/>
  <c r="D52" i="36"/>
  <c r="D56" i="36"/>
  <c r="D77" i="36"/>
  <c r="D81" i="36"/>
  <c r="D117" i="36"/>
  <c r="D119" i="36"/>
  <c r="D22" i="36"/>
  <c r="D26" i="36"/>
  <c r="D30" i="36"/>
  <c r="D40" i="36"/>
  <c r="D44" i="36"/>
  <c r="D68" i="36"/>
  <c r="D98" i="36"/>
  <c r="D99" i="36"/>
  <c r="D106" i="36"/>
  <c r="D107" i="36"/>
  <c r="D109" i="36"/>
  <c r="D111" i="36"/>
  <c r="D172" i="36"/>
  <c r="D174" i="36"/>
  <c r="D176" i="36"/>
  <c r="D178" i="36"/>
  <c r="D188" i="36"/>
  <c r="D194" i="36"/>
  <c r="D206" i="36"/>
  <c r="D208" i="36"/>
  <c r="D226" i="36"/>
  <c r="D232" i="36"/>
  <c r="D242" i="36"/>
  <c r="D248" i="36"/>
  <c r="D253" i="36"/>
  <c r="D258" i="36"/>
  <c r="D15" i="36"/>
  <c r="D18" i="36"/>
  <c r="D61" i="36"/>
  <c r="D65" i="36"/>
  <c r="D94" i="36"/>
  <c r="D95" i="36"/>
  <c r="D115" i="36"/>
  <c r="D11" i="36"/>
  <c r="D38" i="36"/>
  <c r="D42" i="36"/>
  <c r="D72" i="36"/>
  <c r="D84" i="36"/>
  <c r="D102" i="36"/>
  <c r="D103" i="36"/>
  <c r="D114" i="36"/>
  <c r="D122" i="36"/>
  <c r="D124" i="36"/>
  <c r="D126" i="36"/>
  <c r="D128" i="36"/>
  <c r="D130" i="36"/>
  <c r="D132" i="36"/>
  <c r="D134" i="36"/>
  <c r="D136" i="36"/>
  <c r="D138" i="36"/>
  <c r="D140" i="36"/>
  <c r="D142" i="36"/>
  <c r="D144" i="36"/>
  <c r="D146" i="36"/>
  <c r="D148" i="36"/>
  <c r="D150" i="36"/>
  <c r="D152" i="36"/>
  <c r="D154" i="36"/>
  <c r="D156" i="36"/>
  <c r="D158" i="36"/>
  <c r="D160" i="36"/>
  <c r="D162" i="36"/>
  <c r="D180" i="36"/>
  <c r="D186" i="36"/>
  <c r="D196" i="36"/>
  <c r="D200" i="36"/>
  <c r="D214" i="36"/>
  <c r="D216" i="36"/>
  <c r="D218" i="36"/>
  <c r="D220" i="36"/>
  <c r="D234" i="36"/>
  <c r="D240" i="36"/>
  <c r="D250" i="36"/>
  <c r="D260" i="36"/>
  <c r="D261" i="36"/>
  <c r="D264" i="36"/>
  <c r="D265" i="36"/>
  <c r="D268" i="36"/>
  <c r="D269" i="36"/>
  <c r="D272" i="36"/>
  <c r="D273" i="36"/>
  <c r="D276" i="36"/>
  <c r="D277" i="36"/>
  <c r="D280" i="36"/>
  <c r="D281" i="36"/>
  <c r="D284" i="36"/>
  <c r="D285" i="36"/>
  <c r="D288" i="36"/>
  <c r="D289" i="36"/>
  <c r="D292" i="36"/>
  <c r="D293" i="36"/>
  <c r="D296" i="36"/>
  <c r="D297" i="36"/>
  <c r="D300" i="36"/>
  <c r="D301" i="36"/>
  <c r="D304" i="36"/>
  <c r="D305" i="36"/>
  <c r="D308" i="36"/>
  <c r="D182" i="36"/>
  <c r="D228" i="36"/>
  <c r="D254" i="36"/>
  <c r="D168" i="36"/>
  <c r="D170" i="36"/>
  <c r="D210" i="36"/>
  <c r="D212" i="36"/>
  <c r="D246" i="36"/>
  <c r="D256" i="36"/>
  <c r="D192" i="36"/>
  <c r="D198" i="36"/>
  <c r="D204" i="36"/>
  <c r="D222" i="36"/>
  <c r="D224" i="36"/>
  <c r="D238" i="36"/>
  <c r="D244" i="36"/>
  <c r="D164" i="36"/>
  <c r="D166" i="36"/>
  <c r="D184" i="36"/>
  <c r="D190" i="36"/>
  <c r="D230" i="36"/>
  <c r="D236" i="36"/>
  <c r="D147" i="36"/>
  <c r="D298" i="36"/>
  <c r="D282" i="36"/>
  <c r="D266" i="36"/>
  <c r="D143" i="36"/>
  <c r="D302" i="36"/>
  <c r="D286" i="36"/>
  <c r="D263" i="36"/>
  <c r="D207" i="36"/>
  <c r="D105" i="36"/>
  <c r="D78" i="36"/>
  <c r="D211" i="36"/>
  <c r="D74" i="36"/>
  <c r="D66" i="36"/>
  <c r="D307" i="36"/>
  <c r="D291" i="36"/>
  <c r="D275" i="36"/>
  <c r="D259" i="36"/>
  <c r="D139" i="36"/>
  <c r="D295" i="36"/>
  <c r="D278" i="36"/>
  <c r="D262" i="36"/>
  <c r="D131" i="36"/>
  <c r="D123" i="36"/>
  <c r="D87" i="36"/>
  <c r="D279" i="36"/>
  <c r="D215" i="36"/>
  <c r="D306" i="36"/>
  <c r="D290" i="36"/>
  <c r="D274" i="36"/>
  <c r="D219" i="36"/>
  <c r="D294" i="36"/>
  <c r="D271" i="36"/>
  <c r="D203" i="36"/>
  <c r="D12" i="36"/>
  <c r="D62" i="36"/>
  <c r="D86" i="36"/>
  <c r="D46" i="36"/>
  <c r="D155" i="36"/>
  <c r="D299" i="36"/>
  <c r="D283" i="36"/>
  <c r="D267" i="36"/>
  <c r="D151" i="36"/>
  <c r="D303" i="36"/>
  <c r="D287" i="36"/>
  <c r="D270" i="36"/>
  <c r="D223" i="36"/>
  <c r="D135" i="36"/>
  <c r="D127" i="36"/>
  <c r="D118" i="36"/>
  <c r="D252" i="36"/>
  <c r="D51" i="36"/>
  <c r="D70" i="36"/>
  <c r="D82" i="36"/>
  <c r="D247" i="36"/>
  <c r="D243" i="36"/>
  <c r="D239" i="36"/>
  <c r="D205" i="36"/>
  <c r="D189" i="36"/>
  <c r="D249" i="36"/>
  <c r="D213" i="36"/>
  <c r="D202" i="36"/>
  <c r="D257" i="36"/>
  <c r="D201" i="36"/>
  <c r="D191" i="36"/>
  <c r="D167" i="36"/>
  <c r="D88" i="36"/>
  <c r="D169" i="36"/>
  <c r="D145" i="36"/>
  <c r="D129" i="36"/>
  <c r="D120" i="36"/>
  <c r="D110" i="36"/>
  <c r="D35" i="36"/>
  <c r="D235" i="36"/>
  <c r="D231" i="36"/>
  <c r="D227" i="36"/>
  <c r="D221" i="36"/>
  <c r="D193" i="36"/>
  <c r="D245" i="36"/>
  <c r="D237" i="36"/>
  <c r="D229" i="36"/>
  <c r="D217" i="36"/>
  <c r="D187" i="36"/>
  <c r="D173" i="36"/>
  <c r="D157" i="36"/>
  <c r="D141" i="36"/>
  <c r="D125" i="36"/>
  <c r="D101" i="36"/>
  <c r="D83" i="36"/>
  <c r="D79" i="36"/>
  <c r="D75" i="36"/>
  <c r="D71" i="36"/>
  <c r="D67" i="36"/>
  <c r="D63" i="36"/>
  <c r="D45" i="36"/>
  <c r="D55" i="36"/>
  <c r="D33" i="36"/>
  <c r="D13" i="36"/>
  <c r="D53" i="36"/>
  <c r="D25" i="36"/>
  <c r="D49" i="36"/>
  <c r="D21" i="36"/>
  <c r="D31" i="36"/>
  <c r="D199" i="36"/>
  <c r="D197" i="36"/>
  <c r="D181" i="36"/>
  <c r="D255" i="36"/>
  <c r="D251" i="36"/>
  <c r="D225" i="36"/>
  <c r="D209" i="36"/>
  <c r="D159" i="36"/>
  <c r="D183" i="36"/>
  <c r="D163" i="36"/>
  <c r="D177" i="36"/>
  <c r="D161" i="36"/>
  <c r="D153" i="36"/>
  <c r="D137" i="36"/>
  <c r="D121" i="36"/>
  <c r="D113" i="36"/>
  <c r="D100" i="36"/>
  <c r="D97" i="36"/>
  <c r="D91" i="36"/>
  <c r="D57" i="36"/>
  <c r="D37" i="36"/>
  <c r="D41" i="36"/>
  <c r="D17" i="36"/>
  <c r="D43" i="36"/>
  <c r="D29" i="36"/>
  <c r="D185" i="36"/>
  <c r="D171" i="36"/>
  <c r="D241" i="36"/>
  <c r="D233" i="36"/>
  <c r="D175" i="36"/>
  <c r="D195" i="36"/>
  <c r="D179" i="36"/>
  <c r="D116" i="36"/>
  <c r="D165" i="36"/>
  <c r="D149" i="36"/>
  <c r="D133" i="36"/>
  <c r="D112" i="36"/>
  <c r="D90" i="36"/>
  <c r="D108" i="36"/>
  <c r="D104" i="36"/>
  <c r="D96" i="36"/>
  <c r="D93" i="36"/>
  <c r="D58" i="36"/>
  <c r="D39" i="36"/>
  <c r="D59" i="36"/>
  <c r="G13" i="36"/>
  <c r="G15" i="36"/>
  <c r="G18" i="36"/>
  <c r="G20" i="36"/>
  <c r="G30" i="36"/>
  <c r="G36" i="36"/>
  <c r="G38" i="36"/>
  <c r="G70" i="36"/>
  <c r="G72" i="36"/>
  <c r="G73" i="36"/>
  <c r="G75" i="36"/>
  <c r="G86" i="36"/>
  <c r="G89" i="36"/>
  <c r="G10" i="36"/>
  <c r="G11" i="36"/>
  <c r="G14" i="36"/>
  <c r="G16" i="36"/>
  <c r="G40" i="36"/>
  <c r="G42" i="36"/>
  <c r="G45" i="36"/>
  <c r="G60" i="36"/>
  <c r="G61" i="36"/>
  <c r="G63" i="36"/>
  <c r="G74" i="36"/>
  <c r="G76" i="36"/>
  <c r="G77" i="36"/>
  <c r="G79" i="36"/>
  <c r="G24" i="36"/>
  <c r="G28" i="36"/>
  <c r="G31" i="36"/>
  <c r="G46" i="36"/>
  <c r="G47" i="36"/>
  <c r="G49" i="36"/>
  <c r="G50" i="36"/>
  <c r="G55" i="36"/>
  <c r="G84" i="36"/>
  <c r="G94" i="36"/>
  <c r="G99" i="36"/>
  <c r="G107" i="36"/>
  <c r="G108" i="36"/>
  <c r="G111" i="36"/>
  <c r="G114" i="36"/>
  <c r="G25" i="36"/>
  <c r="G29" i="36"/>
  <c r="G32" i="36"/>
  <c r="G52" i="36"/>
  <c r="G56" i="36"/>
  <c r="G59" i="36"/>
  <c r="G62" i="36"/>
  <c r="G64" i="36"/>
  <c r="G66" i="36"/>
  <c r="G67" i="36"/>
  <c r="G81" i="36"/>
  <c r="G85" i="36"/>
  <c r="G95" i="36"/>
  <c r="G96" i="36"/>
  <c r="G102" i="36"/>
  <c r="G112" i="36"/>
  <c r="G115" i="36"/>
  <c r="G117" i="36"/>
  <c r="G122" i="36"/>
  <c r="G126" i="36"/>
  <c r="G130" i="36"/>
  <c r="G134" i="36"/>
  <c r="G138" i="36"/>
  <c r="G142" i="36"/>
  <c r="G146" i="36"/>
  <c r="G150" i="36"/>
  <c r="G154" i="36"/>
  <c r="G158" i="36"/>
  <c r="G162" i="36"/>
  <c r="G164" i="36"/>
  <c r="G165" i="36"/>
  <c r="G168" i="36"/>
  <c r="G169" i="36"/>
  <c r="G175" i="36"/>
  <c r="G183" i="36"/>
  <c r="G184" i="36"/>
  <c r="G186" i="36"/>
  <c r="G203" i="36"/>
  <c r="G216" i="36"/>
  <c r="G220" i="36"/>
  <c r="G222" i="36"/>
  <c r="G223" i="36"/>
  <c r="G237" i="36"/>
  <c r="G238" i="36"/>
  <c r="G240" i="36"/>
  <c r="G251" i="36"/>
  <c r="G260" i="36"/>
  <c r="G264" i="36"/>
  <c r="G268" i="36"/>
  <c r="G272" i="36"/>
  <c r="G276" i="36"/>
  <c r="G280" i="36"/>
  <c r="G284" i="36"/>
  <c r="G288" i="36"/>
  <c r="G292" i="36"/>
  <c r="G296" i="36"/>
  <c r="G300" i="36"/>
  <c r="G304" i="36"/>
  <c r="G308" i="36"/>
  <c r="G12" i="36"/>
  <c r="G22" i="36"/>
  <c r="G23" i="36"/>
  <c r="G26" i="36"/>
  <c r="G27" i="36"/>
  <c r="G34" i="36"/>
  <c r="G44" i="36"/>
  <c r="G48" i="36"/>
  <c r="G68" i="36"/>
  <c r="G91" i="36"/>
  <c r="G92" i="36"/>
  <c r="G103" i="36"/>
  <c r="G104" i="36"/>
  <c r="G121" i="36"/>
  <c r="G124" i="36"/>
  <c r="G125" i="36"/>
  <c r="G128" i="36"/>
  <c r="G129" i="36"/>
  <c r="G132" i="36"/>
  <c r="G133" i="36"/>
  <c r="G136" i="36"/>
  <c r="G137" i="36"/>
  <c r="G19" i="36"/>
  <c r="G53" i="36"/>
  <c r="G65" i="36"/>
  <c r="G69" i="36"/>
  <c r="G71" i="36"/>
  <c r="G78" i="36"/>
  <c r="G80" i="36"/>
  <c r="G82" i="36"/>
  <c r="G83" i="36"/>
  <c r="G98" i="36"/>
  <c r="G106" i="36"/>
  <c r="G109" i="36"/>
  <c r="G119" i="36"/>
  <c r="G120" i="36"/>
  <c r="G123" i="36"/>
  <c r="G127" i="36"/>
  <c r="G131" i="36"/>
  <c r="G135" i="36"/>
  <c r="G139" i="36"/>
  <c r="G143" i="36"/>
  <c r="G147" i="36"/>
  <c r="G151" i="36"/>
  <c r="G155" i="36"/>
  <c r="G159" i="36"/>
  <c r="G174" i="36"/>
  <c r="G178" i="36"/>
  <c r="G191" i="36"/>
  <c r="G192" i="36"/>
  <c r="G194" i="36"/>
  <c r="G201" i="36"/>
  <c r="G208" i="36"/>
  <c r="G210" i="36"/>
  <c r="G211" i="36"/>
  <c r="G217" i="36"/>
  <c r="G229" i="36"/>
  <c r="G230" i="36"/>
  <c r="G232" i="36"/>
  <c r="G245" i="36"/>
  <c r="G246" i="36"/>
  <c r="G248" i="36"/>
  <c r="G252" i="36"/>
  <c r="G254" i="36"/>
  <c r="G259" i="36"/>
  <c r="G263" i="36"/>
  <c r="G267" i="36"/>
  <c r="G271" i="36"/>
  <c r="G275" i="36"/>
  <c r="G279" i="36"/>
  <c r="G283" i="36"/>
  <c r="G287" i="36"/>
  <c r="G291" i="36"/>
  <c r="G295" i="36"/>
  <c r="G299" i="36"/>
  <c r="G303" i="36"/>
  <c r="G307" i="36"/>
  <c r="G148" i="36"/>
  <c r="G156" i="36"/>
  <c r="G166" i="36"/>
  <c r="G173" i="36"/>
  <c r="G180" i="36"/>
  <c r="G190" i="36"/>
  <c r="G200" i="36"/>
  <c r="G206" i="36"/>
  <c r="G215" i="36"/>
  <c r="G226" i="36"/>
  <c r="G236" i="36"/>
  <c r="G249" i="36"/>
  <c r="G255" i="36"/>
  <c r="G261" i="36"/>
  <c r="G269" i="36"/>
  <c r="G277" i="36"/>
  <c r="G285" i="36"/>
  <c r="G293" i="36"/>
  <c r="G301" i="36"/>
  <c r="G140" i="36"/>
  <c r="G141" i="36"/>
  <c r="G149" i="36"/>
  <c r="G157" i="36"/>
  <c r="G167" i="36"/>
  <c r="G176" i="36"/>
  <c r="G182" i="36"/>
  <c r="G195" i="36"/>
  <c r="G207" i="36"/>
  <c r="G218" i="36"/>
  <c r="G228" i="36"/>
  <c r="G241" i="36"/>
  <c r="G250" i="36"/>
  <c r="G262" i="36"/>
  <c r="G270" i="36"/>
  <c r="G278" i="36"/>
  <c r="G286" i="36"/>
  <c r="G294" i="36"/>
  <c r="G302" i="36"/>
  <c r="G144" i="36"/>
  <c r="G152" i="36"/>
  <c r="G160" i="36"/>
  <c r="G170" i="36"/>
  <c r="G177" i="36"/>
  <c r="G187" i="36"/>
  <c r="G196" i="36"/>
  <c r="G212" i="36"/>
  <c r="G219" i="36"/>
  <c r="G233" i="36"/>
  <c r="G242" i="36"/>
  <c r="G258" i="36"/>
  <c r="G265" i="36"/>
  <c r="G273" i="36"/>
  <c r="G281" i="36"/>
  <c r="G289" i="36"/>
  <c r="G297" i="36"/>
  <c r="G305" i="36"/>
  <c r="G145" i="36"/>
  <c r="G153" i="36"/>
  <c r="G161" i="36"/>
  <c r="G172" i="36"/>
  <c r="G179" i="36"/>
  <c r="G188" i="36"/>
  <c r="G198" i="36"/>
  <c r="G204" i="36"/>
  <c r="G214" i="36"/>
  <c r="G224" i="36"/>
  <c r="G234" i="36"/>
  <c r="G244" i="36"/>
  <c r="G266" i="36"/>
  <c r="G274" i="36"/>
  <c r="G282" i="36"/>
  <c r="G290" i="36"/>
  <c r="G298" i="36"/>
  <c r="G306" i="36"/>
  <c r="G213" i="36"/>
  <c r="G58" i="36"/>
  <c r="G163" i="36"/>
  <c r="G225" i="36"/>
  <c r="G209" i="36"/>
  <c r="G100" i="36"/>
  <c r="G21" i="36"/>
  <c r="G197" i="36"/>
  <c r="G181" i="36"/>
  <c r="G257" i="36"/>
  <c r="G253" i="36"/>
  <c r="G235" i="36"/>
  <c r="G221" i="36"/>
  <c r="G205" i="36"/>
  <c r="G116" i="36"/>
  <c r="G97" i="36"/>
  <c r="G54" i="36"/>
  <c r="G199" i="36"/>
  <c r="G185" i="36"/>
  <c r="G171" i="36"/>
  <c r="G256" i="36"/>
  <c r="G247" i="36"/>
  <c r="G231" i="36"/>
  <c r="G110" i="36"/>
  <c r="G93" i="36"/>
  <c r="G57" i="36"/>
  <c r="G51" i="36"/>
  <c r="G43" i="36"/>
  <c r="G189" i="36"/>
  <c r="G243" i="36"/>
  <c r="G227" i="36"/>
  <c r="G113" i="36"/>
  <c r="G90" i="36"/>
  <c r="G118" i="36"/>
  <c r="G105" i="36"/>
  <c r="G88" i="36"/>
  <c r="G33" i="36"/>
  <c r="G39" i="36"/>
  <c r="G193" i="36"/>
  <c r="G239" i="36"/>
  <c r="G202" i="36"/>
  <c r="G101" i="36"/>
  <c r="G87" i="36"/>
  <c r="G37" i="36"/>
  <c r="G41" i="36"/>
  <c r="G35" i="36"/>
  <c r="G17" i="36"/>
  <c r="L6" i="19"/>
  <c r="F6" i="49" s="1"/>
  <c r="G6" i="49" s="1"/>
  <c r="Z306" i="42"/>
  <c r="E306" i="11"/>
  <c r="D306" i="49"/>
  <c r="B306" i="11"/>
  <c r="F306" i="19"/>
  <c r="I306" i="19"/>
  <c r="J306" i="19"/>
  <c r="N306" i="19"/>
  <c r="C306" i="19"/>
  <c r="D306" i="19"/>
  <c r="E306" i="19"/>
  <c r="H306" i="19"/>
  <c r="G306" i="19"/>
  <c r="B305" i="25"/>
  <c r="E6" i="13"/>
  <c r="F6" i="13" s="1"/>
  <c r="D9" i="36"/>
  <c r="J9" i="36"/>
  <c r="I9" i="36"/>
  <c r="F9" i="36"/>
  <c r="H9" i="36"/>
  <c r="E9" i="36"/>
  <c r="G9" i="36"/>
  <c r="K149" i="36" l="1"/>
  <c r="E152" i="34" s="1"/>
  <c r="E146" i="12" s="1"/>
  <c r="K171" i="36"/>
  <c r="E174" i="34" s="1"/>
  <c r="E168" i="12" s="1"/>
  <c r="K177" i="36"/>
  <c r="E180" i="34" s="1"/>
  <c r="E174" i="12" s="1"/>
  <c r="K181" i="36"/>
  <c r="E184" i="34" s="1"/>
  <c r="E178" i="12" s="1"/>
  <c r="K13" i="36"/>
  <c r="E16" i="34" s="1"/>
  <c r="E10" i="12" s="1"/>
  <c r="K217" i="36"/>
  <c r="E220" i="34" s="1"/>
  <c r="E214" i="12" s="1"/>
  <c r="K235" i="36"/>
  <c r="E238" i="34" s="1"/>
  <c r="E232" i="12" s="1"/>
  <c r="K200" i="36"/>
  <c r="E203" i="34" s="1"/>
  <c r="E197" i="12" s="1"/>
  <c r="K26" i="36"/>
  <c r="E29" i="34" s="1"/>
  <c r="E23" i="12" s="1"/>
  <c r="K16" i="36"/>
  <c r="E19" i="34" s="1"/>
  <c r="E13" i="12" s="1"/>
  <c r="K20" i="36"/>
  <c r="E23" i="34" s="1"/>
  <c r="E17" i="12" s="1"/>
  <c r="K48" i="36"/>
  <c r="E51" i="34" s="1"/>
  <c r="E45" i="12" s="1"/>
  <c r="K108" i="36"/>
  <c r="E111" i="34" s="1"/>
  <c r="E105" i="12" s="1"/>
  <c r="K195" i="36"/>
  <c r="E198" i="34" s="1"/>
  <c r="E192" i="12" s="1"/>
  <c r="K209" i="36"/>
  <c r="E212" i="34" s="1"/>
  <c r="E206" i="12" s="1"/>
  <c r="K202" i="36"/>
  <c r="E205" i="34" s="1"/>
  <c r="E199" i="12" s="1"/>
  <c r="K81" i="36"/>
  <c r="E84" i="34" s="1"/>
  <c r="E78" i="12" s="1"/>
  <c r="K86" i="36"/>
  <c r="E89" i="34" s="1"/>
  <c r="E83" i="12" s="1"/>
  <c r="K74" i="36"/>
  <c r="E77" i="34" s="1"/>
  <c r="E71" i="12" s="1"/>
  <c r="K39" i="36"/>
  <c r="E42" i="34" s="1"/>
  <c r="E36" i="12" s="1"/>
  <c r="K104" i="36"/>
  <c r="E107" i="34" s="1"/>
  <c r="E101" i="12" s="1"/>
  <c r="K133" i="36"/>
  <c r="E136" i="34" s="1"/>
  <c r="E130" i="12" s="1"/>
  <c r="K241" i="36"/>
  <c r="E244" i="34" s="1"/>
  <c r="E238" i="12" s="1"/>
  <c r="K43" i="36"/>
  <c r="E46" i="34" s="1"/>
  <c r="E40" i="12" s="1"/>
  <c r="K57" i="36"/>
  <c r="E60" i="34" s="1"/>
  <c r="E54" i="12" s="1"/>
  <c r="K113" i="36"/>
  <c r="E116" i="34" s="1"/>
  <c r="E110" i="12" s="1"/>
  <c r="K161" i="36"/>
  <c r="E164" i="34" s="1"/>
  <c r="E158" i="12" s="1"/>
  <c r="K31" i="36"/>
  <c r="E34" i="34" s="1"/>
  <c r="E28" i="12" s="1"/>
  <c r="K53" i="36"/>
  <c r="E56" i="34" s="1"/>
  <c r="E50" i="12" s="1"/>
  <c r="K45" i="36"/>
  <c r="E48" i="34" s="1"/>
  <c r="E42" i="12" s="1"/>
  <c r="K125" i="36"/>
  <c r="E128" i="34" s="1"/>
  <c r="E122" i="12" s="1"/>
  <c r="K245" i="36"/>
  <c r="E248" i="34" s="1"/>
  <c r="E242" i="12" s="1"/>
  <c r="K120" i="36"/>
  <c r="E123" i="34" s="1"/>
  <c r="E117" i="12" s="1"/>
  <c r="K88" i="36"/>
  <c r="E91" i="34" s="1"/>
  <c r="E85" i="12" s="1"/>
  <c r="K189" i="36"/>
  <c r="E192" i="34" s="1"/>
  <c r="E186" i="12" s="1"/>
  <c r="K131" i="36"/>
  <c r="E134" i="34" s="1"/>
  <c r="E128" i="12" s="1"/>
  <c r="K164" i="36"/>
  <c r="E167" i="34" s="1"/>
  <c r="E161" i="12" s="1"/>
  <c r="K301" i="36"/>
  <c r="E304" i="34" s="1"/>
  <c r="E298" i="12" s="1"/>
  <c r="K293" i="36"/>
  <c r="E296" i="34" s="1"/>
  <c r="E290" i="12" s="1"/>
  <c r="K269" i="36"/>
  <c r="E272" i="34" s="1"/>
  <c r="E266" i="12" s="1"/>
  <c r="K261" i="36"/>
  <c r="E264" i="34" s="1"/>
  <c r="E258" i="12" s="1"/>
  <c r="K234" i="36"/>
  <c r="E237" i="34" s="1"/>
  <c r="E231" i="12" s="1"/>
  <c r="K156" i="36"/>
  <c r="E159" i="34" s="1"/>
  <c r="E153" i="12" s="1"/>
  <c r="K132" i="36"/>
  <c r="E135" i="34" s="1"/>
  <c r="E129" i="12" s="1"/>
  <c r="K124" i="36"/>
  <c r="E127" i="34" s="1"/>
  <c r="E121" i="12" s="1"/>
  <c r="K102" i="36"/>
  <c r="E105" i="34" s="1"/>
  <c r="E99" i="12" s="1"/>
  <c r="K28" i="36"/>
  <c r="E31" i="34" s="1"/>
  <c r="E25" i="12" s="1"/>
  <c r="K21" i="36"/>
  <c r="E24" i="34" s="1"/>
  <c r="E18" i="12" s="1"/>
  <c r="K63" i="36"/>
  <c r="E66" i="34" s="1"/>
  <c r="E60" i="12" s="1"/>
  <c r="K193" i="36"/>
  <c r="E196" i="34" s="1"/>
  <c r="E190" i="12" s="1"/>
  <c r="K46" i="36"/>
  <c r="E49" i="34" s="1"/>
  <c r="E43" i="12" s="1"/>
  <c r="K246" i="36"/>
  <c r="E249" i="34" s="1"/>
  <c r="E243" i="12" s="1"/>
  <c r="K11" i="36"/>
  <c r="E14" i="34" s="1"/>
  <c r="E8" i="12" s="1"/>
  <c r="K93" i="36"/>
  <c r="E96" i="34" s="1"/>
  <c r="E90" i="12" s="1"/>
  <c r="K90" i="36"/>
  <c r="E93" i="34" s="1"/>
  <c r="E87" i="12" s="1"/>
  <c r="K165" i="36"/>
  <c r="E168" i="34" s="1"/>
  <c r="E162" i="12" s="1"/>
  <c r="K175" i="36"/>
  <c r="E178" i="34" s="1"/>
  <c r="E172" i="12" s="1"/>
  <c r="K185" i="36"/>
  <c r="E188" i="34" s="1"/>
  <c r="E182" i="12" s="1"/>
  <c r="K41" i="36"/>
  <c r="E44" i="34" s="1"/>
  <c r="E38" i="12" s="1"/>
  <c r="K97" i="36"/>
  <c r="E100" i="34" s="1"/>
  <c r="E94" i="12" s="1"/>
  <c r="K137" i="36"/>
  <c r="E140" i="34" s="1"/>
  <c r="E134" i="12" s="1"/>
  <c r="K163" i="36"/>
  <c r="E166" i="34" s="1"/>
  <c r="E160" i="12" s="1"/>
  <c r="K225" i="36"/>
  <c r="E228" i="34" s="1"/>
  <c r="E222" i="12" s="1"/>
  <c r="K197" i="36"/>
  <c r="E200" i="34" s="1"/>
  <c r="E194" i="12" s="1"/>
  <c r="K49" i="36"/>
  <c r="E52" i="34" s="1"/>
  <c r="E46" i="12" s="1"/>
  <c r="K33" i="36"/>
  <c r="E36" i="34" s="1"/>
  <c r="E30" i="12" s="1"/>
  <c r="K67" i="36"/>
  <c r="E70" i="34" s="1"/>
  <c r="E64" i="12" s="1"/>
  <c r="K83" i="36"/>
  <c r="E86" i="34" s="1"/>
  <c r="E80" i="12" s="1"/>
  <c r="K157" i="36"/>
  <c r="E160" i="34" s="1"/>
  <c r="E154" i="12" s="1"/>
  <c r="K229" i="36"/>
  <c r="E232" i="34" s="1"/>
  <c r="E226" i="12" s="1"/>
  <c r="K221" i="36"/>
  <c r="E224" i="34" s="1"/>
  <c r="E218" i="12" s="1"/>
  <c r="K35" i="36"/>
  <c r="E38" i="34" s="1"/>
  <c r="E32" i="12" s="1"/>
  <c r="K145" i="36"/>
  <c r="E148" i="34" s="1"/>
  <c r="E142" i="12" s="1"/>
  <c r="K191" i="36"/>
  <c r="E194" i="34" s="1"/>
  <c r="E188" i="12" s="1"/>
  <c r="K213" i="36"/>
  <c r="E216" i="34" s="1"/>
  <c r="E210" i="12" s="1"/>
  <c r="K239" i="36"/>
  <c r="E242" i="34" s="1"/>
  <c r="E236" i="12" s="1"/>
  <c r="K147" i="36"/>
  <c r="E150" i="34" s="1"/>
  <c r="E144" i="12" s="1"/>
  <c r="K184" i="36"/>
  <c r="E187" i="34" s="1"/>
  <c r="E181" i="12" s="1"/>
  <c r="K238" i="36"/>
  <c r="E241" i="34" s="1"/>
  <c r="E235" i="12" s="1"/>
  <c r="K254" i="36"/>
  <c r="E257" i="34" s="1"/>
  <c r="E251" i="12" s="1"/>
  <c r="K305" i="36"/>
  <c r="E308" i="34" s="1"/>
  <c r="E302" i="12" s="1"/>
  <c r="K297" i="36"/>
  <c r="E300" i="34" s="1"/>
  <c r="E294" i="12" s="1"/>
  <c r="K289" i="36"/>
  <c r="E292" i="34" s="1"/>
  <c r="E286" i="12" s="1"/>
  <c r="K281" i="36"/>
  <c r="E284" i="34" s="1"/>
  <c r="E278" i="12" s="1"/>
  <c r="K273" i="36"/>
  <c r="E276" i="34" s="1"/>
  <c r="E270" i="12" s="1"/>
  <c r="K265" i="36"/>
  <c r="E268" i="34" s="1"/>
  <c r="E262" i="12" s="1"/>
  <c r="K250" i="36"/>
  <c r="E253" i="34" s="1"/>
  <c r="E247" i="12" s="1"/>
  <c r="K218" i="36"/>
  <c r="E221" i="34" s="1"/>
  <c r="E215" i="12" s="1"/>
  <c r="K196" i="36"/>
  <c r="E199" i="34" s="1"/>
  <c r="E193" i="12" s="1"/>
  <c r="K160" i="36"/>
  <c r="E163" i="34" s="1"/>
  <c r="E157" i="12" s="1"/>
  <c r="K152" i="36"/>
  <c r="E155" i="34" s="1"/>
  <c r="E149" i="12" s="1"/>
  <c r="K144" i="36"/>
  <c r="E147" i="34" s="1"/>
  <c r="E141" i="12" s="1"/>
  <c r="K136" i="36"/>
  <c r="E139" i="34" s="1"/>
  <c r="E133" i="12" s="1"/>
  <c r="K128" i="36"/>
  <c r="E131" i="34" s="1"/>
  <c r="E125" i="12" s="1"/>
  <c r="K115" i="36"/>
  <c r="E118" i="34" s="1"/>
  <c r="E112" i="12" s="1"/>
  <c r="K61" i="36"/>
  <c r="E64" i="34" s="1"/>
  <c r="E58" i="12" s="1"/>
  <c r="K226" i="36"/>
  <c r="E229" i="34" s="1"/>
  <c r="E223" i="12" s="1"/>
  <c r="K188" i="36"/>
  <c r="E191" i="34" s="1"/>
  <c r="E185" i="12" s="1"/>
  <c r="K172" i="36"/>
  <c r="E175" i="34" s="1"/>
  <c r="E169" i="12" s="1"/>
  <c r="K106" i="36"/>
  <c r="E109" i="34" s="1"/>
  <c r="E103" i="12" s="1"/>
  <c r="K44" i="36"/>
  <c r="E47" i="34" s="1"/>
  <c r="E41" i="12" s="1"/>
  <c r="K77" i="36"/>
  <c r="E80" i="34" s="1"/>
  <c r="E74" i="12" s="1"/>
  <c r="K89" i="36"/>
  <c r="E92" i="34" s="1"/>
  <c r="E86" i="12" s="1"/>
  <c r="K19" i="36"/>
  <c r="E22" i="34" s="1"/>
  <c r="E16" i="12" s="1"/>
  <c r="K69" i="36"/>
  <c r="E72" i="34" s="1"/>
  <c r="E66" i="12" s="1"/>
  <c r="K47" i="36"/>
  <c r="E50" i="34" s="1"/>
  <c r="E44" i="12" s="1"/>
  <c r="K24" i="36"/>
  <c r="E27" i="34" s="1"/>
  <c r="E21" i="12" s="1"/>
  <c r="K62" i="36"/>
  <c r="E65" i="34" s="1"/>
  <c r="E59" i="12" s="1"/>
  <c r="K295" i="36"/>
  <c r="E298" i="34" s="1"/>
  <c r="E292" i="12" s="1"/>
  <c r="K66" i="36"/>
  <c r="E69" i="34" s="1"/>
  <c r="E63" i="12" s="1"/>
  <c r="K94" i="36"/>
  <c r="E97" i="34" s="1"/>
  <c r="E91" i="12" s="1"/>
  <c r="K260" i="36"/>
  <c r="E263" i="34" s="1"/>
  <c r="E257" i="12" s="1"/>
  <c r="K276" i="36"/>
  <c r="E279" i="34" s="1"/>
  <c r="E273" i="12" s="1"/>
  <c r="K292" i="36"/>
  <c r="E295" i="34" s="1"/>
  <c r="E289" i="12" s="1"/>
  <c r="K308" i="36"/>
  <c r="E311" i="34" s="1"/>
  <c r="E305" i="12" s="1"/>
  <c r="K23" i="36"/>
  <c r="E26" i="34" s="1"/>
  <c r="E20" i="12" s="1"/>
  <c r="K117" i="36"/>
  <c r="E120" i="34" s="1"/>
  <c r="E114" i="12" s="1"/>
  <c r="K267" i="36"/>
  <c r="E270" i="34" s="1"/>
  <c r="E264" i="12" s="1"/>
  <c r="K283" i="36"/>
  <c r="E286" i="34" s="1"/>
  <c r="E280" i="12" s="1"/>
  <c r="K299" i="36"/>
  <c r="E302" i="34" s="1"/>
  <c r="E296" i="12" s="1"/>
  <c r="K80" i="36"/>
  <c r="E83" i="34" s="1"/>
  <c r="E77" i="12" s="1"/>
  <c r="K135" i="36"/>
  <c r="E138" i="34" s="1"/>
  <c r="E132" i="12" s="1"/>
  <c r="K54" i="36"/>
  <c r="E57" i="34" s="1"/>
  <c r="E51" i="12" s="1"/>
  <c r="K270" i="36"/>
  <c r="E273" i="34" s="1"/>
  <c r="E267" i="12" s="1"/>
  <c r="K286" i="36"/>
  <c r="E289" i="34" s="1"/>
  <c r="E283" i="12" s="1"/>
  <c r="K302" i="36"/>
  <c r="E305" i="34" s="1"/>
  <c r="E299" i="12" s="1"/>
  <c r="K60" i="36"/>
  <c r="E63" i="34" s="1"/>
  <c r="E57" i="12" s="1"/>
  <c r="K87" i="36"/>
  <c r="E90" i="34" s="1"/>
  <c r="E84" i="12" s="1"/>
  <c r="K211" i="36"/>
  <c r="E214" i="34" s="1"/>
  <c r="E208" i="12" s="1"/>
  <c r="K207" i="36"/>
  <c r="E210" i="34" s="1"/>
  <c r="E204" i="12" s="1"/>
  <c r="K258" i="36"/>
  <c r="E261" i="34" s="1"/>
  <c r="E255" i="12" s="1"/>
  <c r="K174" i="36"/>
  <c r="E177" i="34" s="1"/>
  <c r="E171" i="12" s="1"/>
  <c r="K244" i="36"/>
  <c r="E247" i="34" s="1"/>
  <c r="E241" i="12" s="1"/>
  <c r="K170" i="36"/>
  <c r="E173" i="34" s="1"/>
  <c r="E167" i="12" s="1"/>
  <c r="K212" i="36"/>
  <c r="E215" i="34" s="1"/>
  <c r="E209" i="12" s="1"/>
  <c r="K150" i="36"/>
  <c r="E153" i="34" s="1"/>
  <c r="E147" i="12" s="1"/>
  <c r="K154" i="36"/>
  <c r="E157" i="34" s="1"/>
  <c r="E151" i="12" s="1"/>
  <c r="K179" i="36"/>
  <c r="E182" i="34" s="1"/>
  <c r="E176" i="12" s="1"/>
  <c r="K59" i="36"/>
  <c r="E62" i="34" s="1"/>
  <c r="E56" i="12" s="1"/>
  <c r="K96" i="36"/>
  <c r="E99" i="34" s="1"/>
  <c r="E93" i="12" s="1"/>
  <c r="K112" i="36"/>
  <c r="E115" i="34" s="1"/>
  <c r="E109" i="12" s="1"/>
  <c r="K116" i="36"/>
  <c r="E119" i="34" s="1"/>
  <c r="E113" i="12" s="1"/>
  <c r="K233" i="36"/>
  <c r="E236" i="34" s="1"/>
  <c r="E230" i="12" s="1"/>
  <c r="K29" i="36"/>
  <c r="E32" i="34" s="1"/>
  <c r="E26" i="12" s="1"/>
  <c r="K37" i="36"/>
  <c r="E40" i="34" s="1"/>
  <c r="E34" i="12" s="1"/>
  <c r="K100" i="36"/>
  <c r="E103" i="34" s="1"/>
  <c r="E97" i="12" s="1"/>
  <c r="K153" i="36"/>
  <c r="E156" i="34" s="1"/>
  <c r="E150" i="12" s="1"/>
  <c r="K183" i="36"/>
  <c r="E186" i="34" s="1"/>
  <c r="E180" i="12" s="1"/>
  <c r="K251" i="36"/>
  <c r="E254" i="34" s="1"/>
  <c r="E248" i="12" s="1"/>
  <c r="K199" i="36"/>
  <c r="E202" i="34" s="1"/>
  <c r="E196" i="12" s="1"/>
  <c r="K25" i="36"/>
  <c r="E28" i="34" s="1"/>
  <c r="E22" i="12" s="1"/>
  <c r="K55" i="36"/>
  <c r="E58" i="34" s="1"/>
  <c r="E52" i="12" s="1"/>
  <c r="K71" i="36"/>
  <c r="E74" i="34" s="1"/>
  <c r="E68" i="12" s="1"/>
  <c r="K101" i="36"/>
  <c r="E104" i="34" s="1"/>
  <c r="E98" i="12" s="1"/>
  <c r="K173" i="36"/>
  <c r="E176" i="34" s="1"/>
  <c r="E170" i="12" s="1"/>
  <c r="K237" i="36"/>
  <c r="E240" i="34" s="1"/>
  <c r="E234" i="12" s="1"/>
  <c r="K227" i="36"/>
  <c r="E230" i="34" s="1"/>
  <c r="E224" i="12" s="1"/>
  <c r="K110" i="36"/>
  <c r="E113" i="34" s="1"/>
  <c r="E107" i="12" s="1"/>
  <c r="K169" i="36"/>
  <c r="E172" i="34" s="1"/>
  <c r="E166" i="12" s="1"/>
  <c r="K201" i="36"/>
  <c r="E204" i="34" s="1"/>
  <c r="E198" i="12" s="1"/>
  <c r="K249" i="36"/>
  <c r="E252" i="34" s="1"/>
  <c r="E246" i="12" s="1"/>
  <c r="K243" i="36"/>
  <c r="E246" i="34" s="1"/>
  <c r="E240" i="12" s="1"/>
  <c r="K236" i="36"/>
  <c r="E239" i="34" s="1"/>
  <c r="E233" i="12" s="1"/>
  <c r="K192" i="36"/>
  <c r="E195" i="34" s="1"/>
  <c r="E189" i="12" s="1"/>
  <c r="K210" i="36"/>
  <c r="E213" i="34" s="1"/>
  <c r="E207" i="12" s="1"/>
  <c r="K103" i="36"/>
  <c r="E106" i="34" s="1"/>
  <c r="E100" i="12" s="1"/>
  <c r="K95" i="36"/>
  <c r="E98" i="34" s="1"/>
  <c r="E92" i="12" s="1"/>
  <c r="K208" i="36"/>
  <c r="E211" i="34" s="1"/>
  <c r="E205" i="12" s="1"/>
  <c r="K111" i="36"/>
  <c r="E114" i="34" s="1"/>
  <c r="E108" i="12" s="1"/>
  <c r="K99" i="36"/>
  <c r="E102" i="34" s="1"/>
  <c r="E96" i="12" s="1"/>
  <c r="K40" i="36"/>
  <c r="E43" i="34" s="1"/>
  <c r="E37" i="12" s="1"/>
  <c r="K119" i="36"/>
  <c r="E122" i="34" s="1"/>
  <c r="E116" i="12" s="1"/>
  <c r="K56" i="36"/>
  <c r="E59" i="34" s="1"/>
  <c r="E53" i="12" s="1"/>
  <c r="K36" i="36"/>
  <c r="E39" i="34" s="1"/>
  <c r="E33" i="12" s="1"/>
  <c r="K32" i="36"/>
  <c r="E35" i="34" s="1"/>
  <c r="E29" i="12" s="1"/>
  <c r="K70" i="36"/>
  <c r="E73" i="34" s="1"/>
  <c r="E67" i="12" s="1"/>
  <c r="K12" i="36"/>
  <c r="E15" i="34" s="1"/>
  <c r="E9" i="12" s="1"/>
  <c r="K78" i="36"/>
  <c r="E81" i="34" s="1"/>
  <c r="E75" i="12" s="1"/>
  <c r="K82" i="36"/>
  <c r="E85" i="34" s="1"/>
  <c r="E79" i="12" s="1"/>
  <c r="K262" i="36"/>
  <c r="E265" i="34" s="1"/>
  <c r="E259" i="12" s="1"/>
  <c r="K278" i="36"/>
  <c r="E281" i="34" s="1"/>
  <c r="E275" i="12" s="1"/>
  <c r="K294" i="36"/>
  <c r="E297" i="34" s="1"/>
  <c r="E291" i="12" s="1"/>
  <c r="K264" i="36"/>
  <c r="E267" i="34" s="1"/>
  <c r="E261" i="12" s="1"/>
  <c r="K280" i="36"/>
  <c r="E283" i="34" s="1"/>
  <c r="E277" i="12" s="1"/>
  <c r="K296" i="36"/>
  <c r="E299" i="34" s="1"/>
  <c r="E293" i="12" s="1"/>
  <c r="K271" i="36"/>
  <c r="E274" i="34" s="1"/>
  <c r="E268" i="12" s="1"/>
  <c r="K287" i="36"/>
  <c r="E290" i="34" s="1"/>
  <c r="E284" i="12" s="1"/>
  <c r="K303" i="36"/>
  <c r="E306" i="34" s="1"/>
  <c r="E300" i="12" s="1"/>
  <c r="K143" i="36"/>
  <c r="E146" i="34" s="1"/>
  <c r="E140" i="12" s="1"/>
  <c r="K256" i="36"/>
  <c r="E259" i="34" s="1"/>
  <c r="E253" i="12" s="1"/>
  <c r="K274" i="36"/>
  <c r="E277" i="34" s="1"/>
  <c r="E271" i="12" s="1"/>
  <c r="K290" i="36"/>
  <c r="E293" i="34" s="1"/>
  <c r="E287" i="12" s="1"/>
  <c r="K306" i="36"/>
  <c r="E309" i="34" s="1"/>
  <c r="E303" i="12" s="1"/>
  <c r="K139" i="36"/>
  <c r="E142" i="34" s="1"/>
  <c r="E136" i="12" s="1"/>
  <c r="K68" i="36"/>
  <c r="E71" i="34" s="1"/>
  <c r="E65" i="12" s="1"/>
  <c r="K215" i="36"/>
  <c r="E218" i="34" s="1"/>
  <c r="E212" i="12" s="1"/>
  <c r="K126" i="36"/>
  <c r="E129" i="34" s="1"/>
  <c r="E123" i="12" s="1"/>
  <c r="K182" i="36"/>
  <c r="E185" i="34" s="1"/>
  <c r="E179" i="12" s="1"/>
  <c r="K186" i="36"/>
  <c r="E189" i="34" s="1"/>
  <c r="E183" i="12" s="1"/>
  <c r="K220" i="36"/>
  <c r="E223" i="34" s="1"/>
  <c r="E217" i="12" s="1"/>
  <c r="K166" i="36"/>
  <c r="E169" i="34" s="1"/>
  <c r="E163" i="12" s="1"/>
  <c r="K216" i="36"/>
  <c r="E219" i="34" s="1"/>
  <c r="E213" i="12" s="1"/>
  <c r="K159" i="36"/>
  <c r="E162" i="34" s="1"/>
  <c r="E156" i="12" s="1"/>
  <c r="K75" i="36"/>
  <c r="E78" i="34" s="1"/>
  <c r="E72" i="12" s="1"/>
  <c r="K187" i="36"/>
  <c r="E190" i="34" s="1"/>
  <c r="E184" i="12" s="1"/>
  <c r="K231" i="36"/>
  <c r="E234" i="34" s="1"/>
  <c r="E228" i="12" s="1"/>
  <c r="K257" i="36"/>
  <c r="E260" i="34" s="1"/>
  <c r="E254" i="12" s="1"/>
  <c r="K247" i="36"/>
  <c r="E250" i="34" s="1"/>
  <c r="E244" i="12" s="1"/>
  <c r="K230" i="36"/>
  <c r="E233" i="34" s="1"/>
  <c r="E227" i="12" s="1"/>
  <c r="K222" i="36"/>
  <c r="E225" i="34" s="1"/>
  <c r="E219" i="12" s="1"/>
  <c r="K285" i="36"/>
  <c r="E288" i="34" s="1"/>
  <c r="E282" i="12" s="1"/>
  <c r="K277" i="36"/>
  <c r="E280" i="34" s="1"/>
  <c r="E274" i="12" s="1"/>
  <c r="K214" i="36"/>
  <c r="E217" i="34" s="1"/>
  <c r="E211" i="12" s="1"/>
  <c r="K180" i="36"/>
  <c r="E183" i="34" s="1"/>
  <c r="E177" i="12" s="1"/>
  <c r="K148" i="36"/>
  <c r="E151" i="34" s="1"/>
  <c r="E145" i="12" s="1"/>
  <c r="K140" i="36"/>
  <c r="E143" i="34" s="1"/>
  <c r="E137" i="12" s="1"/>
  <c r="K38" i="36"/>
  <c r="E41" i="34" s="1"/>
  <c r="E35" i="12" s="1"/>
  <c r="K242" i="36"/>
  <c r="E245" i="34" s="1"/>
  <c r="E239" i="12" s="1"/>
  <c r="K206" i="36"/>
  <c r="E209" i="34" s="1"/>
  <c r="E203" i="12" s="1"/>
  <c r="K176" i="36"/>
  <c r="E179" i="34" s="1"/>
  <c r="E173" i="12" s="1"/>
  <c r="K52" i="36"/>
  <c r="E55" i="34" s="1"/>
  <c r="E49" i="12" s="1"/>
  <c r="K73" i="36"/>
  <c r="E76" i="34" s="1"/>
  <c r="E70" i="12" s="1"/>
  <c r="K85" i="36"/>
  <c r="E88" i="34" s="1"/>
  <c r="E82" i="12" s="1"/>
  <c r="K219" i="36"/>
  <c r="E222" i="34" s="1"/>
  <c r="E216" i="12" s="1"/>
  <c r="K263" i="36"/>
  <c r="E266" i="34" s="1"/>
  <c r="E260" i="12" s="1"/>
  <c r="K268" i="36"/>
  <c r="E271" i="34" s="1"/>
  <c r="E265" i="12" s="1"/>
  <c r="K284" i="36"/>
  <c r="E287" i="34" s="1"/>
  <c r="E281" i="12" s="1"/>
  <c r="K300" i="36"/>
  <c r="E303" i="34" s="1"/>
  <c r="E297" i="12" s="1"/>
  <c r="K50" i="36"/>
  <c r="E53" i="34" s="1"/>
  <c r="E47" i="12" s="1"/>
  <c r="K259" i="36"/>
  <c r="E262" i="34" s="1"/>
  <c r="E256" i="12" s="1"/>
  <c r="K275" i="36"/>
  <c r="E278" i="34" s="1"/>
  <c r="E272" i="12" s="1"/>
  <c r="K291" i="36"/>
  <c r="E294" i="34" s="1"/>
  <c r="E288" i="12" s="1"/>
  <c r="K307" i="36"/>
  <c r="E310" i="34" s="1"/>
  <c r="E304" i="12" s="1"/>
  <c r="K64" i="36"/>
  <c r="E67" i="34" s="1"/>
  <c r="E61" i="12" s="1"/>
  <c r="K151" i="36"/>
  <c r="E154" i="34" s="1"/>
  <c r="E148" i="12" s="1"/>
  <c r="K105" i="36"/>
  <c r="E108" i="34" s="1"/>
  <c r="E102" i="12" s="1"/>
  <c r="K92" i="36"/>
  <c r="E95" i="34" s="1"/>
  <c r="E89" i="12" s="1"/>
  <c r="K18" i="36"/>
  <c r="E21" i="34" s="1"/>
  <c r="E15" i="12" s="1"/>
  <c r="K76" i="36"/>
  <c r="E79" i="34" s="1"/>
  <c r="E73" i="12" s="1"/>
  <c r="K14" i="36"/>
  <c r="E17" i="34" s="1"/>
  <c r="E11" i="12" s="1"/>
  <c r="K118" i="36"/>
  <c r="E121" i="34" s="1"/>
  <c r="E115" i="12" s="1"/>
  <c r="K223" i="36"/>
  <c r="E226" i="34" s="1"/>
  <c r="E220" i="12" s="1"/>
  <c r="K142" i="36"/>
  <c r="E145" i="34" s="1"/>
  <c r="E139" i="12" s="1"/>
  <c r="K198" i="36"/>
  <c r="E201" i="34" s="1"/>
  <c r="E195" i="12" s="1"/>
  <c r="K232" i="36"/>
  <c r="E235" i="34" s="1"/>
  <c r="E229" i="12" s="1"/>
  <c r="K30" i="36"/>
  <c r="E33" i="34" s="1"/>
  <c r="E27" i="12" s="1"/>
  <c r="K190" i="36"/>
  <c r="E193" i="34" s="1"/>
  <c r="E187" i="12" s="1"/>
  <c r="K122" i="36"/>
  <c r="E125" i="34" s="1"/>
  <c r="E119" i="12" s="1"/>
  <c r="K178" i="36"/>
  <c r="E181" i="34" s="1"/>
  <c r="E175" i="12" s="1"/>
  <c r="K224" i="36"/>
  <c r="E227" i="34" s="1"/>
  <c r="E221" i="12" s="1"/>
  <c r="K255" i="36"/>
  <c r="E258" i="34" s="1"/>
  <c r="E252" i="12" s="1"/>
  <c r="K58" i="36"/>
  <c r="E61" i="34" s="1"/>
  <c r="E55" i="12" s="1"/>
  <c r="K17" i="36"/>
  <c r="E20" i="34" s="1"/>
  <c r="E14" i="12" s="1"/>
  <c r="K91" i="36"/>
  <c r="E94" i="34" s="1"/>
  <c r="E88" i="12" s="1"/>
  <c r="K121" i="36"/>
  <c r="E124" i="34" s="1"/>
  <c r="E118" i="12" s="1"/>
  <c r="K79" i="36"/>
  <c r="E82" i="34" s="1"/>
  <c r="E76" i="12" s="1"/>
  <c r="K141" i="36"/>
  <c r="E144" i="34" s="1"/>
  <c r="E138" i="12" s="1"/>
  <c r="K129" i="36"/>
  <c r="E132" i="34" s="1"/>
  <c r="E126" i="12" s="1"/>
  <c r="K167" i="36"/>
  <c r="E170" i="34" s="1"/>
  <c r="E164" i="12" s="1"/>
  <c r="K205" i="36"/>
  <c r="E208" i="34" s="1"/>
  <c r="E202" i="12" s="1"/>
  <c r="K168" i="36"/>
  <c r="E171" i="34" s="1"/>
  <c r="E165" i="12" s="1"/>
  <c r="K162" i="36"/>
  <c r="E165" i="34" s="1"/>
  <c r="E159" i="12" s="1"/>
  <c r="K146" i="36"/>
  <c r="E149" i="34" s="1"/>
  <c r="E143" i="12" s="1"/>
  <c r="K130" i="36"/>
  <c r="E133" i="34" s="1"/>
  <c r="E127" i="12" s="1"/>
  <c r="K65" i="36"/>
  <c r="E68" i="34" s="1"/>
  <c r="E62" i="12" s="1"/>
  <c r="K107" i="36"/>
  <c r="E110" i="34" s="1"/>
  <c r="E104" i="12" s="1"/>
  <c r="K27" i="36"/>
  <c r="E30" i="34" s="1"/>
  <c r="E24" i="12" s="1"/>
  <c r="K279" i="36"/>
  <c r="E282" i="34" s="1"/>
  <c r="E276" i="12" s="1"/>
  <c r="K98" i="36"/>
  <c r="E101" i="34" s="1"/>
  <c r="E95" i="12" s="1"/>
  <c r="K272" i="36"/>
  <c r="E275" i="34" s="1"/>
  <c r="E269" i="12" s="1"/>
  <c r="K288" i="36"/>
  <c r="E291" i="34" s="1"/>
  <c r="E285" i="12" s="1"/>
  <c r="K304" i="36"/>
  <c r="E307" i="34" s="1"/>
  <c r="E301" i="12" s="1"/>
  <c r="K15" i="36"/>
  <c r="E18" i="34" s="1"/>
  <c r="E12" i="12" s="1"/>
  <c r="K72" i="36"/>
  <c r="E75" i="34" s="1"/>
  <c r="E69" i="12" s="1"/>
  <c r="K127" i="36"/>
  <c r="E130" i="34" s="1"/>
  <c r="E124" i="12" s="1"/>
  <c r="K109" i="36"/>
  <c r="E112" i="34" s="1"/>
  <c r="E106" i="12" s="1"/>
  <c r="K252" i="36"/>
  <c r="E255" i="34" s="1"/>
  <c r="E249" i="12" s="1"/>
  <c r="K266" i="36"/>
  <c r="E269" i="34" s="1"/>
  <c r="E263" i="12" s="1"/>
  <c r="K282" i="36"/>
  <c r="E285" i="34" s="1"/>
  <c r="E279" i="12" s="1"/>
  <c r="K298" i="36"/>
  <c r="E301" i="34" s="1"/>
  <c r="E295" i="12" s="1"/>
  <c r="K84" i="36"/>
  <c r="E87" i="34" s="1"/>
  <c r="E81" i="12" s="1"/>
  <c r="K123" i="36"/>
  <c r="E126" i="34" s="1"/>
  <c r="E120" i="12" s="1"/>
  <c r="K155" i="36"/>
  <c r="E158" i="34" s="1"/>
  <c r="E152" i="12" s="1"/>
  <c r="K114" i="36"/>
  <c r="E117" i="34" s="1"/>
  <c r="K253" i="36"/>
  <c r="E256" i="34" s="1"/>
  <c r="E250" i="12" s="1"/>
  <c r="K51" i="36"/>
  <c r="E54" i="34" s="1"/>
  <c r="E48" i="12" s="1"/>
  <c r="K203" i="36"/>
  <c r="E206" i="34" s="1"/>
  <c r="E200" i="12" s="1"/>
  <c r="K22" i="36"/>
  <c r="E25" i="34" s="1"/>
  <c r="E19" i="12" s="1"/>
  <c r="K10" i="36"/>
  <c r="E13" i="34" s="1"/>
  <c r="E7" i="12" s="1"/>
  <c r="K34" i="36"/>
  <c r="E37" i="34" s="1"/>
  <c r="E31" i="12" s="1"/>
  <c r="K158" i="36"/>
  <c r="E161" i="34" s="1"/>
  <c r="E155" i="12" s="1"/>
  <c r="K228" i="36"/>
  <c r="E231" i="34" s="1"/>
  <c r="E225" i="12" s="1"/>
  <c r="K204" i="36"/>
  <c r="E207" i="34" s="1"/>
  <c r="E201" i="12" s="1"/>
  <c r="K248" i="36"/>
  <c r="E251" i="34" s="1"/>
  <c r="E245" i="12" s="1"/>
  <c r="K42" i="36"/>
  <c r="E45" i="34" s="1"/>
  <c r="E39" i="12" s="1"/>
  <c r="K134" i="36"/>
  <c r="E137" i="34" s="1"/>
  <c r="E131" i="12" s="1"/>
  <c r="K138" i="36"/>
  <c r="E141" i="34" s="1"/>
  <c r="E135" i="12" s="1"/>
  <c r="K194" i="36"/>
  <c r="E197" i="34" s="1"/>
  <c r="E191" i="12" s="1"/>
  <c r="K240" i="36"/>
  <c r="E243" i="34" s="1"/>
  <c r="E237" i="12" s="1"/>
  <c r="K9" i="36"/>
  <c r="L306" i="19"/>
  <c r="P6" i="19"/>
  <c r="O306" i="19"/>
  <c r="I309" i="36"/>
  <c r="E309" i="36"/>
  <c r="J309" i="36"/>
  <c r="H309" i="36"/>
  <c r="F309" i="36"/>
  <c r="D309" i="36"/>
  <c r="G309" i="36"/>
  <c r="E111" i="12" l="1"/>
  <c r="F28" i="48"/>
  <c r="K309" i="36"/>
  <c r="G306" i="49"/>
  <c r="R6" i="19"/>
  <c r="E12" i="34"/>
  <c r="F306" i="49"/>
  <c r="D305" i="25"/>
  <c r="H7" i="49" l="1"/>
  <c r="H11" i="49"/>
  <c r="I11" i="49" s="1"/>
  <c r="H15" i="49"/>
  <c r="I15" i="49" s="1"/>
  <c r="H19" i="49"/>
  <c r="I19" i="49" s="1"/>
  <c r="H23" i="49"/>
  <c r="I23" i="49" s="1"/>
  <c r="H27" i="49"/>
  <c r="I27" i="49" s="1"/>
  <c r="H31" i="49"/>
  <c r="I31" i="49" s="1"/>
  <c r="H35" i="49"/>
  <c r="I35" i="49" s="1"/>
  <c r="H39" i="49"/>
  <c r="I39" i="49" s="1"/>
  <c r="H43" i="49"/>
  <c r="I43" i="49" s="1"/>
  <c r="H47" i="49"/>
  <c r="I47" i="49" s="1"/>
  <c r="H51" i="49"/>
  <c r="I51" i="49" s="1"/>
  <c r="H55" i="49"/>
  <c r="I55" i="49" s="1"/>
  <c r="H8" i="49"/>
  <c r="I8" i="49" s="1"/>
  <c r="H12" i="49"/>
  <c r="I12" i="49" s="1"/>
  <c r="H16" i="49"/>
  <c r="I16" i="49" s="1"/>
  <c r="H20" i="49"/>
  <c r="I20" i="49" s="1"/>
  <c r="H24" i="49"/>
  <c r="I24" i="49" s="1"/>
  <c r="H28" i="49"/>
  <c r="I28" i="49" s="1"/>
  <c r="H32" i="49"/>
  <c r="I32" i="49" s="1"/>
  <c r="H36" i="49"/>
  <c r="I36" i="49" s="1"/>
  <c r="H40" i="49"/>
  <c r="I40" i="49" s="1"/>
  <c r="H44" i="49"/>
  <c r="I44" i="49" s="1"/>
  <c r="H48" i="49"/>
  <c r="I48" i="49" s="1"/>
  <c r="H52" i="49"/>
  <c r="I52" i="49" s="1"/>
  <c r="H56" i="49"/>
  <c r="I56" i="49" s="1"/>
  <c r="H60" i="49"/>
  <c r="I60" i="49" s="1"/>
  <c r="H64" i="49"/>
  <c r="I64" i="49" s="1"/>
  <c r="H68" i="49"/>
  <c r="I68" i="49" s="1"/>
  <c r="H72" i="49"/>
  <c r="I72" i="49" s="1"/>
  <c r="H9" i="49"/>
  <c r="I9" i="49" s="1"/>
  <c r="H13" i="49"/>
  <c r="I13" i="49" s="1"/>
  <c r="H17" i="49"/>
  <c r="I17" i="49" s="1"/>
  <c r="H21" i="49"/>
  <c r="I21" i="49" s="1"/>
  <c r="H25" i="49"/>
  <c r="I25" i="49" s="1"/>
  <c r="H29" i="49"/>
  <c r="I29" i="49" s="1"/>
  <c r="H33" i="49"/>
  <c r="I33" i="49" s="1"/>
  <c r="H37" i="49"/>
  <c r="I37" i="49" s="1"/>
  <c r="H41" i="49"/>
  <c r="I41" i="49" s="1"/>
  <c r="H45" i="49"/>
  <c r="I45" i="49" s="1"/>
  <c r="H49" i="49"/>
  <c r="I49" i="49" s="1"/>
  <c r="H53" i="49"/>
  <c r="I53" i="49" s="1"/>
  <c r="H57" i="49"/>
  <c r="I57" i="49" s="1"/>
  <c r="H61" i="49"/>
  <c r="I61" i="49" s="1"/>
  <c r="H65" i="49"/>
  <c r="I65" i="49" s="1"/>
  <c r="H69" i="49"/>
  <c r="I69" i="49" s="1"/>
  <c r="H73" i="49"/>
  <c r="I73" i="49" s="1"/>
  <c r="H10" i="49"/>
  <c r="I10" i="49" s="1"/>
  <c r="H18" i="49"/>
  <c r="I18" i="49" s="1"/>
  <c r="H34" i="49"/>
  <c r="I34" i="49" s="1"/>
  <c r="H50" i="49"/>
  <c r="I50" i="49" s="1"/>
  <c r="H62" i="49"/>
  <c r="I62" i="49" s="1"/>
  <c r="H63" i="49"/>
  <c r="I63" i="49" s="1"/>
  <c r="H70" i="49"/>
  <c r="I70" i="49" s="1"/>
  <c r="H71" i="49"/>
  <c r="I71" i="49" s="1"/>
  <c r="H79" i="49"/>
  <c r="I79" i="49" s="1"/>
  <c r="H83" i="49"/>
  <c r="I83" i="49" s="1"/>
  <c r="H87" i="49"/>
  <c r="I87" i="49" s="1"/>
  <c r="H91" i="49"/>
  <c r="I91" i="49" s="1"/>
  <c r="H95" i="49"/>
  <c r="I95" i="49" s="1"/>
  <c r="H99" i="49"/>
  <c r="I99" i="49" s="1"/>
  <c r="H103" i="49"/>
  <c r="I103" i="49" s="1"/>
  <c r="H107" i="49"/>
  <c r="I107" i="49" s="1"/>
  <c r="H111" i="49"/>
  <c r="H115" i="49"/>
  <c r="H119" i="49"/>
  <c r="I119" i="49" s="1"/>
  <c r="H123" i="49"/>
  <c r="H127" i="49"/>
  <c r="I127" i="49" s="1"/>
  <c r="H22" i="49"/>
  <c r="I22" i="49" s="1"/>
  <c r="H38" i="49"/>
  <c r="I38" i="49" s="1"/>
  <c r="H54" i="49"/>
  <c r="I54" i="49" s="1"/>
  <c r="H80" i="49"/>
  <c r="I80" i="49" s="1"/>
  <c r="H84" i="49"/>
  <c r="I84" i="49" s="1"/>
  <c r="H88" i="49"/>
  <c r="I88" i="49" s="1"/>
  <c r="H92" i="49"/>
  <c r="I92" i="49" s="1"/>
  <c r="H96" i="49"/>
  <c r="I96" i="49" s="1"/>
  <c r="H100" i="49"/>
  <c r="I100" i="49" s="1"/>
  <c r="H104" i="49"/>
  <c r="I104" i="49" s="1"/>
  <c r="H108" i="49"/>
  <c r="H112" i="49"/>
  <c r="I112" i="49" s="1"/>
  <c r="H116" i="49"/>
  <c r="H120" i="49"/>
  <c r="H124" i="49"/>
  <c r="H14" i="49"/>
  <c r="H26" i="49"/>
  <c r="I26" i="49" s="1"/>
  <c r="H42" i="49"/>
  <c r="I42" i="49" s="1"/>
  <c r="H58" i="49"/>
  <c r="I58" i="49" s="1"/>
  <c r="H59" i="49"/>
  <c r="I59" i="49" s="1"/>
  <c r="H66" i="49"/>
  <c r="I66" i="49" s="1"/>
  <c r="H67" i="49"/>
  <c r="I67" i="49" s="1"/>
  <c r="H74" i="49"/>
  <c r="I74" i="49" s="1"/>
  <c r="H75" i="49"/>
  <c r="I75" i="49" s="1"/>
  <c r="H76" i="49"/>
  <c r="I76" i="49" s="1"/>
  <c r="H77" i="49"/>
  <c r="I77" i="49" s="1"/>
  <c r="H81" i="49"/>
  <c r="I81" i="49" s="1"/>
  <c r="H85" i="49"/>
  <c r="I85" i="49" s="1"/>
  <c r="H89" i="49"/>
  <c r="I89" i="49" s="1"/>
  <c r="H93" i="49"/>
  <c r="I93" i="49" s="1"/>
  <c r="H97" i="49"/>
  <c r="I97" i="49" s="1"/>
  <c r="H101" i="49"/>
  <c r="I101" i="49" s="1"/>
  <c r="H30" i="49"/>
  <c r="I30" i="49" s="1"/>
  <c r="H46" i="49"/>
  <c r="I46" i="49" s="1"/>
  <c r="H82" i="49"/>
  <c r="I82" i="49" s="1"/>
  <c r="H90" i="49"/>
  <c r="I90" i="49" s="1"/>
  <c r="H98" i="49"/>
  <c r="I98" i="49" s="1"/>
  <c r="H121" i="49"/>
  <c r="H122" i="49"/>
  <c r="H125" i="49"/>
  <c r="H126" i="49"/>
  <c r="I126" i="49" s="1"/>
  <c r="H129" i="49"/>
  <c r="H133" i="49"/>
  <c r="I133" i="49" s="1"/>
  <c r="H137" i="49"/>
  <c r="H141" i="49"/>
  <c r="I141" i="49" s="1"/>
  <c r="H145" i="49"/>
  <c r="I145" i="49" s="1"/>
  <c r="H149" i="49"/>
  <c r="I149" i="49" s="1"/>
  <c r="H153" i="49"/>
  <c r="I153" i="49" s="1"/>
  <c r="H157" i="49"/>
  <c r="I157" i="49" s="1"/>
  <c r="H161" i="49"/>
  <c r="I161" i="49" s="1"/>
  <c r="H165" i="49"/>
  <c r="I165" i="49" s="1"/>
  <c r="H169" i="49"/>
  <c r="I169" i="49" s="1"/>
  <c r="H173" i="49"/>
  <c r="I173" i="49" s="1"/>
  <c r="H177" i="49"/>
  <c r="I177" i="49" s="1"/>
  <c r="H181" i="49"/>
  <c r="I181" i="49" s="1"/>
  <c r="H185" i="49"/>
  <c r="I185" i="49" s="1"/>
  <c r="H113" i="49"/>
  <c r="H114" i="49"/>
  <c r="H117" i="49"/>
  <c r="I117" i="49" s="1"/>
  <c r="H118" i="49"/>
  <c r="H130" i="49"/>
  <c r="H134" i="49"/>
  <c r="I134" i="49" s="1"/>
  <c r="H138" i="49"/>
  <c r="I138" i="49" s="1"/>
  <c r="H142" i="49"/>
  <c r="H146" i="49"/>
  <c r="H150" i="49"/>
  <c r="H154" i="49"/>
  <c r="I154" i="49" s="1"/>
  <c r="H158" i="49"/>
  <c r="I158" i="49" s="1"/>
  <c r="H162" i="49"/>
  <c r="I162" i="49" s="1"/>
  <c r="H166" i="49"/>
  <c r="I166" i="49" s="1"/>
  <c r="H170" i="49"/>
  <c r="I170" i="49" s="1"/>
  <c r="H174" i="49"/>
  <c r="I174" i="49" s="1"/>
  <c r="H178" i="49"/>
  <c r="I178" i="49" s="1"/>
  <c r="H182" i="49"/>
  <c r="I182" i="49" s="1"/>
  <c r="H186" i="49"/>
  <c r="I186" i="49" s="1"/>
  <c r="H78" i="49"/>
  <c r="I78" i="49" s="1"/>
  <c r="H86" i="49"/>
  <c r="I86" i="49" s="1"/>
  <c r="H94" i="49"/>
  <c r="I94" i="49" s="1"/>
  <c r="H102" i="49"/>
  <c r="I102" i="49" s="1"/>
  <c r="H109" i="49"/>
  <c r="I109" i="49" s="1"/>
  <c r="H110" i="49"/>
  <c r="I110" i="49" s="1"/>
  <c r="H131" i="49"/>
  <c r="I131" i="49" s="1"/>
  <c r="H135" i="49"/>
  <c r="I135" i="49" s="1"/>
  <c r="H139" i="49"/>
  <c r="I139" i="49" s="1"/>
  <c r="H143" i="49"/>
  <c r="H147" i="49"/>
  <c r="H151" i="49"/>
  <c r="I151" i="49" s="1"/>
  <c r="H155" i="49"/>
  <c r="I155" i="49" s="1"/>
  <c r="H159" i="49"/>
  <c r="I159" i="49" s="1"/>
  <c r="H163" i="49"/>
  <c r="I163" i="49" s="1"/>
  <c r="H167" i="49"/>
  <c r="I167" i="49" s="1"/>
  <c r="H171" i="49"/>
  <c r="I171" i="49" s="1"/>
  <c r="H175" i="49"/>
  <c r="I175" i="49" s="1"/>
  <c r="H105" i="49"/>
  <c r="I105" i="49" s="1"/>
  <c r="H106" i="49"/>
  <c r="H128" i="49"/>
  <c r="H132" i="49"/>
  <c r="I132" i="49" s="1"/>
  <c r="H136" i="49"/>
  <c r="I136" i="49" s="1"/>
  <c r="E47" i="48" s="1"/>
  <c r="H140" i="49"/>
  <c r="I140" i="49" s="1"/>
  <c r="H144" i="49"/>
  <c r="H148" i="49"/>
  <c r="H152" i="49"/>
  <c r="I152" i="49" s="1"/>
  <c r="H156" i="49"/>
  <c r="I156" i="49" s="1"/>
  <c r="H160" i="49"/>
  <c r="I160" i="49" s="1"/>
  <c r="H164" i="49"/>
  <c r="I164" i="49" s="1"/>
  <c r="H168" i="49"/>
  <c r="I168" i="49" s="1"/>
  <c r="H172" i="49"/>
  <c r="I172" i="49" s="1"/>
  <c r="H176" i="49"/>
  <c r="I176" i="49" s="1"/>
  <c r="H180" i="49"/>
  <c r="I180" i="49" s="1"/>
  <c r="H183" i="49"/>
  <c r="I183" i="49" s="1"/>
  <c r="H184" i="49"/>
  <c r="H189" i="49"/>
  <c r="I189" i="49" s="1"/>
  <c r="H190" i="49"/>
  <c r="I190" i="49" s="1"/>
  <c r="H194" i="49"/>
  <c r="I194" i="49" s="1"/>
  <c r="H198" i="49"/>
  <c r="I198" i="49" s="1"/>
  <c r="H202" i="49"/>
  <c r="I202" i="49" s="1"/>
  <c r="H206" i="49"/>
  <c r="I206" i="49" s="1"/>
  <c r="H210" i="49"/>
  <c r="I210" i="49" s="1"/>
  <c r="H214" i="49"/>
  <c r="I214" i="49" s="1"/>
  <c r="H218" i="49"/>
  <c r="I218" i="49" s="1"/>
  <c r="H222" i="49"/>
  <c r="I222" i="49" s="1"/>
  <c r="H226" i="49"/>
  <c r="I226" i="49" s="1"/>
  <c r="H230" i="49"/>
  <c r="I230" i="49" s="1"/>
  <c r="H234" i="49"/>
  <c r="I234" i="49" s="1"/>
  <c r="H238" i="49"/>
  <c r="I238" i="49" s="1"/>
  <c r="H242" i="49"/>
  <c r="I242" i="49" s="1"/>
  <c r="H191" i="49"/>
  <c r="I191" i="49" s="1"/>
  <c r="H195" i="49"/>
  <c r="H199" i="49"/>
  <c r="I199" i="49" s="1"/>
  <c r="H203" i="49"/>
  <c r="I203" i="49" s="1"/>
  <c r="H207" i="49"/>
  <c r="I207" i="49" s="1"/>
  <c r="H211" i="49"/>
  <c r="I211" i="49" s="1"/>
  <c r="H215" i="49"/>
  <c r="I215" i="49" s="1"/>
  <c r="H219" i="49"/>
  <c r="I219" i="49" s="1"/>
  <c r="H223" i="49"/>
  <c r="I223" i="49" s="1"/>
  <c r="H227" i="49"/>
  <c r="I227" i="49" s="1"/>
  <c r="H231" i="49"/>
  <c r="I231" i="49" s="1"/>
  <c r="H235" i="49"/>
  <c r="I235" i="49" s="1"/>
  <c r="H239" i="49"/>
  <c r="I239" i="49" s="1"/>
  <c r="H243" i="49"/>
  <c r="I243" i="49" s="1"/>
  <c r="H247" i="49"/>
  <c r="I247" i="49" s="1"/>
  <c r="H251" i="49"/>
  <c r="I251" i="49" s="1"/>
  <c r="H192" i="49"/>
  <c r="I192" i="49" s="1"/>
  <c r="H196" i="49"/>
  <c r="H200" i="49"/>
  <c r="I200" i="49" s="1"/>
  <c r="H204" i="49"/>
  <c r="I204" i="49" s="1"/>
  <c r="H208" i="49"/>
  <c r="I208" i="49" s="1"/>
  <c r="H212" i="49"/>
  <c r="I212" i="49" s="1"/>
  <c r="H216" i="49"/>
  <c r="I216" i="49" s="1"/>
  <c r="H220" i="49"/>
  <c r="I220" i="49" s="1"/>
  <c r="H224" i="49"/>
  <c r="I224" i="49" s="1"/>
  <c r="H228" i="49"/>
  <c r="I228" i="49" s="1"/>
  <c r="H232" i="49"/>
  <c r="I232" i="49" s="1"/>
  <c r="H236" i="49"/>
  <c r="I236" i="49" s="1"/>
  <c r="H240" i="49"/>
  <c r="I240" i="49" s="1"/>
  <c r="H244" i="49"/>
  <c r="I244" i="49" s="1"/>
  <c r="H248" i="49"/>
  <c r="I248" i="49" s="1"/>
  <c r="H252" i="49"/>
  <c r="I252" i="49" s="1"/>
  <c r="H188" i="49"/>
  <c r="I188" i="49" s="1"/>
  <c r="H193" i="49"/>
  <c r="I193" i="49" s="1"/>
  <c r="H205" i="49"/>
  <c r="I205" i="49" s="1"/>
  <c r="H221" i="49"/>
  <c r="I221" i="49" s="1"/>
  <c r="H237" i="49"/>
  <c r="I237" i="49" s="1"/>
  <c r="H257" i="49"/>
  <c r="I257" i="49" s="1"/>
  <c r="H261" i="49"/>
  <c r="I261" i="49" s="1"/>
  <c r="H265" i="49"/>
  <c r="I265" i="49" s="1"/>
  <c r="H269" i="49"/>
  <c r="H273" i="49"/>
  <c r="H277" i="49"/>
  <c r="I277" i="49" s="1"/>
  <c r="H281" i="49"/>
  <c r="I281" i="49" s="1"/>
  <c r="H285" i="49"/>
  <c r="I285" i="49" s="1"/>
  <c r="H289" i="49"/>
  <c r="I289" i="49" s="1"/>
  <c r="H293" i="49"/>
  <c r="I293" i="49" s="1"/>
  <c r="H297" i="49"/>
  <c r="H301" i="49"/>
  <c r="I301" i="49" s="1"/>
  <c r="H305" i="49"/>
  <c r="I305" i="49" s="1"/>
  <c r="H209" i="49"/>
  <c r="I209" i="49" s="1"/>
  <c r="H225" i="49"/>
  <c r="I225" i="49" s="1"/>
  <c r="H241" i="49"/>
  <c r="I241" i="49" s="1"/>
  <c r="H246" i="49"/>
  <c r="I246" i="49" s="1"/>
  <c r="H253" i="49"/>
  <c r="I253" i="49" s="1"/>
  <c r="H254" i="49"/>
  <c r="I254" i="49" s="1"/>
  <c r="H258" i="49"/>
  <c r="I258" i="49" s="1"/>
  <c r="H262" i="49"/>
  <c r="I262" i="49" s="1"/>
  <c r="H266" i="49"/>
  <c r="I266" i="49" s="1"/>
  <c r="H270" i="49"/>
  <c r="H274" i="49"/>
  <c r="H278" i="49"/>
  <c r="H282" i="49"/>
  <c r="H286" i="49"/>
  <c r="I286" i="49" s="1"/>
  <c r="H290" i="49"/>
  <c r="I290" i="49" s="1"/>
  <c r="H294" i="49"/>
  <c r="H298" i="49"/>
  <c r="H302" i="49"/>
  <c r="I302" i="49" s="1"/>
  <c r="H179" i="49"/>
  <c r="I179" i="49" s="1"/>
  <c r="H187" i="49"/>
  <c r="I187" i="49" s="1"/>
  <c r="H197" i="49"/>
  <c r="I197" i="49" s="1"/>
  <c r="H213" i="49"/>
  <c r="I213" i="49" s="1"/>
  <c r="H229" i="49"/>
  <c r="I229" i="49" s="1"/>
  <c r="H245" i="49"/>
  <c r="I245" i="49" s="1"/>
  <c r="H255" i="49"/>
  <c r="I255" i="49" s="1"/>
  <c r="H259" i="49"/>
  <c r="I259" i="49" s="1"/>
  <c r="H263" i="49"/>
  <c r="I263" i="49" s="1"/>
  <c r="H267" i="49"/>
  <c r="H271" i="49"/>
  <c r="H275" i="49"/>
  <c r="H279" i="49"/>
  <c r="I279" i="49" s="1"/>
  <c r="H283" i="49"/>
  <c r="I283" i="49" s="1"/>
  <c r="H287" i="49"/>
  <c r="H291" i="49"/>
  <c r="I291" i="49" s="1"/>
  <c r="H295" i="49"/>
  <c r="I295" i="49" s="1"/>
  <c r="H299" i="49"/>
  <c r="I299" i="49" s="1"/>
  <c r="H303" i="49"/>
  <c r="I303" i="49" s="1"/>
  <c r="H201" i="49"/>
  <c r="I201" i="49" s="1"/>
  <c r="H217" i="49"/>
  <c r="I217" i="49" s="1"/>
  <c r="H233" i="49"/>
  <c r="I233" i="49" s="1"/>
  <c r="H249" i="49"/>
  <c r="I249" i="49" s="1"/>
  <c r="H250" i="49"/>
  <c r="I250" i="49" s="1"/>
  <c r="H256" i="49"/>
  <c r="I256" i="49" s="1"/>
  <c r="H260" i="49"/>
  <c r="I260" i="49" s="1"/>
  <c r="H264" i="49"/>
  <c r="I264" i="49" s="1"/>
  <c r="H268" i="49"/>
  <c r="H272" i="49"/>
  <c r="H276" i="49"/>
  <c r="I276" i="49" s="1"/>
  <c r="H280" i="49"/>
  <c r="I280" i="49" s="1"/>
  <c r="H284" i="49"/>
  <c r="I284" i="49" s="1"/>
  <c r="H288" i="49"/>
  <c r="H292" i="49"/>
  <c r="I292" i="49" s="1"/>
  <c r="H296" i="49"/>
  <c r="H300" i="49"/>
  <c r="I300" i="49" s="1"/>
  <c r="H304" i="49"/>
  <c r="E5" i="25"/>
  <c r="AK6" i="42"/>
  <c r="J6" i="49"/>
  <c r="AC6" i="42"/>
  <c r="AM6" i="42"/>
  <c r="AE6" i="42"/>
  <c r="C6" i="33"/>
  <c r="C12" i="9"/>
  <c r="C312" i="9" s="1"/>
  <c r="H6" i="49"/>
  <c r="E312" i="34"/>
  <c r="C6" i="39"/>
  <c r="C6" i="12"/>
  <c r="E6" i="12" s="1"/>
  <c r="C6" i="13"/>
  <c r="E6" i="33" l="1"/>
  <c r="F9" i="48"/>
  <c r="C6" i="11"/>
  <c r="C12" i="34"/>
  <c r="D6" i="37"/>
  <c r="H306" i="49"/>
  <c r="I306" i="49" l="1"/>
  <c r="F6" i="11" l="1"/>
  <c r="G6" i="11" s="1"/>
  <c r="K6" i="11" l="1"/>
  <c r="L6" i="11" l="1"/>
  <c r="F306" i="42" l="1"/>
  <c r="M306" i="42" l="1"/>
  <c r="M306" i="19"/>
  <c r="T306" i="42" l="1"/>
  <c r="P306" i="19"/>
  <c r="R306" i="19" l="1"/>
  <c r="H46" i="40" s="1"/>
  <c r="K47" i="40" s="1"/>
  <c r="C306" i="12"/>
  <c r="E306" i="12" s="1"/>
  <c r="C306" i="13"/>
  <c r="B47" i="40" l="1"/>
  <c r="G40" i="40"/>
  <c r="AK306" i="42"/>
  <c r="AM306" i="42"/>
  <c r="AC306" i="42"/>
  <c r="AE306" i="42"/>
  <c r="C306" i="39"/>
  <c r="E5" i="9"/>
  <c r="E305" i="25"/>
  <c r="C306" i="33"/>
  <c r="E306" i="33" s="1"/>
  <c r="J306" i="49"/>
  <c r="K5" i="49" s="1"/>
  <c r="Q306" i="19"/>
  <c r="C305" i="25" s="1"/>
  <c r="K8" i="49" l="1"/>
  <c r="L8" i="49" s="1"/>
  <c r="H7" i="25" s="1"/>
  <c r="K12" i="49"/>
  <c r="L12" i="49" s="1"/>
  <c r="H11" i="25" s="1"/>
  <c r="K16" i="49"/>
  <c r="L16" i="49" s="1"/>
  <c r="H15" i="25" s="1"/>
  <c r="I16" i="54" s="1"/>
  <c r="K20" i="49"/>
  <c r="L20" i="49" s="1"/>
  <c r="H19" i="25" s="1"/>
  <c r="I20" i="54" s="1"/>
  <c r="K24" i="49"/>
  <c r="L24" i="49" s="1"/>
  <c r="H23" i="25" s="1"/>
  <c r="I24" i="54" s="1"/>
  <c r="K28" i="49"/>
  <c r="L28" i="49" s="1"/>
  <c r="H27" i="25" s="1"/>
  <c r="I28" i="54" s="1"/>
  <c r="K32" i="49"/>
  <c r="L32" i="49" s="1"/>
  <c r="H31" i="25" s="1"/>
  <c r="I32" i="54" s="1"/>
  <c r="K36" i="49"/>
  <c r="L36" i="49" s="1"/>
  <c r="H35" i="25" s="1"/>
  <c r="I36" i="54" s="1"/>
  <c r="K40" i="49"/>
  <c r="L40" i="49" s="1"/>
  <c r="H39" i="25" s="1"/>
  <c r="K44" i="49"/>
  <c r="L44" i="49" s="1"/>
  <c r="H43" i="25" s="1"/>
  <c r="K48" i="49"/>
  <c r="L48" i="49" s="1"/>
  <c r="H47" i="25" s="1"/>
  <c r="I48" i="54" s="1"/>
  <c r="K52" i="49"/>
  <c r="L52" i="49" s="1"/>
  <c r="H51" i="25" s="1"/>
  <c r="I52" i="54" s="1"/>
  <c r="K56" i="49"/>
  <c r="L56" i="49" s="1"/>
  <c r="H55" i="25" s="1"/>
  <c r="I56" i="54" s="1"/>
  <c r="K9" i="49"/>
  <c r="L9" i="49" s="1"/>
  <c r="H8" i="25" s="1"/>
  <c r="I9" i="54" s="1"/>
  <c r="K13" i="49"/>
  <c r="L13" i="49" s="1"/>
  <c r="H12" i="25" s="1"/>
  <c r="I13" i="54" s="1"/>
  <c r="K17" i="49"/>
  <c r="L17" i="49" s="1"/>
  <c r="H16" i="25" s="1"/>
  <c r="I17" i="54" s="1"/>
  <c r="K21" i="49"/>
  <c r="L21" i="49" s="1"/>
  <c r="H20" i="25" s="1"/>
  <c r="K25" i="49"/>
  <c r="L25" i="49" s="1"/>
  <c r="H24" i="25" s="1"/>
  <c r="I25" i="54" s="1"/>
  <c r="K29" i="49"/>
  <c r="L29" i="49" s="1"/>
  <c r="H28" i="25" s="1"/>
  <c r="K33" i="49"/>
  <c r="L33" i="49" s="1"/>
  <c r="H32" i="25" s="1"/>
  <c r="I33" i="54" s="1"/>
  <c r="K37" i="49"/>
  <c r="L37" i="49" s="1"/>
  <c r="H36" i="25" s="1"/>
  <c r="K41" i="49"/>
  <c r="L41" i="49" s="1"/>
  <c r="H40" i="25" s="1"/>
  <c r="I41" i="54" s="1"/>
  <c r="K45" i="49"/>
  <c r="L45" i="49" s="1"/>
  <c r="H44" i="25" s="1"/>
  <c r="I45" i="54" s="1"/>
  <c r="K49" i="49"/>
  <c r="L49" i="49" s="1"/>
  <c r="H48" i="25" s="1"/>
  <c r="I49" i="54" s="1"/>
  <c r="K53" i="49"/>
  <c r="L53" i="49" s="1"/>
  <c r="H52" i="25" s="1"/>
  <c r="K57" i="49"/>
  <c r="L57" i="49" s="1"/>
  <c r="H56" i="25" s="1"/>
  <c r="K61" i="49"/>
  <c r="L61" i="49" s="1"/>
  <c r="H60" i="25" s="1"/>
  <c r="K65" i="49"/>
  <c r="L65" i="49" s="1"/>
  <c r="H64" i="25" s="1"/>
  <c r="I65" i="54" s="1"/>
  <c r="K69" i="49"/>
  <c r="L69" i="49" s="1"/>
  <c r="H68" i="25" s="1"/>
  <c r="I69" i="54" s="1"/>
  <c r="K73" i="49"/>
  <c r="L73" i="49" s="1"/>
  <c r="H72" i="25" s="1"/>
  <c r="I73" i="54" s="1"/>
  <c r="K10" i="49"/>
  <c r="L10" i="49" s="1"/>
  <c r="H9" i="25" s="1"/>
  <c r="I10" i="54" s="1"/>
  <c r="K14" i="49"/>
  <c r="L14" i="49" s="1"/>
  <c r="H13" i="25" s="1"/>
  <c r="I14" i="54" s="1"/>
  <c r="K18" i="49"/>
  <c r="L18" i="49" s="1"/>
  <c r="H17" i="25" s="1"/>
  <c r="K22" i="49"/>
  <c r="L22" i="49" s="1"/>
  <c r="H21" i="25" s="1"/>
  <c r="K26" i="49"/>
  <c r="L26" i="49" s="1"/>
  <c r="H25" i="25" s="1"/>
  <c r="I26" i="54" s="1"/>
  <c r="K30" i="49"/>
  <c r="L30" i="49" s="1"/>
  <c r="H29" i="25" s="1"/>
  <c r="I30" i="54" s="1"/>
  <c r="K34" i="49"/>
  <c r="L34" i="49" s="1"/>
  <c r="H33" i="25" s="1"/>
  <c r="I34" i="54" s="1"/>
  <c r="K38" i="49"/>
  <c r="L38" i="49" s="1"/>
  <c r="H37" i="25" s="1"/>
  <c r="I38" i="54" s="1"/>
  <c r="K42" i="49"/>
  <c r="L42" i="49" s="1"/>
  <c r="H41" i="25" s="1"/>
  <c r="I42" i="54" s="1"/>
  <c r="K46" i="49"/>
  <c r="L46" i="49" s="1"/>
  <c r="H45" i="25" s="1"/>
  <c r="I46" i="54" s="1"/>
  <c r="K50" i="49"/>
  <c r="L50" i="49" s="1"/>
  <c r="H49" i="25" s="1"/>
  <c r="K54" i="49"/>
  <c r="L54" i="49" s="1"/>
  <c r="H53" i="25" s="1"/>
  <c r="K58" i="49"/>
  <c r="L58" i="49" s="1"/>
  <c r="H57" i="25" s="1"/>
  <c r="I58" i="54" s="1"/>
  <c r="K62" i="49"/>
  <c r="L62" i="49" s="1"/>
  <c r="H61" i="25" s="1"/>
  <c r="I62" i="54" s="1"/>
  <c r="K66" i="49"/>
  <c r="L66" i="49" s="1"/>
  <c r="H65" i="25" s="1"/>
  <c r="I66" i="54" s="1"/>
  <c r="K70" i="49"/>
  <c r="L70" i="49" s="1"/>
  <c r="H69" i="25" s="1"/>
  <c r="I70" i="54" s="1"/>
  <c r="K74" i="49"/>
  <c r="L74" i="49" s="1"/>
  <c r="H73" i="25" s="1"/>
  <c r="I74" i="54" s="1"/>
  <c r="K11" i="49"/>
  <c r="L11" i="49" s="1"/>
  <c r="H10" i="25" s="1"/>
  <c r="I11" i="54" s="1"/>
  <c r="K19" i="49"/>
  <c r="L19" i="49" s="1"/>
  <c r="H18" i="25" s="1"/>
  <c r="I19" i="54" s="1"/>
  <c r="K35" i="49"/>
  <c r="L35" i="49" s="1"/>
  <c r="H34" i="25" s="1"/>
  <c r="I35" i="54" s="1"/>
  <c r="K51" i="49"/>
  <c r="L51" i="49" s="1"/>
  <c r="H50" i="25" s="1"/>
  <c r="I51" i="54" s="1"/>
  <c r="K59" i="49"/>
  <c r="L59" i="49" s="1"/>
  <c r="H58" i="25" s="1"/>
  <c r="I59" i="54" s="1"/>
  <c r="K67" i="49"/>
  <c r="L67" i="49" s="1"/>
  <c r="H66" i="25" s="1"/>
  <c r="I67" i="54" s="1"/>
  <c r="K75" i="49"/>
  <c r="L75" i="49" s="1"/>
  <c r="H74" i="25" s="1"/>
  <c r="I75" i="54" s="1"/>
  <c r="K76" i="49"/>
  <c r="L76" i="49" s="1"/>
  <c r="H75" i="25" s="1"/>
  <c r="I76" i="54" s="1"/>
  <c r="K80" i="49"/>
  <c r="L80" i="49" s="1"/>
  <c r="H79" i="25" s="1"/>
  <c r="I80" i="54" s="1"/>
  <c r="K84" i="49"/>
  <c r="L84" i="49" s="1"/>
  <c r="H83" i="25" s="1"/>
  <c r="K88" i="49"/>
  <c r="L88" i="49" s="1"/>
  <c r="H87" i="25" s="1"/>
  <c r="K92" i="49"/>
  <c r="L92" i="49" s="1"/>
  <c r="H91" i="25" s="1"/>
  <c r="I92" i="54" s="1"/>
  <c r="K96" i="49"/>
  <c r="L96" i="49" s="1"/>
  <c r="H95" i="25" s="1"/>
  <c r="I96" i="54" s="1"/>
  <c r="K100" i="49"/>
  <c r="L100" i="49" s="1"/>
  <c r="H99" i="25" s="1"/>
  <c r="I100" i="54" s="1"/>
  <c r="K104" i="49"/>
  <c r="L104" i="49" s="1"/>
  <c r="H103" i="25" s="1"/>
  <c r="I104" i="54" s="1"/>
  <c r="K108" i="49"/>
  <c r="L108" i="49" s="1"/>
  <c r="H107" i="25" s="1"/>
  <c r="I108" i="54" s="1"/>
  <c r="K112" i="49"/>
  <c r="L112" i="49" s="1"/>
  <c r="H111" i="25" s="1"/>
  <c r="I112" i="54" s="1"/>
  <c r="K116" i="49"/>
  <c r="L116" i="49" s="1"/>
  <c r="H115" i="25" s="1"/>
  <c r="K120" i="49"/>
  <c r="L120" i="49" s="1"/>
  <c r="H119" i="25" s="1"/>
  <c r="K124" i="49"/>
  <c r="L124" i="49" s="1"/>
  <c r="H123" i="25" s="1"/>
  <c r="K23" i="49"/>
  <c r="L23" i="49" s="1"/>
  <c r="H22" i="25" s="1"/>
  <c r="I23" i="54" s="1"/>
  <c r="K39" i="49"/>
  <c r="L39" i="49" s="1"/>
  <c r="H38" i="25" s="1"/>
  <c r="I39" i="54" s="1"/>
  <c r="K55" i="49"/>
  <c r="L55" i="49" s="1"/>
  <c r="H54" i="25" s="1"/>
  <c r="I55" i="54" s="1"/>
  <c r="K64" i="49"/>
  <c r="L64" i="49" s="1"/>
  <c r="H63" i="25" s="1"/>
  <c r="I64" i="54" s="1"/>
  <c r="K72" i="49"/>
  <c r="L72" i="49" s="1"/>
  <c r="H71" i="25" s="1"/>
  <c r="I72" i="54" s="1"/>
  <c r="K77" i="49"/>
  <c r="L77" i="49" s="1"/>
  <c r="H76" i="25" s="1"/>
  <c r="I77" i="54" s="1"/>
  <c r="K81" i="49"/>
  <c r="L81" i="49" s="1"/>
  <c r="H80" i="25" s="1"/>
  <c r="K85" i="49"/>
  <c r="L85" i="49" s="1"/>
  <c r="H84" i="25" s="1"/>
  <c r="I85" i="54" s="1"/>
  <c r="K89" i="49"/>
  <c r="L89" i="49" s="1"/>
  <c r="H88" i="25" s="1"/>
  <c r="I89" i="54" s="1"/>
  <c r="K93" i="49"/>
  <c r="L93" i="49" s="1"/>
  <c r="H92" i="25" s="1"/>
  <c r="I93" i="54" s="1"/>
  <c r="K97" i="49"/>
  <c r="L97" i="49" s="1"/>
  <c r="H96" i="25" s="1"/>
  <c r="I97" i="54" s="1"/>
  <c r="K101" i="49"/>
  <c r="L101" i="49" s="1"/>
  <c r="H100" i="25" s="1"/>
  <c r="I101" i="54" s="1"/>
  <c r="K105" i="49"/>
  <c r="L105" i="49" s="1"/>
  <c r="H104" i="25" s="1"/>
  <c r="I105" i="54" s="1"/>
  <c r="K109" i="49"/>
  <c r="L109" i="49" s="1"/>
  <c r="H108" i="25" s="1"/>
  <c r="I109" i="54" s="1"/>
  <c r="K113" i="49"/>
  <c r="L113" i="49" s="1"/>
  <c r="H112" i="25" s="1"/>
  <c r="K117" i="49"/>
  <c r="L117" i="49" s="1"/>
  <c r="H116" i="25" s="1"/>
  <c r="I117" i="54" s="1"/>
  <c r="K121" i="49"/>
  <c r="L121" i="49" s="1"/>
  <c r="H120" i="25" s="1"/>
  <c r="K125" i="49"/>
  <c r="L125" i="49" s="1"/>
  <c r="H124" i="25" s="1"/>
  <c r="I125" i="54" s="1"/>
  <c r="K7" i="49"/>
  <c r="L7" i="49" s="1"/>
  <c r="H6" i="25" s="1"/>
  <c r="I7" i="54" s="1"/>
  <c r="K27" i="49"/>
  <c r="L27" i="49" s="1"/>
  <c r="H26" i="25" s="1"/>
  <c r="I27" i="54" s="1"/>
  <c r="K43" i="49"/>
  <c r="L43" i="49" s="1"/>
  <c r="H42" i="25" s="1"/>
  <c r="I43" i="54" s="1"/>
  <c r="K63" i="49"/>
  <c r="L63" i="49" s="1"/>
  <c r="H62" i="25" s="1"/>
  <c r="K71" i="49"/>
  <c r="L71" i="49" s="1"/>
  <c r="H70" i="25" s="1"/>
  <c r="K78" i="49"/>
  <c r="L78" i="49" s="1"/>
  <c r="H77" i="25" s="1"/>
  <c r="I78" i="54" s="1"/>
  <c r="K82" i="49"/>
  <c r="L82" i="49" s="1"/>
  <c r="H81" i="25" s="1"/>
  <c r="I82" i="54" s="1"/>
  <c r="K86" i="49"/>
  <c r="L86" i="49" s="1"/>
  <c r="H85" i="25" s="1"/>
  <c r="I86" i="54" s="1"/>
  <c r="K90" i="49"/>
  <c r="L90" i="49" s="1"/>
  <c r="H89" i="25" s="1"/>
  <c r="I90" i="54" s="1"/>
  <c r="K94" i="49"/>
  <c r="L94" i="49" s="1"/>
  <c r="H93" i="25" s="1"/>
  <c r="I94" i="54" s="1"/>
  <c r="K98" i="49"/>
  <c r="L98" i="49" s="1"/>
  <c r="H97" i="25" s="1"/>
  <c r="I98" i="54" s="1"/>
  <c r="K102" i="49"/>
  <c r="L102" i="49" s="1"/>
  <c r="H101" i="25" s="1"/>
  <c r="K15" i="49"/>
  <c r="L15" i="49" s="1"/>
  <c r="H14" i="25" s="1"/>
  <c r="K31" i="49"/>
  <c r="L31" i="49" s="1"/>
  <c r="H30" i="25" s="1"/>
  <c r="K47" i="49"/>
  <c r="L47" i="49" s="1"/>
  <c r="H46" i="25" s="1"/>
  <c r="K60" i="49"/>
  <c r="L60" i="49" s="1"/>
  <c r="H59" i="25" s="1"/>
  <c r="I60" i="54" s="1"/>
  <c r="K68" i="49"/>
  <c r="L68" i="49" s="1"/>
  <c r="H67" i="25" s="1"/>
  <c r="I68" i="54" s="1"/>
  <c r="K83" i="49"/>
  <c r="L83" i="49" s="1"/>
  <c r="H82" i="25" s="1"/>
  <c r="I83" i="54" s="1"/>
  <c r="K91" i="49"/>
  <c r="L91" i="49" s="1"/>
  <c r="H90" i="25" s="1"/>
  <c r="I91" i="54" s="1"/>
  <c r="K99" i="49"/>
  <c r="L99" i="49" s="1"/>
  <c r="H98" i="25" s="1"/>
  <c r="K110" i="49"/>
  <c r="L110" i="49" s="1"/>
  <c r="H109" i="25" s="1"/>
  <c r="K111" i="49"/>
  <c r="K114" i="49"/>
  <c r="L114" i="49" s="1"/>
  <c r="H113" i="25" s="1"/>
  <c r="I114" i="54" s="1"/>
  <c r="K115" i="49"/>
  <c r="L115" i="49" s="1"/>
  <c r="H114" i="25" s="1"/>
  <c r="I115" i="54" s="1"/>
  <c r="K118" i="49"/>
  <c r="L118" i="49" s="1"/>
  <c r="H117" i="25" s="1"/>
  <c r="I118" i="54" s="1"/>
  <c r="K130" i="49"/>
  <c r="L130" i="49" s="1"/>
  <c r="H129" i="25" s="1"/>
  <c r="I130" i="54" s="1"/>
  <c r="K134" i="49"/>
  <c r="L134" i="49" s="1"/>
  <c r="H133" i="25" s="1"/>
  <c r="I134" i="54" s="1"/>
  <c r="K138" i="49"/>
  <c r="L138" i="49" s="1"/>
  <c r="H137" i="25" s="1"/>
  <c r="K142" i="49"/>
  <c r="L142" i="49" s="1"/>
  <c r="H141" i="25" s="1"/>
  <c r="K146" i="49"/>
  <c r="L146" i="49" s="1"/>
  <c r="H145" i="25" s="1"/>
  <c r="I146" i="54" s="1"/>
  <c r="K150" i="49"/>
  <c r="L150" i="49" s="1"/>
  <c r="H149" i="25" s="1"/>
  <c r="I150" i="54" s="1"/>
  <c r="K154" i="49"/>
  <c r="L154" i="49" s="1"/>
  <c r="H153" i="25" s="1"/>
  <c r="I154" i="54" s="1"/>
  <c r="K158" i="49"/>
  <c r="L158" i="49" s="1"/>
  <c r="H157" i="25" s="1"/>
  <c r="I158" i="54" s="1"/>
  <c r="K162" i="49"/>
  <c r="L162" i="49" s="1"/>
  <c r="H161" i="25" s="1"/>
  <c r="I162" i="54" s="1"/>
  <c r="K166" i="49"/>
  <c r="L166" i="49" s="1"/>
  <c r="H165" i="25" s="1"/>
  <c r="I166" i="54" s="1"/>
  <c r="K170" i="49"/>
  <c r="L170" i="49" s="1"/>
  <c r="H169" i="25" s="1"/>
  <c r="K174" i="49"/>
  <c r="L174" i="49" s="1"/>
  <c r="H173" i="25" s="1"/>
  <c r="K178" i="49"/>
  <c r="L178" i="49" s="1"/>
  <c r="H177" i="25" s="1"/>
  <c r="K182" i="49"/>
  <c r="L182" i="49" s="1"/>
  <c r="H181" i="25" s="1"/>
  <c r="I182" i="54" s="1"/>
  <c r="K186" i="49"/>
  <c r="L186" i="49" s="1"/>
  <c r="H185" i="25" s="1"/>
  <c r="I186" i="54" s="1"/>
  <c r="K107" i="49"/>
  <c r="L107" i="49" s="1"/>
  <c r="H106" i="25" s="1"/>
  <c r="I107" i="54" s="1"/>
  <c r="K127" i="49"/>
  <c r="L127" i="49" s="1"/>
  <c r="H126" i="25" s="1"/>
  <c r="I127" i="54" s="1"/>
  <c r="K131" i="49"/>
  <c r="L131" i="49" s="1"/>
  <c r="H130" i="25" s="1"/>
  <c r="I131" i="54" s="1"/>
  <c r="K135" i="49"/>
  <c r="L135" i="49" s="1"/>
  <c r="H134" i="25" s="1"/>
  <c r="K139" i="49"/>
  <c r="L139" i="49" s="1"/>
  <c r="H138" i="25" s="1"/>
  <c r="K143" i="49"/>
  <c r="L143" i="49" s="1"/>
  <c r="H142" i="25" s="1"/>
  <c r="I143" i="54" s="1"/>
  <c r="K147" i="49"/>
  <c r="L147" i="49" s="1"/>
  <c r="H146" i="25" s="1"/>
  <c r="K151" i="49"/>
  <c r="L151" i="49" s="1"/>
  <c r="H150" i="25" s="1"/>
  <c r="I151" i="54" s="1"/>
  <c r="K155" i="49"/>
  <c r="L155" i="49" s="1"/>
  <c r="H154" i="25" s="1"/>
  <c r="I155" i="54" s="1"/>
  <c r="K159" i="49"/>
  <c r="L159" i="49" s="1"/>
  <c r="H158" i="25" s="1"/>
  <c r="I159" i="54" s="1"/>
  <c r="K163" i="49"/>
  <c r="L163" i="49" s="1"/>
  <c r="H162" i="25" s="1"/>
  <c r="I163" i="54" s="1"/>
  <c r="K167" i="49"/>
  <c r="L167" i="49" s="1"/>
  <c r="H166" i="25" s="1"/>
  <c r="K171" i="49"/>
  <c r="L171" i="49" s="1"/>
  <c r="H170" i="25" s="1"/>
  <c r="I171" i="54" s="1"/>
  <c r="K175" i="49"/>
  <c r="L175" i="49" s="1"/>
  <c r="H174" i="25" s="1"/>
  <c r="I175" i="54" s="1"/>
  <c r="K179" i="49"/>
  <c r="L179" i="49" s="1"/>
  <c r="H178" i="25" s="1"/>
  <c r="K183" i="49"/>
  <c r="L183" i="49" s="1"/>
  <c r="H182" i="25" s="1"/>
  <c r="I183" i="54" s="1"/>
  <c r="K187" i="49"/>
  <c r="L187" i="49" s="1"/>
  <c r="H186" i="25" s="1"/>
  <c r="I187" i="54" s="1"/>
  <c r="K79" i="49"/>
  <c r="L79" i="49" s="1"/>
  <c r="H78" i="25" s="1"/>
  <c r="I79" i="54" s="1"/>
  <c r="K87" i="49"/>
  <c r="L87" i="49" s="1"/>
  <c r="H86" i="25" s="1"/>
  <c r="I87" i="54" s="1"/>
  <c r="K95" i="49"/>
  <c r="L95" i="49" s="1"/>
  <c r="H94" i="25" s="1"/>
  <c r="I95" i="54" s="1"/>
  <c r="K103" i="49"/>
  <c r="L103" i="49" s="1"/>
  <c r="H102" i="25" s="1"/>
  <c r="K106" i="49"/>
  <c r="L106" i="49" s="1"/>
  <c r="H105" i="25" s="1"/>
  <c r="I106" i="54" s="1"/>
  <c r="K126" i="49"/>
  <c r="L126" i="49" s="1"/>
  <c r="H125" i="25" s="1"/>
  <c r="I126" i="54" s="1"/>
  <c r="K128" i="49"/>
  <c r="L128" i="49" s="1"/>
  <c r="H127" i="25" s="1"/>
  <c r="I128" i="54" s="1"/>
  <c r="K132" i="49"/>
  <c r="L132" i="49" s="1"/>
  <c r="H131" i="25" s="1"/>
  <c r="I132" i="54" s="1"/>
  <c r="K136" i="49"/>
  <c r="L136" i="49" s="1"/>
  <c r="H135" i="25" s="1"/>
  <c r="I136" i="54" s="1"/>
  <c r="K140" i="49"/>
  <c r="L140" i="49" s="1"/>
  <c r="H139" i="25" s="1"/>
  <c r="I140" i="54" s="1"/>
  <c r="K144" i="49"/>
  <c r="L144" i="49" s="1"/>
  <c r="H143" i="25" s="1"/>
  <c r="K148" i="49"/>
  <c r="L148" i="49" s="1"/>
  <c r="H147" i="25" s="1"/>
  <c r="K152" i="49"/>
  <c r="L152" i="49" s="1"/>
  <c r="H151" i="25" s="1"/>
  <c r="I152" i="54" s="1"/>
  <c r="K156" i="49"/>
  <c r="L156" i="49" s="1"/>
  <c r="H155" i="25" s="1"/>
  <c r="K160" i="49"/>
  <c r="L160" i="49" s="1"/>
  <c r="H159" i="25" s="1"/>
  <c r="I160" i="54" s="1"/>
  <c r="K164" i="49"/>
  <c r="L164" i="49" s="1"/>
  <c r="H163" i="25" s="1"/>
  <c r="I164" i="54" s="1"/>
  <c r="K168" i="49"/>
  <c r="L168" i="49" s="1"/>
  <c r="H167" i="25" s="1"/>
  <c r="I168" i="54" s="1"/>
  <c r="K172" i="49"/>
  <c r="L172" i="49" s="1"/>
  <c r="H171" i="25" s="1"/>
  <c r="I172" i="54" s="1"/>
  <c r="K176" i="49"/>
  <c r="L176" i="49" s="1"/>
  <c r="H175" i="25" s="1"/>
  <c r="K119" i="49"/>
  <c r="L119" i="49" s="1"/>
  <c r="H118" i="25" s="1"/>
  <c r="K122" i="49"/>
  <c r="L122" i="49" s="1"/>
  <c r="H121" i="25" s="1"/>
  <c r="I122" i="54" s="1"/>
  <c r="K123" i="49"/>
  <c r="L123" i="49" s="1"/>
  <c r="H122" i="25" s="1"/>
  <c r="I123" i="54" s="1"/>
  <c r="K129" i="49"/>
  <c r="L129" i="49" s="1"/>
  <c r="H128" i="25" s="1"/>
  <c r="I129" i="54" s="1"/>
  <c r="K133" i="49"/>
  <c r="L133" i="49" s="1"/>
  <c r="H132" i="25" s="1"/>
  <c r="I133" i="54" s="1"/>
  <c r="K137" i="49"/>
  <c r="L137" i="49" s="1"/>
  <c r="H136" i="25" s="1"/>
  <c r="I137" i="54" s="1"/>
  <c r="K141" i="49"/>
  <c r="L141" i="49" s="1"/>
  <c r="H140" i="25" s="1"/>
  <c r="I141" i="54" s="1"/>
  <c r="K145" i="49"/>
  <c r="L145" i="49" s="1"/>
  <c r="H144" i="25" s="1"/>
  <c r="I145" i="54" s="1"/>
  <c r="K149" i="49"/>
  <c r="L149" i="49" s="1"/>
  <c r="H148" i="25" s="1"/>
  <c r="I149" i="54" s="1"/>
  <c r="K153" i="49"/>
  <c r="L153" i="49" s="1"/>
  <c r="H152" i="25" s="1"/>
  <c r="K157" i="49"/>
  <c r="L157" i="49" s="1"/>
  <c r="H156" i="25" s="1"/>
  <c r="I157" i="54" s="1"/>
  <c r="K161" i="49"/>
  <c r="L161" i="49" s="1"/>
  <c r="H160" i="25" s="1"/>
  <c r="I161" i="54" s="1"/>
  <c r="K165" i="49"/>
  <c r="L165" i="49" s="1"/>
  <c r="H164" i="25" s="1"/>
  <c r="I165" i="54" s="1"/>
  <c r="K169" i="49"/>
  <c r="L169" i="49" s="1"/>
  <c r="H168" i="25" s="1"/>
  <c r="I169" i="54" s="1"/>
  <c r="K173" i="49"/>
  <c r="L173" i="49" s="1"/>
  <c r="H172" i="25" s="1"/>
  <c r="I173" i="54" s="1"/>
  <c r="K177" i="49"/>
  <c r="L177" i="49" s="1"/>
  <c r="H176" i="25" s="1"/>
  <c r="I177" i="54" s="1"/>
  <c r="K181" i="49"/>
  <c r="L181" i="49" s="1"/>
  <c r="H180" i="25" s="1"/>
  <c r="K191" i="49"/>
  <c r="L191" i="49" s="1"/>
  <c r="H190" i="25" s="1"/>
  <c r="I191" i="54" s="1"/>
  <c r="K195" i="49"/>
  <c r="L195" i="49" s="1"/>
  <c r="H194" i="25" s="1"/>
  <c r="I195" i="54" s="1"/>
  <c r="K199" i="49"/>
  <c r="L199" i="49" s="1"/>
  <c r="H198" i="25" s="1"/>
  <c r="I199" i="54" s="1"/>
  <c r="K203" i="49"/>
  <c r="L203" i="49" s="1"/>
  <c r="H202" i="25" s="1"/>
  <c r="I203" i="54" s="1"/>
  <c r="K207" i="49"/>
  <c r="L207" i="49" s="1"/>
  <c r="H206" i="25" s="1"/>
  <c r="I207" i="54" s="1"/>
  <c r="K211" i="49"/>
  <c r="L211" i="49" s="1"/>
  <c r="H210" i="25" s="1"/>
  <c r="I211" i="54" s="1"/>
  <c r="K215" i="49"/>
  <c r="L215" i="49" s="1"/>
  <c r="H214" i="25" s="1"/>
  <c r="I215" i="54" s="1"/>
  <c r="K219" i="49"/>
  <c r="L219" i="49" s="1"/>
  <c r="H218" i="25" s="1"/>
  <c r="K223" i="49"/>
  <c r="L223" i="49" s="1"/>
  <c r="H222" i="25" s="1"/>
  <c r="I223" i="54" s="1"/>
  <c r="K227" i="49"/>
  <c r="L227" i="49" s="1"/>
  <c r="H226" i="25" s="1"/>
  <c r="I227" i="54" s="1"/>
  <c r="K231" i="49"/>
  <c r="L231" i="49" s="1"/>
  <c r="H230" i="25" s="1"/>
  <c r="I231" i="54" s="1"/>
  <c r="K235" i="49"/>
  <c r="L235" i="49" s="1"/>
  <c r="H234" i="25" s="1"/>
  <c r="I235" i="54" s="1"/>
  <c r="K239" i="49"/>
  <c r="L239" i="49" s="1"/>
  <c r="H238" i="25" s="1"/>
  <c r="I239" i="54" s="1"/>
  <c r="K243" i="49"/>
  <c r="L243" i="49" s="1"/>
  <c r="H242" i="25" s="1"/>
  <c r="I243" i="54" s="1"/>
  <c r="K192" i="49"/>
  <c r="L192" i="49" s="1"/>
  <c r="H191" i="25" s="1"/>
  <c r="I192" i="54" s="1"/>
  <c r="K196" i="49"/>
  <c r="L196" i="49" s="1"/>
  <c r="H195" i="25" s="1"/>
  <c r="K200" i="49"/>
  <c r="L200" i="49" s="1"/>
  <c r="H199" i="25" s="1"/>
  <c r="I200" i="54" s="1"/>
  <c r="K204" i="49"/>
  <c r="L204" i="49" s="1"/>
  <c r="H203" i="25" s="1"/>
  <c r="K208" i="49"/>
  <c r="L208" i="49" s="1"/>
  <c r="H207" i="25" s="1"/>
  <c r="I208" i="54" s="1"/>
  <c r="K212" i="49"/>
  <c r="L212" i="49" s="1"/>
  <c r="H211" i="25" s="1"/>
  <c r="I212" i="54" s="1"/>
  <c r="K216" i="49"/>
  <c r="L216" i="49" s="1"/>
  <c r="H215" i="25" s="1"/>
  <c r="I216" i="54" s="1"/>
  <c r="K220" i="49"/>
  <c r="L220" i="49" s="1"/>
  <c r="H219" i="25" s="1"/>
  <c r="I220" i="54" s="1"/>
  <c r="K224" i="49"/>
  <c r="L224" i="49" s="1"/>
  <c r="H223" i="25" s="1"/>
  <c r="K228" i="49"/>
  <c r="L228" i="49" s="1"/>
  <c r="H227" i="25" s="1"/>
  <c r="K232" i="49"/>
  <c r="L232" i="49" s="1"/>
  <c r="H231" i="25" s="1"/>
  <c r="I232" i="54" s="1"/>
  <c r="K236" i="49"/>
  <c r="L236" i="49" s="1"/>
  <c r="H235" i="25" s="1"/>
  <c r="I236" i="54" s="1"/>
  <c r="K240" i="49"/>
  <c r="L240" i="49" s="1"/>
  <c r="H239" i="25" s="1"/>
  <c r="I240" i="54" s="1"/>
  <c r="K244" i="49"/>
  <c r="L244" i="49" s="1"/>
  <c r="H243" i="25" s="1"/>
  <c r="I244" i="54" s="1"/>
  <c r="K248" i="49"/>
  <c r="L248" i="49" s="1"/>
  <c r="H247" i="25" s="1"/>
  <c r="I248" i="54" s="1"/>
  <c r="K252" i="49"/>
  <c r="L252" i="49" s="1"/>
  <c r="H251" i="25" s="1"/>
  <c r="I252" i="54" s="1"/>
  <c r="K185" i="49"/>
  <c r="L185" i="49" s="1"/>
  <c r="H184" i="25" s="1"/>
  <c r="K188" i="49"/>
  <c r="L188" i="49" s="1"/>
  <c r="H187" i="25" s="1"/>
  <c r="I188" i="54" s="1"/>
  <c r="K189" i="49"/>
  <c r="L189" i="49" s="1"/>
  <c r="H188" i="25" s="1"/>
  <c r="K193" i="49"/>
  <c r="L193" i="49" s="1"/>
  <c r="H192" i="25" s="1"/>
  <c r="I193" i="54" s="1"/>
  <c r="K197" i="49"/>
  <c r="L197" i="49" s="1"/>
  <c r="H196" i="25" s="1"/>
  <c r="I197" i="54" s="1"/>
  <c r="K201" i="49"/>
  <c r="L201" i="49" s="1"/>
  <c r="H200" i="25" s="1"/>
  <c r="I201" i="54" s="1"/>
  <c r="K205" i="49"/>
  <c r="L205" i="49" s="1"/>
  <c r="H204" i="25" s="1"/>
  <c r="I205" i="54" s="1"/>
  <c r="K209" i="49"/>
  <c r="L209" i="49" s="1"/>
  <c r="H208" i="25" s="1"/>
  <c r="I209" i="54" s="1"/>
  <c r="K213" i="49"/>
  <c r="L213" i="49" s="1"/>
  <c r="H212" i="25" s="1"/>
  <c r="I213" i="54" s="1"/>
  <c r="K217" i="49"/>
  <c r="L217" i="49" s="1"/>
  <c r="H216" i="25" s="1"/>
  <c r="I217" i="54" s="1"/>
  <c r="K221" i="49"/>
  <c r="L221" i="49" s="1"/>
  <c r="H220" i="25" s="1"/>
  <c r="I221" i="54" s="1"/>
  <c r="K225" i="49"/>
  <c r="L225" i="49" s="1"/>
  <c r="H224" i="25" s="1"/>
  <c r="I225" i="54" s="1"/>
  <c r="K229" i="49"/>
  <c r="L229" i="49" s="1"/>
  <c r="H228" i="25" s="1"/>
  <c r="I229" i="54" s="1"/>
  <c r="K233" i="49"/>
  <c r="L233" i="49" s="1"/>
  <c r="H232" i="25" s="1"/>
  <c r="I233" i="54" s="1"/>
  <c r="K237" i="49"/>
  <c r="L237" i="49" s="1"/>
  <c r="H236" i="25" s="1"/>
  <c r="I237" i="54" s="1"/>
  <c r="K241" i="49"/>
  <c r="L241" i="49" s="1"/>
  <c r="H240" i="25" s="1"/>
  <c r="I241" i="54" s="1"/>
  <c r="K245" i="49"/>
  <c r="L245" i="49" s="1"/>
  <c r="H244" i="25" s="1"/>
  <c r="I245" i="54" s="1"/>
  <c r="K249" i="49"/>
  <c r="L249" i="49" s="1"/>
  <c r="H248" i="25" s="1"/>
  <c r="I249" i="54" s="1"/>
  <c r="K253" i="49"/>
  <c r="L253" i="49" s="1"/>
  <c r="H252" i="25" s="1"/>
  <c r="I253" i="54" s="1"/>
  <c r="K194" i="49"/>
  <c r="L194" i="49" s="1"/>
  <c r="H193" i="25" s="1"/>
  <c r="K206" i="49"/>
  <c r="L206" i="49" s="1"/>
  <c r="H205" i="25" s="1"/>
  <c r="I206" i="54" s="1"/>
  <c r="K222" i="49"/>
  <c r="L222" i="49" s="1"/>
  <c r="H221" i="25" s="1"/>
  <c r="K238" i="49"/>
  <c r="L238" i="49" s="1"/>
  <c r="H237" i="25" s="1"/>
  <c r="I238" i="54" s="1"/>
  <c r="K251" i="49"/>
  <c r="L251" i="49" s="1"/>
  <c r="H250" i="25" s="1"/>
  <c r="I251" i="54" s="1"/>
  <c r="K254" i="49"/>
  <c r="L254" i="49" s="1"/>
  <c r="H253" i="25" s="1"/>
  <c r="K258" i="49"/>
  <c r="L258" i="49" s="1"/>
  <c r="H257" i="25" s="1"/>
  <c r="K262" i="49"/>
  <c r="L262" i="49" s="1"/>
  <c r="H261" i="25" s="1"/>
  <c r="I262" i="54" s="1"/>
  <c r="K266" i="49"/>
  <c r="L266" i="49" s="1"/>
  <c r="H265" i="25" s="1"/>
  <c r="I266" i="54" s="1"/>
  <c r="K270" i="49"/>
  <c r="L270" i="49" s="1"/>
  <c r="H269" i="25" s="1"/>
  <c r="I270" i="54" s="1"/>
  <c r="K274" i="49"/>
  <c r="L274" i="49" s="1"/>
  <c r="H273" i="25" s="1"/>
  <c r="I274" i="54" s="1"/>
  <c r="K278" i="49"/>
  <c r="L278" i="49" s="1"/>
  <c r="H277" i="25" s="1"/>
  <c r="I278" i="54" s="1"/>
  <c r="K282" i="49"/>
  <c r="L282" i="49" s="1"/>
  <c r="H281" i="25" s="1"/>
  <c r="I282" i="54" s="1"/>
  <c r="K286" i="49"/>
  <c r="L286" i="49" s="1"/>
  <c r="H285" i="25" s="1"/>
  <c r="K290" i="49"/>
  <c r="L290" i="49" s="1"/>
  <c r="H289" i="25" s="1"/>
  <c r="I290" i="54" s="1"/>
  <c r="K294" i="49"/>
  <c r="L294" i="49" s="1"/>
  <c r="H293" i="25" s="1"/>
  <c r="K298" i="49"/>
  <c r="L298" i="49" s="1"/>
  <c r="H297" i="25" s="1"/>
  <c r="K302" i="49"/>
  <c r="L302" i="49" s="1"/>
  <c r="H301" i="25" s="1"/>
  <c r="I302" i="54" s="1"/>
  <c r="K180" i="49"/>
  <c r="L180" i="49" s="1"/>
  <c r="H179" i="25" s="1"/>
  <c r="I180" i="54" s="1"/>
  <c r="K210" i="49"/>
  <c r="L210" i="49" s="1"/>
  <c r="H209" i="25" s="1"/>
  <c r="I210" i="54" s="1"/>
  <c r="K226" i="49"/>
  <c r="L226" i="49" s="1"/>
  <c r="H225" i="25" s="1"/>
  <c r="I226" i="54" s="1"/>
  <c r="K242" i="49"/>
  <c r="L242" i="49" s="1"/>
  <c r="H241" i="25" s="1"/>
  <c r="K250" i="49"/>
  <c r="L250" i="49" s="1"/>
  <c r="H249" i="25" s="1"/>
  <c r="I250" i="54" s="1"/>
  <c r="K255" i="49"/>
  <c r="L255" i="49" s="1"/>
  <c r="H254" i="25" s="1"/>
  <c r="I255" i="54" s="1"/>
  <c r="K259" i="49"/>
  <c r="L259" i="49" s="1"/>
  <c r="H258" i="25" s="1"/>
  <c r="I259" i="54" s="1"/>
  <c r="K263" i="49"/>
  <c r="L263" i="49" s="1"/>
  <c r="H262" i="25" s="1"/>
  <c r="I263" i="54" s="1"/>
  <c r="K267" i="49"/>
  <c r="L267" i="49" s="1"/>
  <c r="H266" i="25" s="1"/>
  <c r="I267" i="54" s="1"/>
  <c r="K271" i="49"/>
  <c r="L271" i="49" s="1"/>
  <c r="H270" i="25" s="1"/>
  <c r="I271" i="54" s="1"/>
  <c r="K275" i="49"/>
  <c r="L275" i="49" s="1"/>
  <c r="H274" i="25" s="1"/>
  <c r="I275" i="54" s="1"/>
  <c r="K279" i="49"/>
  <c r="L279" i="49" s="1"/>
  <c r="H278" i="25" s="1"/>
  <c r="I279" i="54" s="1"/>
  <c r="K283" i="49"/>
  <c r="L283" i="49" s="1"/>
  <c r="H282" i="25" s="1"/>
  <c r="K287" i="49"/>
  <c r="L287" i="49" s="1"/>
  <c r="H286" i="25" s="1"/>
  <c r="I287" i="54" s="1"/>
  <c r="K291" i="49"/>
  <c r="L291" i="49" s="1"/>
  <c r="H290" i="25" s="1"/>
  <c r="I291" i="54" s="1"/>
  <c r="K295" i="49"/>
  <c r="L295" i="49" s="1"/>
  <c r="H294" i="25" s="1"/>
  <c r="K299" i="49"/>
  <c r="L299" i="49" s="1"/>
  <c r="H298" i="25" s="1"/>
  <c r="I299" i="54" s="1"/>
  <c r="K303" i="49"/>
  <c r="L303" i="49" s="1"/>
  <c r="H302" i="25" s="1"/>
  <c r="I303" i="54" s="1"/>
  <c r="K184" i="49"/>
  <c r="L184" i="49" s="1"/>
  <c r="H183" i="25" s="1"/>
  <c r="I184" i="54" s="1"/>
  <c r="K190" i="49"/>
  <c r="L190" i="49" s="1"/>
  <c r="H189" i="25" s="1"/>
  <c r="I190" i="54" s="1"/>
  <c r="K198" i="49"/>
  <c r="L198" i="49" s="1"/>
  <c r="H197" i="25" s="1"/>
  <c r="K214" i="49"/>
  <c r="L214" i="49" s="1"/>
  <c r="H213" i="25" s="1"/>
  <c r="I214" i="54" s="1"/>
  <c r="K230" i="49"/>
  <c r="L230" i="49" s="1"/>
  <c r="H229" i="25" s="1"/>
  <c r="I230" i="54" s="1"/>
  <c r="K247" i="49"/>
  <c r="L247" i="49" s="1"/>
  <c r="H246" i="25" s="1"/>
  <c r="I247" i="54" s="1"/>
  <c r="K256" i="49"/>
  <c r="L256" i="49" s="1"/>
  <c r="H255" i="25" s="1"/>
  <c r="I256" i="54" s="1"/>
  <c r="K260" i="49"/>
  <c r="L260" i="49" s="1"/>
  <c r="H259" i="25" s="1"/>
  <c r="I260" i="54" s="1"/>
  <c r="K264" i="49"/>
  <c r="L264" i="49" s="1"/>
  <c r="H263" i="25" s="1"/>
  <c r="I264" i="54" s="1"/>
  <c r="K268" i="49"/>
  <c r="L268" i="49" s="1"/>
  <c r="H267" i="25" s="1"/>
  <c r="I268" i="54" s="1"/>
  <c r="K272" i="49"/>
  <c r="L272" i="49" s="1"/>
  <c r="H271" i="25" s="1"/>
  <c r="I272" i="54" s="1"/>
  <c r="K276" i="49"/>
  <c r="L276" i="49" s="1"/>
  <c r="H275" i="25" s="1"/>
  <c r="I276" i="54" s="1"/>
  <c r="K280" i="49"/>
  <c r="L280" i="49" s="1"/>
  <c r="H279" i="25" s="1"/>
  <c r="I280" i="54" s="1"/>
  <c r="K284" i="49"/>
  <c r="L284" i="49" s="1"/>
  <c r="H283" i="25" s="1"/>
  <c r="I284" i="54" s="1"/>
  <c r="K288" i="49"/>
  <c r="L288" i="49" s="1"/>
  <c r="H287" i="25" s="1"/>
  <c r="I288" i="54" s="1"/>
  <c r="K292" i="49"/>
  <c r="L292" i="49" s="1"/>
  <c r="H291" i="25" s="1"/>
  <c r="I292" i="54" s="1"/>
  <c r="K296" i="49"/>
  <c r="L296" i="49" s="1"/>
  <c r="H295" i="25" s="1"/>
  <c r="I296" i="54" s="1"/>
  <c r="K300" i="49"/>
  <c r="L300" i="49" s="1"/>
  <c r="H299" i="25" s="1"/>
  <c r="I300" i="54" s="1"/>
  <c r="K304" i="49"/>
  <c r="L304" i="49" s="1"/>
  <c r="H303" i="25" s="1"/>
  <c r="K202" i="49"/>
  <c r="L202" i="49" s="1"/>
  <c r="H201" i="25" s="1"/>
  <c r="I202" i="54" s="1"/>
  <c r="K218" i="49"/>
  <c r="L218" i="49" s="1"/>
  <c r="H217" i="25" s="1"/>
  <c r="I218" i="54" s="1"/>
  <c r="K234" i="49"/>
  <c r="L234" i="49" s="1"/>
  <c r="H233" i="25" s="1"/>
  <c r="I234" i="54" s="1"/>
  <c r="K246" i="49"/>
  <c r="L246" i="49" s="1"/>
  <c r="H245" i="25" s="1"/>
  <c r="I246" i="54" s="1"/>
  <c r="K257" i="49"/>
  <c r="L257" i="49" s="1"/>
  <c r="H256" i="25" s="1"/>
  <c r="I257" i="54" s="1"/>
  <c r="K261" i="49"/>
  <c r="L261" i="49" s="1"/>
  <c r="H260" i="25" s="1"/>
  <c r="I261" i="54" s="1"/>
  <c r="K265" i="49"/>
  <c r="L265" i="49" s="1"/>
  <c r="H264" i="25" s="1"/>
  <c r="I265" i="54" s="1"/>
  <c r="K269" i="49"/>
  <c r="L269" i="49" s="1"/>
  <c r="H268" i="25" s="1"/>
  <c r="I269" i="54" s="1"/>
  <c r="K273" i="49"/>
  <c r="L273" i="49" s="1"/>
  <c r="H272" i="25" s="1"/>
  <c r="I273" i="54" s="1"/>
  <c r="K277" i="49"/>
  <c r="L277" i="49" s="1"/>
  <c r="H276" i="25" s="1"/>
  <c r="I277" i="54" s="1"/>
  <c r="K281" i="49"/>
  <c r="L281" i="49" s="1"/>
  <c r="H280" i="25" s="1"/>
  <c r="I281" i="54" s="1"/>
  <c r="K285" i="49"/>
  <c r="L285" i="49" s="1"/>
  <c r="H284" i="25" s="1"/>
  <c r="I285" i="54" s="1"/>
  <c r="K289" i="49"/>
  <c r="L289" i="49" s="1"/>
  <c r="H288" i="25" s="1"/>
  <c r="I289" i="54" s="1"/>
  <c r="K293" i="49"/>
  <c r="L293" i="49" s="1"/>
  <c r="H292" i="25" s="1"/>
  <c r="I293" i="54" s="1"/>
  <c r="K297" i="49"/>
  <c r="L297" i="49" s="1"/>
  <c r="H296" i="25" s="1"/>
  <c r="I297" i="54" s="1"/>
  <c r="K301" i="49"/>
  <c r="L301" i="49" s="1"/>
  <c r="H300" i="25" s="1"/>
  <c r="K305" i="49"/>
  <c r="L305" i="49" s="1"/>
  <c r="H304" i="25" s="1"/>
  <c r="I305" i="54" s="1"/>
  <c r="I57" i="54"/>
  <c r="I63" i="54"/>
  <c r="I31" i="54"/>
  <c r="I139" i="54"/>
  <c r="I147" i="54"/>
  <c r="I153" i="54"/>
  <c r="I179" i="54"/>
  <c r="I219" i="54"/>
  <c r="I181" i="54"/>
  <c r="F9" i="33"/>
  <c r="F17" i="33"/>
  <c r="F25" i="33"/>
  <c r="F33" i="33"/>
  <c r="F41" i="33"/>
  <c r="F49" i="33"/>
  <c r="F19" i="33"/>
  <c r="F35" i="33"/>
  <c r="F52" i="33"/>
  <c r="F27" i="33"/>
  <c r="F43" i="33"/>
  <c r="F77" i="33"/>
  <c r="F65" i="33"/>
  <c r="F81" i="33"/>
  <c r="F84" i="33"/>
  <c r="F93" i="33"/>
  <c r="F101" i="33"/>
  <c r="F109" i="33"/>
  <c r="F117" i="33"/>
  <c r="F89" i="33"/>
  <c r="F97" i="33"/>
  <c r="F105" i="33"/>
  <c r="F135" i="33"/>
  <c r="F175" i="33"/>
  <c r="F194" i="33"/>
  <c r="F254" i="33"/>
  <c r="F258" i="33"/>
  <c r="F270" i="33"/>
  <c r="F274" i="33"/>
  <c r="F290" i="33"/>
  <c r="F127" i="33"/>
  <c r="F143" i="33"/>
  <c r="F162" i="33"/>
  <c r="F191" i="33"/>
  <c r="F197" i="33"/>
  <c r="F205" i="33"/>
  <c r="F215" i="33"/>
  <c r="F178" i="33"/>
  <c r="F159" i="33"/>
  <c r="F188" i="33"/>
  <c r="F262" i="33"/>
  <c r="F266" i="33"/>
  <c r="F278" i="33"/>
  <c r="F282" i="33"/>
  <c r="F286" i="33"/>
  <c r="F294" i="33"/>
  <c r="F298" i="33"/>
  <c r="F302" i="33"/>
  <c r="F299" i="33"/>
  <c r="F224" i="33"/>
  <c r="F222" i="33"/>
  <c r="F250" i="33"/>
  <c r="F219" i="33"/>
  <c r="F259" i="33"/>
  <c r="F225" i="33"/>
  <c r="F221" i="33"/>
  <c r="F263" i="33"/>
  <c r="F249" i="33"/>
  <c r="F246" i="33"/>
  <c r="F243" i="33"/>
  <c r="F232" i="33"/>
  <c r="F213" i="33"/>
  <c r="F241" i="33"/>
  <c r="F288" i="33"/>
  <c r="F245" i="33"/>
  <c r="F214" i="33"/>
  <c r="F200" i="33"/>
  <c r="F181" i="33"/>
  <c r="F183" i="33"/>
  <c r="F170" i="33"/>
  <c r="F160" i="33"/>
  <c r="F164" i="33"/>
  <c r="F121" i="33"/>
  <c r="F96" i="33"/>
  <c r="F94" i="33"/>
  <c r="F138" i="33"/>
  <c r="F122" i="33"/>
  <c r="F51" i="33"/>
  <c r="F98" i="33"/>
  <c r="F54" i="33"/>
  <c r="F16" i="33"/>
  <c r="F70" i="33"/>
  <c r="F58" i="33"/>
  <c r="F22" i="33"/>
  <c r="F82" i="33"/>
  <c r="F63" i="33"/>
  <c r="F275" i="33"/>
  <c r="F242" i="33"/>
  <c r="F235" i="33"/>
  <c r="F293" i="33"/>
  <c r="F292" i="33"/>
  <c r="F285" i="33"/>
  <c r="F284" i="33"/>
  <c r="F277" i="33"/>
  <c r="F260" i="33"/>
  <c r="F237" i="33"/>
  <c r="F231" i="33"/>
  <c r="F218" i="33"/>
  <c r="F172" i="33"/>
  <c r="F251" i="33"/>
  <c r="F303" i="33"/>
  <c r="F287" i="33"/>
  <c r="F255" i="33"/>
  <c r="F230" i="33"/>
  <c r="F156" i="33"/>
  <c r="F281" i="33"/>
  <c r="F280" i="33"/>
  <c r="F273" i="33"/>
  <c r="F257" i="33"/>
  <c r="F256" i="33"/>
  <c r="F240" i="33"/>
  <c r="F229" i="33"/>
  <c r="F223" i="33"/>
  <c r="F192" i="33"/>
  <c r="F168" i="33"/>
  <c r="F155" i="33"/>
  <c r="F186" i="33"/>
  <c r="F176" i="33"/>
  <c r="F107" i="33"/>
  <c r="F153" i="33"/>
  <c r="F211" i="33"/>
  <c r="F203" i="33"/>
  <c r="F187" i="33"/>
  <c r="F185" i="33"/>
  <c r="F157" i="33"/>
  <c r="F142" i="33"/>
  <c r="F202" i="33"/>
  <c r="F80" i="33"/>
  <c r="F130" i="33"/>
  <c r="F141" i="33"/>
  <c r="F118" i="33"/>
  <c r="F147" i="33"/>
  <c r="F64" i="33"/>
  <c r="F62" i="33"/>
  <c r="F90" i="33"/>
  <c r="F108" i="33"/>
  <c r="F92" i="33"/>
  <c r="F71" i="33"/>
  <c r="F72" i="33"/>
  <c r="F55" i="33"/>
  <c r="F50" i="33"/>
  <c r="F20" i="33"/>
  <c r="F30" i="33"/>
  <c r="F28" i="33"/>
  <c r="F26" i="33"/>
  <c r="F268" i="33"/>
  <c r="F261" i="33"/>
  <c r="F220" i="33"/>
  <c r="F283" i="33"/>
  <c r="F297" i="33"/>
  <c r="F239" i="33"/>
  <c r="F204" i="33"/>
  <c r="F177" i="33"/>
  <c r="F110" i="33"/>
  <c r="F206" i="33"/>
  <c r="F180" i="33"/>
  <c r="F163" i="33"/>
  <c r="F152" i="33"/>
  <c r="F151" i="33"/>
  <c r="F113" i="33"/>
  <c r="F217" i="33"/>
  <c r="F208" i="33"/>
  <c r="F169" i="33"/>
  <c r="F167" i="33"/>
  <c r="F154" i="33"/>
  <c r="F99" i="33"/>
  <c r="F128" i="33"/>
  <c r="F61" i="33"/>
  <c r="F106" i="33"/>
  <c r="F44" i="33"/>
  <c r="F60" i="33"/>
  <c r="F48" i="33"/>
  <c r="F15" i="33"/>
  <c r="F39" i="33"/>
  <c r="F23" i="33"/>
  <c r="F12" i="33"/>
  <c r="F234" i="33"/>
  <c r="F271" i="33"/>
  <c r="F233" i="33"/>
  <c r="F227" i="33"/>
  <c r="F272" i="33"/>
  <c r="F216" i="33"/>
  <c r="F165" i="33"/>
  <c r="F124" i="33"/>
  <c r="F184" i="33"/>
  <c r="F115" i="33"/>
  <c r="F114" i="33"/>
  <c r="F132" i="33"/>
  <c r="F69" i="33"/>
  <c r="F59" i="33"/>
  <c r="F76" i="33"/>
  <c r="F75" i="33"/>
  <c r="F42" i="33"/>
  <c r="F301" i="33"/>
  <c r="F238" i="33"/>
  <c r="F305" i="33"/>
  <c r="F289" i="33"/>
  <c r="F265" i="33"/>
  <c r="F212" i="33"/>
  <c r="F126" i="33"/>
  <c r="F134" i="33"/>
  <c r="F123" i="33"/>
  <c r="F57" i="33"/>
  <c r="F38" i="33"/>
  <c r="F46" i="33"/>
  <c r="F18" i="33"/>
  <c r="F269" i="33"/>
  <c r="F252" i="33"/>
  <c r="F247" i="33"/>
  <c r="F236" i="33"/>
  <c r="F279" i="33"/>
  <c r="F264" i="33"/>
  <c r="F228" i="33"/>
  <c r="F226" i="33"/>
  <c r="F91" i="33"/>
  <c r="F189" i="33"/>
  <c r="F196" i="33"/>
  <c r="F198" i="33"/>
  <c r="F125" i="33"/>
  <c r="F104" i="33"/>
  <c r="F74" i="33"/>
  <c r="F148" i="33"/>
  <c r="F116" i="33"/>
  <c r="F102" i="33"/>
  <c r="F131" i="33"/>
  <c r="F32" i="33"/>
  <c r="F85" i="33"/>
  <c r="F53" i="33"/>
  <c r="F66" i="33"/>
  <c r="F68" i="33"/>
  <c r="F36" i="33"/>
  <c r="F10" i="33"/>
  <c r="F40" i="33"/>
  <c r="F24" i="33"/>
  <c r="F14" i="33"/>
  <c r="F8" i="33"/>
  <c r="F267" i="33"/>
  <c r="F276" i="33"/>
  <c r="F201" i="33"/>
  <c r="F295" i="33"/>
  <c r="F244" i="33"/>
  <c r="F129" i="33"/>
  <c r="F179" i="33"/>
  <c r="F133" i="33"/>
  <c r="F171" i="33"/>
  <c r="F120" i="33"/>
  <c r="F146" i="33"/>
  <c r="F139" i="33"/>
  <c r="F100" i="33"/>
  <c r="F253" i="33"/>
  <c r="F248" i="33"/>
  <c r="F291" i="33"/>
  <c r="F195" i="33"/>
  <c r="F210" i="33"/>
  <c r="F173" i="33"/>
  <c r="F140" i="33"/>
  <c r="F149" i="33"/>
  <c r="F209" i="33"/>
  <c r="F136" i="33"/>
  <c r="F88" i="33"/>
  <c r="F144" i="33"/>
  <c r="F112" i="33"/>
  <c r="F150" i="33"/>
  <c r="F73" i="33"/>
  <c r="F78" i="33"/>
  <c r="F31" i="33"/>
  <c r="F34" i="33"/>
  <c r="F45" i="33"/>
  <c r="F161" i="33"/>
  <c r="F56" i="33"/>
  <c r="F166" i="33"/>
  <c r="F86" i="33"/>
  <c r="F11" i="33"/>
  <c r="F158" i="33"/>
  <c r="F190" i="33"/>
  <c r="F21" i="33"/>
  <c r="F111" i="33"/>
  <c r="F29" i="33"/>
  <c r="F300" i="33"/>
  <c r="F174" i="33"/>
  <c r="F87" i="33"/>
  <c r="F199" i="33"/>
  <c r="F83" i="33"/>
  <c r="F7" i="33"/>
  <c r="F137" i="33"/>
  <c r="F37" i="33"/>
  <c r="F103" i="33"/>
  <c r="F145" i="33"/>
  <c r="F79" i="33"/>
  <c r="F95" i="33"/>
  <c r="F296" i="33"/>
  <c r="F119" i="33"/>
  <c r="F193" i="33"/>
  <c r="F47" i="33"/>
  <c r="F13" i="33"/>
  <c r="F304" i="33"/>
  <c r="F67" i="33"/>
  <c r="F182" i="33"/>
  <c r="F207" i="33"/>
  <c r="I8" i="54"/>
  <c r="I12" i="54"/>
  <c r="I15" i="54"/>
  <c r="I18" i="54"/>
  <c r="I21" i="54"/>
  <c r="I22" i="54"/>
  <c r="I29" i="54"/>
  <c r="I37" i="54"/>
  <c r="I40" i="54"/>
  <c r="I44" i="54"/>
  <c r="I47" i="54"/>
  <c r="I50" i="54"/>
  <c r="I53" i="54"/>
  <c r="I54" i="54"/>
  <c r="I61" i="54"/>
  <c r="I71" i="54"/>
  <c r="I81" i="54"/>
  <c r="I84" i="54"/>
  <c r="I88" i="54"/>
  <c r="I99" i="54"/>
  <c r="I102" i="54"/>
  <c r="I103" i="54"/>
  <c r="I110" i="54"/>
  <c r="I113" i="54"/>
  <c r="I116" i="54"/>
  <c r="I119" i="54"/>
  <c r="I120" i="54"/>
  <c r="I121" i="54"/>
  <c r="I124" i="54"/>
  <c r="I135" i="54"/>
  <c r="I138" i="54"/>
  <c r="I142" i="54"/>
  <c r="I144" i="54"/>
  <c r="I148" i="54"/>
  <c r="I156" i="54"/>
  <c r="I167" i="54"/>
  <c r="I170" i="54"/>
  <c r="I174" i="54"/>
  <c r="I176" i="54"/>
  <c r="I178" i="54"/>
  <c r="I185" i="54"/>
  <c r="I189" i="54"/>
  <c r="I194" i="54"/>
  <c r="I196" i="54"/>
  <c r="I198" i="54"/>
  <c r="I204" i="54"/>
  <c r="I222" i="54"/>
  <c r="I224" i="54"/>
  <c r="I228" i="54"/>
  <c r="I242" i="54"/>
  <c r="I254" i="54"/>
  <c r="I258" i="54"/>
  <c r="I283" i="54"/>
  <c r="I286" i="54"/>
  <c r="I294" i="54"/>
  <c r="I295" i="54"/>
  <c r="I298" i="54"/>
  <c r="I301" i="54"/>
  <c r="I304" i="54"/>
  <c r="C312" i="34"/>
  <c r="K6" i="49"/>
  <c r="F306" i="37"/>
  <c r="E306" i="13"/>
  <c r="F306" i="13" s="1"/>
  <c r="C306" i="11"/>
  <c r="L111" i="49" l="1"/>
  <c r="H110" i="25" s="1"/>
  <c r="I111" i="54" s="1"/>
  <c r="E48" i="48"/>
  <c r="F48" i="48" s="1"/>
  <c r="F50" i="48" s="1"/>
  <c r="H83" i="37"/>
  <c r="H87" i="37"/>
  <c r="H91" i="37"/>
  <c r="H161" i="37"/>
  <c r="H258" i="37"/>
  <c r="H160" i="37"/>
  <c r="H263" i="37"/>
  <c r="H268" i="37"/>
  <c r="H94" i="37"/>
  <c r="H98" i="37"/>
  <c r="H102" i="37"/>
  <c r="H106" i="37"/>
  <c r="H110" i="37"/>
  <c r="H114" i="37"/>
  <c r="H118" i="37"/>
  <c r="H122" i="37"/>
  <c r="H126" i="37"/>
  <c r="H130" i="37"/>
  <c r="H134" i="37"/>
  <c r="H138" i="37"/>
  <c r="H146" i="37"/>
  <c r="H154" i="37"/>
  <c r="H8" i="37"/>
  <c r="H16" i="37"/>
  <c r="H20" i="37"/>
  <c r="H68" i="37"/>
  <c r="H121" i="37"/>
  <c r="H153" i="37"/>
  <c r="H274" i="37"/>
  <c r="H84" i="37"/>
  <c r="H101" i="37"/>
  <c r="H133" i="37"/>
  <c r="H148" i="37"/>
  <c r="H158" i="37"/>
  <c r="H286" i="37"/>
  <c r="H113" i="37"/>
  <c r="H145" i="37"/>
  <c r="H266" i="37"/>
  <c r="H298" i="37"/>
  <c r="H67" i="37"/>
  <c r="H93" i="37"/>
  <c r="H125" i="37"/>
  <c r="H140" i="37"/>
  <c r="H278" i="37"/>
  <c r="H72" i="37"/>
  <c r="H88" i="37"/>
  <c r="H105" i="37"/>
  <c r="H137" i="37"/>
  <c r="H157" i="37"/>
  <c r="H290" i="37"/>
  <c r="H97" i="37"/>
  <c r="H129" i="37"/>
  <c r="H282" i="37"/>
  <c r="H12" i="37"/>
  <c r="H117" i="37"/>
  <c r="H71" i="37"/>
  <c r="H294" i="37"/>
  <c r="H162" i="37"/>
  <c r="H302" i="37"/>
  <c r="H270" i="37"/>
  <c r="H109" i="37"/>
  <c r="H250" i="37"/>
  <c r="H234" i="37"/>
  <c r="H218" i="37"/>
  <c r="H202" i="37"/>
  <c r="H186" i="37"/>
  <c r="H170" i="37"/>
  <c r="H36" i="37"/>
  <c r="H51" i="37"/>
  <c r="H23" i="37"/>
  <c r="H24" i="37"/>
  <c r="H243" i="37"/>
  <c r="H211" i="37"/>
  <c r="H179" i="37"/>
  <c r="H264" i="37"/>
  <c r="H136" i="37"/>
  <c r="H104" i="37"/>
  <c r="H304" i="37"/>
  <c r="H272" i="37"/>
  <c r="H229" i="37"/>
  <c r="H197" i="37"/>
  <c r="H165" i="37"/>
  <c r="H289" i="37"/>
  <c r="H143" i="37"/>
  <c r="H111" i="37"/>
  <c r="H269" i="37"/>
  <c r="H38" i="37"/>
  <c r="H25" i="37"/>
  <c r="H21" i="37"/>
  <c r="H262" i="37"/>
  <c r="H248" i="37"/>
  <c r="H232" i="37"/>
  <c r="H216" i="37"/>
  <c r="H200" i="37"/>
  <c r="H184" i="37"/>
  <c r="H168" i="37"/>
  <c r="H299" i="37"/>
  <c r="H239" i="37"/>
  <c r="H207" i="37"/>
  <c r="H175" i="37"/>
  <c r="H89" i="37"/>
  <c r="H132" i="37"/>
  <c r="H100" i="37"/>
  <c r="H300" i="37"/>
  <c r="H159" i="37"/>
  <c r="H257" i="37"/>
  <c r="H225" i="37"/>
  <c r="H193" i="37"/>
  <c r="H82" i="37"/>
  <c r="H285" i="37"/>
  <c r="H139" i="37"/>
  <c r="H107" i="37"/>
  <c r="H66" i="37"/>
  <c r="H34" i="37"/>
  <c r="H10" i="37"/>
  <c r="H17" i="37"/>
  <c r="H13" i="37"/>
  <c r="H27" i="37"/>
  <c r="H260" i="37"/>
  <c r="H246" i="37"/>
  <c r="H230" i="37"/>
  <c r="H214" i="37"/>
  <c r="H198" i="37"/>
  <c r="H182" i="37"/>
  <c r="H166" i="37"/>
  <c r="H267" i="37"/>
  <c r="H235" i="37"/>
  <c r="H203" i="37"/>
  <c r="H171" i="37"/>
  <c r="H63" i="37"/>
  <c r="H128" i="37"/>
  <c r="H96" i="37"/>
  <c r="H296" i="37"/>
  <c r="H150" i="37"/>
  <c r="H253" i="37"/>
  <c r="H221" i="37"/>
  <c r="H189" i="37"/>
  <c r="H78" i="37"/>
  <c r="H281" i="37"/>
  <c r="H135" i="37"/>
  <c r="H103" i="37"/>
  <c r="H62" i="37"/>
  <c r="H30" i="37"/>
  <c r="H9" i="37"/>
  <c r="H19" i="37"/>
  <c r="H149" i="37"/>
  <c r="H244" i="37"/>
  <c r="H228" i="37"/>
  <c r="H212" i="37"/>
  <c r="H196" i="37"/>
  <c r="H180" i="37"/>
  <c r="H164" i="37"/>
  <c r="H156" i="37"/>
  <c r="H275" i="37"/>
  <c r="H295" i="37"/>
  <c r="H283" i="37"/>
  <c r="H303" i="37"/>
  <c r="H231" i="37"/>
  <c r="H199" i="37"/>
  <c r="H167" i="37"/>
  <c r="H48" i="37"/>
  <c r="H124" i="37"/>
  <c r="H92" i="37"/>
  <c r="H292" i="37"/>
  <c r="H142" i="37"/>
  <c r="H249" i="37"/>
  <c r="H217" i="37"/>
  <c r="H185" i="37"/>
  <c r="H65" i="37"/>
  <c r="H277" i="37"/>
  <c r="H131" i="37"/>
  <c r="H99" i="37"/>
  <c r="H58" i="37"/>
  <c r="H26" i="37"/>
  <c r="H61" i="37"/>
  <c r="H287" i="37"/>
  <c r="H242" i="37"/>
  <c r="H226" i="37"/>
  <c r="H210" i="37"/>
  <c r="H194" i="37"/>
  <c r="H178" i="37"/>
  <c r="H80" i="37"/>
  <c r="H64" i="37"/>
  <c r="H259" i="37"/>
  <c r="H79" i="37"/>
  <c r="H271" i="37"/>
  <c r="H227" i="37"/>
  <c r="H195" i="37"/>
  <c r="H163" i="37"/>
  <c r="H31" i="37"/>
  <c r="H120" i="37"/>
  <c r="H7" i="37"/>
  <c r="H288" i="37"/>
  <c r="H90" i="37"/>
  <c r="H245" i="37"/>
  <c r="H213" i="37"/>
  <c r="H181" i="37"/>
  <c r="H305" i="37"/>
  <c r="H273" i="37"/>
  <c r="H127" i="37"/>
  <c r="H95" i="37"/>
  <c r="H54" i="37"/>
  <c r="H22" i="37"/>
  <c r="H57" i="37"/>
  <c r="H53" i="37"/>
  <c r="H256" i="37"/>
  <c r="H240" i="37"/>
  <c r="H224" i="37"/>
  <c r="H208" i="37"/>
  <c r="H192" i="37"/>
  <c r="H176" i="37"/>
  <c r="H141" i="37"/>
  <c r="H76" i="37"/>
  <c r="H47" i="37"/>
  <c r="H60" i="37"/>
  <c r="H75" i="37"/>
  <c r="H255" i="37"/>
  <c r="H223" i="37"/>
  <c r="H191" i="37"/>
  <c r="H52" i="37"/>
  <c r="H265" i="37"/>
  <c r="H116" i="37"/>
  <c r="H261" i="37"/>
  <c r="H284" i="37"/>
  <c r="H86" i="37"/>
  <c r="H241" i="37"/>
  <c r="H209" i="37"/>
  <c r="H177" i="37"/>
  <c r="H301" i="37"/>
  <c r="H155" i="37"/>
  <c r="H123" i="37"/>
  <c r="H74" i="37"/>
  <c r="H50" i="37"/>
  <c r="H18" i="37"/>
  <c r="H49" i="37"/>
  <c r="H45" i="37"/>
  <c r="H254" i="37"/>
  <c r="H238" i="37"/>
  <c r="H222" i="37"/>
  <c r="H206" i="37"/>
  <c r="H190" i="37"/>
  <c r="H174" i="37"/>
  <c r="H85" i="37"/>
  <c r="H55" i="37"/>
  <c r="H32" i="37"/>
  <c r="H43" i="37"/>
  <c r="H56" i="37"/>
  <c r="H251" i="37"/>
  <c r="H219" i="37"/>
  <c r="H187" i="37"/>
  <c r="H35" i="37"/>
  <c r="H152" i="37"/>
  <c r="H112" i="37"/>
  <c r="H81" i="37"/>
  <c r="H280" i="37"/>
  <c r="H73" i="37"/>
  <c r="H237" i="37"/>
  <c r="H205" i="37"/>
  <c r="H173" i="37"/>
  <c r="H297" i="37"/>
  <c r="H151" i="37"/>
  <c r="H119" i="37"/>
  <c r="H70" i="37"/>
  <c r="H46" i="37"/>
  <c r="H14" i="37"/>
  <c r="H41" i="37"/>
  <c r="H37" i="37"/>
  <c r="H252" i="37"/>
  <c r="H236" i="37"/>
  <c r="H220" i="37"/>
  <c r="H204" i="37"/>
  <c r="H188" i="37"/>
  <c r="H172" i="37"/>
  <c r="H44" i="37"/>
  <c r="H279" i="37"/>
  <c r="H59" i="37"/>
  <c r="H40" i="37"/>
  <c r="H15" i="37"/>
  <c r="H28" i="37"/>
  <c r="H39" i="37"/>
  <c r="H247" i="37"/>
  <c r="H215" i="37"/>
  <c r="H183" i="37"/>
  <c r="H291" i="37"/>
  <c r="H144" i="37"/>
  <c r="H108" i="37"/>
  <c r="H77" i="37"/>
  <c r="H276" i="37"/>
  <c r="H69" i="37"/>
  <c r="H233" i="37"/>
  <c r="H201" i="37"/>
  <c r="H169" i="37"/>
  <c r="H293" i="37"/>
  <c r="H147" i="37"/>
  <c r="H115" i="37"/>
  <c r="H11" i="37"/>
  <c r="H42" i="37"/>
  <c r="H33" i="37"/>
  <c r="H29" i="37"/>
  <c r="K306" i="49"/>
  <c r="E11" i="34"/>
  <c r="D7" i="34"/>
  <c r="L6" i="49"/>
  <c r="H306" i="37"/>
  <c r="H6" i="37"/>
  <c r="I5" i="13"/>
  <c r="K306" i="11"/>
  <c r="J3" i="33"/>
  <c r="F6" i="33"/>
  <c r="I3" i="33"/>
  <c r="D306" i="37"/>
  <c r="K3" i="33"/>
  <c r="H3" i="33"/>
  <c r="G3" i="33"/>
  <c r="F306" i="11"/>
  <c r="D5" i="9"/>
  <c r="D6" i="9"/>
  <c r="E10" i="37" l="1"/>
  <c r="G10" i="37" s="1"/>
  <c r="I10" i="37" s="1"/>
  <c r="F16" i="34" s="1"/>
  <c r="F10" i="12" s="1"/>
  <c r="E14" i="37"/>
  <c r="G14" i="37" s="1"/>
  <c r="I14" i="37" s="1"/>
  <c r="F20" i="34" s="1"/>
  <c r="F14" i="12" s="1"/>
  <c r="E9" i="37"/>
  <c r="G9" i="37" s="1"/>
  <c r="I9" i="37" s="1"/>
  <c r="F15" i="34" s="1"/>
  <c r="F9" i="12" s="1"/>
  <c r="E13" i="37"/>
  <c r="G13" i="37" s="1"/>
  <c r="I13" i="37" s="1"/>
  <c r="F19" i="34" s="1"/>
  <c r="F13" i="12" s="1"/>
  <c r="E70" i="37"/>
  <c r="G70" i="37" s="1"/>
  <c r="I70" i="37" s="1"/>
  <c r="F76" i="34" s="1"/>
  <c r="F70" i="12" s="1"/>
  <c r="E74" i="37"/>
  <c r="G74" i="37" s="1"/>
  <c r="I74" i="37" s="1"/>
  <c r="F80" i="34" s="1"/>
  <c r="F74" i="12" s="1"/>
  <c r="E95" i="37"/>
  <c r="G95" i="37" s="1"/>
  <c r="I95" i="37" s="1"/>
  <c r="F101" i="34" s="1"/>
  <c r="F95" i="12" s="1"/>
  <c r="E99" i="37"/>
  <c r="G99" i="37" s="1"/>
  <c r="I99" i="37" s="1"/>
  <c r="F105" i="34" s="1"/>
  <c r="F99" i="12" s="1"/>
  <c r="E103" i="37"/>
  <c r="G103" i="37" s="1"/>
  <c r="I103" i="37" s="1"/>
  <c r="F109" i="34" s="1"/>
  <c r="F103" i="12" s="1"/>
  <c r="E107" i="37"/>
  <c r="G107" i="37" s="1"/>
  <c r="I107" i="37" s="1"/>
  <c r="F113" i="34" s="1"/>
  <c r="F107" i="12" s="1"/>
  <c r="E111" i="37"/>
  <c r="G111" i="37" s="1"/>
  <c r="I111" i="37" s="1"/>
  <c r="F117" i="34" s="1"/>
  <c r="E115" i="37"/>
  <c r="G115" i="37" s="1"/>
  <c r="I115" i="37" s="1"/>
  <c r="F121" i="34" s="1"/>
  <c r="F115" i="12" s="1"/>
  <c r="E119" i="37"/>
  <c r="G119" i="37" s="1"/>
  <c r="I119" i="37" s="1"/>
  <c r="F125" i="34" s="1"/>
  <c r="F119" i="12" s="1"/>
  <c r="E123" i="37"/>
  <c r="G123" i="37" s="1"/>
  <c r="I123" i="37" s="1"/>
  <c r="F129" i="34" s="1"/>
  <c r="F123" i="12" s="1"/>
  <c r="E127" i="37"/>
  <c r="G127" i="37" s="1"/>
  <c r="I127" i="37" s="1"/>
  <c r="F133" i="34" s="1"/>
  <c r="F127" i="12" s="1"/>
  <c r="E131" i="37"/>
  <c r="G131" i="37" s="1"/>
  <c r="I131" i="37" s="1"/>
  <c r="F137" i="34" s="1"/>
  <c r="F131" i="12" s="1"/>
  <c r="E135" i="37"/>
  <c r="G135" i="37" s="1"/>
  <c r="I135" i="37" s="1"/>
  <c r="F141" i="34" s="1"/>
  <c r="F135" i="12" s="1"/>
  <c r="E139" i="37"/>
  <c r="G139" i="37" s="1"/>
  <c r="I139" i="37" s="1"/>
  <c r="F145" i="34" s="1"/>
  <c r="F139" i="12" s="1"/>
  <c r="E143" i="37"/>
  <c r="G143" i="37" s="1"/>
  <c r="I143" i="37" s="1"/>
  <c r="F149" i="34" s="1"/>
  <c r="F143" i="12" s="1"/>
  <c r="E147" i="37"/>
  <c r="G147" i="37" s="1"/>
  <c r="I147" i="37" s="1"/>
  <c r="F153" i="34" s="1"/>
  <c r="F147" i="12" s="1"/>
  <c r="E151" i="37"/>
  <c r="G151" i="37" s="1"/>
  <c r="I151" i="37" s="1"/>
  <c r="F157" i="34" s="1"/>
  <c r="F151" i="12" s="1"/>
  <c r="E155" i="37"/>
  <c r="G155" i="37" s="1"/>
  <c r="I155" i="37" s="1"/>
  <c r="F161" i="34" s="1"/>
  <c r="F155" i="12" s="1"/>
  <c r="E160" i="37"/>
  <c r="G160" i="37" s="1"/>
  <c r="I160" i="37" s="1"/>
  <c r="F166" i="34" s="1"/>
  <c r="F160" i="12" s="1"/>
  <c r="E263" i="37"/>
  <c r="G263" i="37" s="1"/>
  <c r="I263" i="37" s="1"/>
  <c r="F269" i="34" s="1"/>
  <c r="F263" i="12" s="1"/>
  <c r="E273" i="37"/>
  <c r="G273" i="37" s="1"/>
  <c r="I273" i="37" s="1"/>
  <c r="F279" i="34" s="1"/>
  <c r="F273" i="12" s="1"/>
  <c r="E277" i="37"/>
  <c r="G277" i="37" s="1"/>
  <c r="I277" i="37" s="1"/>
  <c r="F283" i="34" s="1"/>
  <c r="F277" i="12" s="1"/>
  <c r="E281" i="37"/>
  <c r="G281" i="37" s="1"/>
  <c r="I281" i="37" s="1"/>
  <c r="F287" i="34" s="1"/>
  <c r="F281" i="12" s="1"/>
  <c r="E285" i="37"/>
  <c r="G285" i="37" s="1"/>
  <c r="I285" i="37" s="1"/>
  <c r="F291" i="34" s="1"/>
  <c r="F285" i="12" s="1"/>
  <c r="E289" i="37"/>
  <c r="G289" i="37" s="1"/>
  <c r="I289" i="37" s="1"/>
  <c r="F295" i="34" s="1"/>
  <c r="F289" i="12" s="1"/>
  <c r="E293" i="37"/>
  <c r="G293" i="37" s="1"/>
  <c r="I293" i="37" s="1"/>
  <c r="F299" i="34" s="1"/>
  <c r="F293" i="12" s="1"/>
  <c r="E297" i="37"/>
  <c r="G297" i="37" s="1"/>
  <c r="I297" i="37" s="1"/>
  <c r="F303" i="34" s="1"/>
  <c r="F297" i="12" s="1"/>
  <c r="E301" i="37"/>
  <c r="G301" i="37" s="1"/>
  <c r="I301" i="37" s="1"/>
  <c r="F307" i="34" s="1"/>
  <c r="F301" i="12" s="1"/>
  <c r="E305" i="37"/>
  <c r="G305" i="37" s="1"/>
  <c r="I305" i="37" s="1"/>
  <c r="F311" i="34" s="1"/>
  <c r="F305" i="12" s="1"/>
  <c r="E17" i="37"/>
  <c r="G17" i="37" s="1"/>
  <c r="I17" i="37" s="1"/>
  <c r="F23" i="34" s="1"/>
  <c r="F17" i="12" s="1"/>
  <c r="E21" i="37"/>
  <c r="G21" i="37" s="1"/>
  <c r="I21" i="37" s="1"/>
  <c r="F27" i="34" s="1"/>
  <c r="F21" i="12" s="1"/>
  <c r="E25" i="37"/>
  <c r="G25" i="37" s="1"/>
  <c r="I25" i="37" s="1"/>
  <c r="F31" i="34" s="1"/>
  <c r="F25" i="12" s="1"/>
  <c r="E29" i="37"/>
  <c r="G29" i="37" s="1"/>
  <c r="I29" i="37" s="1"/>
  <c r="F35" i="34" s="1"/>
  <c r="F29" i="12" s="1"/>
  <c r="E33" i="37"/>
  <c r="G33" i="37" s="1"/>
  <c r="I33" i="37" s="1"/>
  <c r="F39" i="34" s="1"/>
  <c r="F33" i="12" s="1"/>
  <c r="E37" i="37"/>
  <c r="G37" i="37" s="1"/>
  <c r="I37" i="37" s="1"/>
  <c r="F43" i="34" s="1"/>
  <c r="F37" i="12" s="1"/>
  <c r="E41" i="37"/>
  <c r="G41" i="37" s="1"/>
  <c r="I41" i="37" s="1"/>
  <c r="F47" i="34" s="1"/>
  <c r="F41" i="12" s="1"/>
  <c r="E45" i="37"/>
  <c r="G45" i="37" s="1"/>
  <c r="I45" i="37" s="1"/>
  <c r="F51" i="34" s="1"/>
  <c r="F45" i="12" s="1"/>
  <c r="E49" i="37"/>
  <c r="G49" i="37" s="1"/>
  <c r="I49" i="37" s="1"/>
  <c r="F55" i="34" s="1"/>
  <c r="F49" i="12" s="1"/>
  <c r="E53" i="37"/>
  <c r="G53" i="37" s="1"/>
  <c r="I53" i="37" s="1"/>
  <c r="F59" i="34" s="1"/>
  <c r="F53" i="12" s="1"/>
  <c r="E57" i="37"/>
  <c r="G57" i="37" s="1"/>
  <c r="I57" i="37" s="1"/>
  <c r="F63" i="34" s="1"/>
  <c r="F57" i="12" s="1"/>
  <c r="E61" i="37"/>
  <c r="G61" i="37" s="1"/>
  <c r="I61" i="37" s="1"/>
  <c r="F67" i="34" s="1"/>
  <c r="F61" i="12" s="1"/>
  <c r="E65" i="37"/>
  <c r="G65" i="37" s="1"/>
  <c r="I65" i="37" s="1"/>
  <c r="F71" i="34" s="1"/>
  <c r="F65" i="12" s="1"/>
  <c r="E78" i="37"/>
  <c r="G78" i="37" s="1"/>
  <c r="I78" i="37" s="1"/>
  <c r="F84" i="34" s="1"/>
  <c r="F78" i="12" s="1"/>
  <c r="E82" i="37"/>
  <c r="G82" i="37" s="1"/>
  <c r="I82" i="37" s="1"/>
  <c r="F88" i="34" s="1"/>
  <c r="F82" i="12" s="1"/>
  <c r="E165" i="37"/>
  <c r="G165" i="37" s="1"/>
  <c r="I165" i="37" s="1"/>
  <c r="F171" i="34" s="1"/>
  <c r="F165" i="12" s="1"/>
  <c r="E169" i="37"/>
  <c r="G169" i="37" s="1"/>
  <c r="I169" i="37" s="1"/>
  <c r="F175" i="34" s="1"/>
  <c r="F169" i="12" s="1"/>
  <c r="E173" i="37"/>
  <c r="G173" i="37" s="1"/>
  <c r="I173" i="37" s="1"/>
  <c r="F179" i="34" s="1"/>
  <c r="F173" i="12" s="1"/>
  <c r="E177" i="37"/>
  <c r="G177" i="37" s="1"/>
  <c r="I177" i="37" s="1"/>
  <c r="F183" i="34" s="1"/>
  <c r="F177" i="12" s="1"/>
  <c r="E181" i="37"/>
  <c r="G181" i="37" s="1"/>
  <c r="I181" i="37" s="1"/>
  <c r="F187" i="34" s="1"/>
  <c r="F181" i="12" s="1"/>
  <c r="E185" i="37"/>
  <c r="G185" i="37" s="1"/>
  <c r="I185" i="37" s="1"/>
  <c r="F191" i="34" s="1"/>
  <c r="F185" i="12" s="1"/>
  <c r="E189" i="37"/>
  <c r="G189" i="37" s="1"/>
  <c r="I189" i="37" s="1"/>
  <c r="F195" i="34" s="1"/>
  <c r="F189" i="12" s="1"/>
  <c r="E193" i="37"/>
  <c r="G193" i="37" s="1"/>
  <c r="I193" i="37" s="1"/>
  <c r="F199" i="34" s="1"/>
  <c r="F193" i="12" s="1"/>
  <c r="E197" i="37"/>
  <c r="G197" i="37" s="1"/>
  <c r="I197" i="37" s="1"/>
  <c r="F203" i="34" s="1"/>
  <c r="F197" i="12" s="1"/>
  <c r="E201" i="37"/>
  <c r="G201" i="37" s="1"/>
  <c r="I201" i="37" s="1"/>
  <c r="F207" i="34" s="1"/>
  <c r="F201" i="12" s="1"/>
  <c r="E205" i="37"/>
  <c r="G205" i="37" s="1"/>
  <c r="I205" i="37" s="1"/>
  <c r="F211" i="34" s="1"/>
  <c r="F205" i="12" s="1"/>
  <c r="E209" i="37"/>
  <c r="G209" i="37" s="1"/>
  <c r="I209" i="37" s="1"/>
  <c r="F215" i="34" s="1"/>
  <c r="F209" i="12" s="1"/>
  <c r="E213" i="37"/>
  <c r="G213" i="37" s="1"/>
  <c r="I213" i="37" s="1"/>
  <c r="F219" i="34" s="1"/>
  <c r="F213" i="12" s="1"/>
  <c r="E217" i="37"/>
  <c r="G217" i="37" s="1"/>
  <c r="I217" i="37" s="1"/>
  <c r="F223" i="34" s="1"/>
  <c r="F217" i="12" s="1"/>
  <c r="E221" i="37"/>
  <c r="G221" i="37" s="1"/>
  <c r="I221" i="37" s="1"/>
  <c r="F227" i="34" s="1"/>
  <c r="F221" i="12" s="1"/>
  <c r="E225" i="37"/>
  <c r="G225" i="37" s="1"/>
  <c r="I225" i="37" s="1"/>
  <c r="F231" i="34" s="1"/>
  <c r="F225" i="12" s="1"/>
  <c r="E229" i="37"/>
  <c r="G229" i="37" s="1"/>
  <c r="I229" i="37" s="1"/>
  <c r="F235" i="34" s="1"/>
  <c r="F229" i="12" s="1"/>
  <c r="E233" i="37"/>
  <c r="G233" i="37" s="1"/>
  <c r="I233" i="37" s="1"/>
  <c r="F239" i="34" s="1"/>
  <c r="F233" i="12" s="1"/>
  <c r="E237" i="37"/>
  <c r="G237" i="37" s="1"/>
  <c r="I237" i="37" s="1"/>
  <c r="F243" i="34" s="1"/>
  <c r="F237" i="12" s="1"/>
  <c r="E241" i="37"/>
  <c r="G241" i="37" s="1"/>
  <c r="I241" i="37" s="1"/>
  <c r="F247" i="34" s="1"/>
  <c r="F241" i="12" s="1"/>
  <c r="E245" i="37"/>
  <c r="G245" i="37" s="1"/>
  <c r="I245" i="37" s="1"/>
  <c r="F251" i="34" s="1"/>
  <c r="F245" i="12" s="1"/>
  <c r="E249" i="37"/>
  <c r="G249" i="37" s="1"/>
  <c r="I249" i="37" s="1"/>
  <c r="F255" i="34" s="1"/>
  <c r="F249" i="12" s="1"/>
  <c r="E253" i="37"/>
  <c r="G253" i="37" s="1"/>
  <c r="I253" i="37" s="1"/>
  <c r="F259" i="34" s="1"/>
  <c r="F253" i="12" s="1"/>
  <c r="E257" i="37"/>
  <c r="G257" i="37" s="1"/>
  <c r="I257" i="37" s="1"/>
  <c r="F263" i="34" s="1"/>
  <c r="F257" i="12" s="1"/>
  <c r="E262" i="37"/>
  <c r="G262" i="37" s="1"/>
  <c r="I262" i="37" s="1"/>
  <c r="F268" i="34" s="1"/>
  <c r="F262" i="12" s="1"/>
  <c r="E69" i="37"/>
  <c r="G69" i="37" s="1"/>
  <c r="I69" i="37" s="1"/>
  <c r="F75" i="34" s="1"/>
  <c r="F69" i="12" s="1"/>
  <c r="E73" i="37"/>
  <c r="G73" i="37" s="1"/>
  <c r="I73" i="37" s="1"/>
  <c r="F79" i="34" s="1"/>
  <c r="F73" i="12" s="1"/>
  <c r="E86" i="37"/>
  <c r="G86" i="37" s="1"/>
  <c r="I86" i="37" s="1"/>
  <c r="F92" i="34" s="1"/>
  <c r="F86" i="12" s="1"/>
  <c r="E90" i="37"/>
  <c r="G90" i="37" s="1"/>
  <c r="I90" i="37" s="1"/>
  <c r="F96" i="34" s="1"/>
  <c r="F90" i="12" s="1"/>
  <c r="E159" i="37"/>
  <c r="G159" i="37" s="1"/>
  <c r="I159" i="37" s="1"/>
  <c r="F165" i="34" s="1"/>
  <c r="F159" i="12" s="1"/>
  <c r="E267" i="37"/>
  <c r="G267" i="37" s="1"/>
  <c r="I267" i="37" s="1"/>
  <c r="F273" i="34" s="1"/>
  <c r="F267" i="12" s="1"/>
  <c r="E77" i="37"/>
  <c r="G77" i="37" s="1"/>
  <c r="I77" i="37" s="1"/>
  <c r="F83" i="34" s="1"/>
  <c r="F77" i="12" s="1"/>
  <c r="E81" i="37"/>
  <c r="G81" i="37" s="1"/>
  <c r="I81" i="37" s="1"/>
  <c r="F87" i="34" s="1"/>
  <c r="F81" i="12" s="1"/>
  <c r="E93" i="37"/>
  <c r="G93" i="37" s="1"/>
  <c r="I93" i="37" s="1"/>
  <c r="F99" i="34" s="1"/>
  <c r="F93" i="12" s="1"/>
  <c r="E97" i="37"/>
  <c r="G97" i="37" s="1"/>
  <c r="I97" i="37" s="1"/>
  <c r="F103" i="34" s="1"/>
  <c r="F97" i="12" s="1"/>
  <c r="E101" i="37"/>
  <c r="G101" i="37" s="1"/>
  <c r="I101" i="37" s="1"/>
  <c r="F107" i="34" s="1"/>
  <c r="F101" i="12" s="1"/>
  <c r="E105" i="37"/>
  <c r="G105" i="37" s="1"/>
  <c r="I105" i="37" s="1"/>
  <c r="F111" i="34" s="1"/>
  <c r="F105" i="12" s="1"/>
  <c r="E109" i="37"/>
  <c r="G109" i="37" s="1"/>
  <c r="I109" i="37" s="1"/>
  <c r="F115" i="34" s="1"/>
  <c r="F109" i="12" s="1"/>
  <c r="E113" i="37"/>
  <c r="G113" i="37" s="1"/>
  <c r="I113" i="37" s="1"/>
  <c r="F119" i="34" s="1"/>
  <c r="F113" i="12" s="1"/>
  <c r="E117" i="37"/>
  <c r="G117" i="37" s="1"/>
  <c r="I117" i="37" s="1"/>
  <c r="F123" i="34" s="1"/>
  <c r="F117" i="12" s="1"/>
  <c r="E121" i="37"/>
  <c r="G121" i="37" s="1"/>
  <c r="I121" i="37" s="1"/>
  <c r="F127" i="34" s="1"/>
  <c r="F121" i="12" s="1"/>
  <c r="E125" i="37"/>
  <c r="G125" i="37" s="1"/>
  <c r="I125" i="37" s="1"/>
  <c r="F131" i="34" s="1"/>
  <c r="F125" i="12" s="1"/>
  <c r="E129" i="37"/>
  <c r="G129" i="37" s="1"/>
  <c r="I129" i="37" s="1"/>
  <c r="F135" i="34" s="1"/>
  <c r="F129" i="12" s="1"/>
  <c r="E133" i="37"/>
  <c r="G133" i="37" s="1"/>
  <c r="I133" i="37" s="1"/>
  <c r="F139" i="34" s="1"/>
  <c r="F133" i="12" s="1"/>
  <c r="E137" i="37"/>
  <c r="G137" i="37" s="1"/>
  <c r="I137" i="37" s="1"/>
  <c r="F143" i="34" s="1"/>
  <c r="F137" i="12" s="1"/>
  <c r="E145" i="37"/>
  <c r="G145" i="37" s="1"/>
  <c r="I145" i="37" s="1"/>
  <c r="F151" i="34" s="1"/>
  <c r="F145" i="12" s="1"/>
  <c r="E153" i="37"/>
  <c r="G153" i="37" s="1"/>
  <c r="I153" i="37" s="1"/>
  <c r="F159" i="34" s="1"/>
  <c r="F153" i="12" s="1"/>
  <c r="E261" i="37"/>
  <c r="G261" i="37" s="1"/>
  <c r="I261" i="37" s="1"/>
  <c r="F267" i="34" s="1"/>
  <c r="F261" i="12" s="1"/>
  <c r="E266" i="37"/>
  <c r="G266" i="37" s="1"/>
  <c r="I266" i="37" s="1"/>
  <c r="F272" i="34" s="1"/>
  <c r="F266" i="12" s="1"/>
  <c r="E85" i="37"/>
  <c r="G85" i="37" s="1"/>
  <c r="I85" i="37" s="1"/>
  <c r="F91" i="34" s="1"/>
  <c r="F85" i="12" s="1"/>
  <c r="E89" i="37"/>
  <c r="G89" i="37" s="1"/>
  <c r="I89" i="37" s="1"/>
  <c r="F95" i="34" s="1"/>
  <c r="F89" i="12" s="1"/>
  <c r="E141" i="37"/>
  <c r="G141" i="37" s="1"/>
  <c r="I141" i="37" s="1"/>
  <c r="F147" i="34" s="1"/>
  <c r="F141" i="12" s="1"/>
  <c r="E149" i="37"/>
  <c r="G149" i="37" s="1"/>
  <c r="I149" i="37" s="1"/>
  <c r="F155" i="34" s="1"/>
  <c r="F149" i="12" s="1"/>
  <c r="E163" i="37"/>
  <c r="G163" i="37" s="1"/>
  <c r="I163" i="37" s="1"/>
  <c r="F169" i="34" s="1"/>
  <c r="F163" i="12" s="1"/>
  <c r="E167" i="37"/>
  <c r="G167" i="37" s="1"/>
  <c r="I167" i="37" s="1"/>
  <c r="F173" i="34" s="1"/>
  <c r="F167" i="12" s="1"/>
  <c r="E171" i="37"/>
  <c r="G171" i="37" s="1"/>
  <c r="I171" i="37" s="1"/>
  <c r="F177" i="34" s="1"/>
  <c r="F171" i="12" s="1"/>
  <c r="E175" i="37"/>
  <c r="G175" i="37" s="1"/>
  <c r="I175" i="37" s="1"/>
  <c r="F181" i="34" s="1"/>
  <c r="F175" i="12" s="1"/>
  <c r="E179" i="37"/>
  <c r="G179" i="37" s="1"/>
  <c r="I179" i="37" s="1"/>
  <c r="F185" i="34" s="1"/>
  <c r="F179" i="12" s="1"/>
  <c r="E183" i="37"/>
  <c r="G183" i="37" s="1"/>
  <c r="I183" i="37" s="1"/>
  <c r="F189" i="34" s="1"/>
  <c r="F183" i="12" s="1"/>
  <c r="E187" i="37"/>
  <c r="G187" i="37" s="1"/>
  <c r="I187" i="37" s="1"/>
  <c r="F193" i="34" s="1"/>
  <c r="F187" i="12" s="1"/>
  <c r="E191" i="37"/>
  <c r="G191" i="37" s="1"/>
  <c r="I191" i="37" s="1"/>
  <c r="F197" i="34" s="1"/>
  <c r="F191" i="12" s="1"/>
  <c r="E195" i="37"/>
  <c r="G195" i="37" s="1"/>
  <c r="I195" i="37" s="1"/>
  <c r="F201" i="34" s="1"/>
  <c r="F195" i="12" s="1"/>
  <c r="E199" i="37"/>
  <c r="G199" i="37" s="1"/>
  <c r="I199" i="37" s="1"/>
  <c r="F205" i="34" s="1"/>
  <c r="F199" i="12" s="1"/>
  <c r="E203" i="37"/>
  <c r="G203" i="37" s="1"/>
  <c r="I203" i="37" s="1"/>
  <c r="F209" i="34" s="1"/>
  <c r="F203" i="12" s="1"/>
  <c r="E207" i="37"/>
  <c r="G207" i="37" s="1"/>
  <c r="I207" i="37" s="1"/>
  <c r="F213" i="34" s="1"/>
  <c r="F207" i="12" s="1"/>
  <c r="E211" i="37"/>
  <c r="G211" i="37" s="1"/>
  <c r="I211" i="37" s="1"/>
  <c r="F217" i="34" s="1"/>
  <c r="F211" i="12" s="1"/>
  <c r="E215" i="37"/>
  <c r="G215" i="37" s="1"/>
  <c r="I215" i="37" s="1"/>
  <c r="F221" i="34" s="1"/>
  <c r="F215" i="12" s="1"/>
  <c r="E219" i="37"/>
  <c r="G219" i="37" s="1"/>
  <c r="I219" i="37" s="1"/>
  <c r="F225" i="34" s="1"/>
  <c r="F219" i="12" s="1"/>
  <c r="E223" i="37"/>
  <c r="G223" i="37" s="1"/>
  <c r="I223" i="37" s="1"/>
  <c r="F229" i="34" s="1"/>
  <c r="F223" i="12" s="1"/>
  <c r="E227" i="37"/>
  <c r="G227" i="37" s="1"/>
  <c r="I227" i="37" s="1"/>
  <c r="F233" i="34" s="1"/>
  <c r="F227" i="12" s="1"/>
  <c r="E231" i="37"/>
  <c r="G231" i="37" s="1"/>
  <c r="I231" i="37" s="1"/>
  <c r="F237" i="34" s="1"/>
  <c r="F231" i="12" s="1"/>
  <c r="E235" i="37"/>
  <c r="G235" i="37" s="1"/>
  <c r="I235" i="37" s="1"/>
  <c r="F241" i="34" s="1"/>
  <c r="F235" i="12" s="1"/>
  <c r="E239" i="37"/>
  <c r="G239" i="37" s="1"/>
  <c r="I239" i="37" s="1"/>
  <c r="F245" i="34" s="1"/>
  <c r="F239" i="12" s="1"/>
  <c r="E243" i="37"/>
  <c r="G243" i="37" s="1"/>
  <c r="I243" i="37" s="1"/>
  <c r="F249" i="34" s="1"/>
  <c r="F243" i="12" s="1"/>
  <c r="E247" i="37"/>
  <c r="G247" i="37" s="1"/>
  <c r="I247" i="37" s="1"/>
  <c r="F253" i="34" s="1"/>
  <c r="F247" i="12" s="1"/>
  <c r="E271" i="37"/>
  <c r="G271" i="37" s="1"/>
  <c r="I271" i="37" s="1"/>
  <c r="F277" i="34" s="1"/>
  <c r="F271" i="12" s="1"/>
  <c r="E275" i="37"/>
  <c r="G275" i="37" s="1"/>
  <c r="I275" i="37" s="1"/>
  <c r="F281" i="34" s="1"/>
  <c r="F275" i="12" s="1"/>
  <c r="E279" i="37"/>
  <c r="G279" i="37" s="1"/>
  <c r="I279" i="37" s="1"/>
  <c r="F285" i="34" s="1"/>
  <c r="F279" i="12" s="1"/>
  <c r="E283" i="37"/>
  <c r="G283" i="37" s="1"/>
  <c r="I283" i="37" s="1"/>
  <c r="F289" i="34" s="1"/>
  <c r="F283" i="12" s="1"/>
  <c r="E287" i="37"/>
  <c r="G287" i="37" s="1"/>
  <c r="I287" i="37" s="1"/>
  <c r="F293" i="34" s="1"/>
  <c r="F287" i="12" s="1"/>
  <c r="E291" i="37"/>
  <c r="G291" i="37" s="1"/>
  <c r="I291" i="37" s="1"/>
  <c r="F297" i="34" s="1"/>
  <c r="F291" i="12" s="1"/>
  <c r="E295" i="37"/>
  <c r="G295" i="37" s="1"/>
  <c r="I295" i="37" s="1"/>
  <c r="F301" i="34" s="1"/>
  <c r="F295" i="12" s="1"/>
  <c r="E299" i="37"/>
  <c r="G299" i="37" s="1"/>
  <c r="I299" i="37" s="1"/>
  <c r="F305" i="34" s="1"/>
  <c r="F299" i="12" s="1"/>
  <c r="E303" i="37"/>
  <c r="G303" i="37" s="1"/>
  <c r="I303" i="37" s="1"/>
  <c r="F309" i="34" s="1"/>
  <c r="F303" i="12" s="1"/>
  <c r="E75" i="37"/>
  <c r="G75" i="37" s="1"/>
  <c r="I75" i="37" s="1"/>
  <c r="F81" i="34" s="1"/>
  <c r="F75" i="12" s="1"/>
  <c r="E156" i="37"/>
  <c r="G156" i="37" s="1"/>
  <c r="I156" i="37" s="1"/>
  <c r="F162" i="34" s="1"/>
  <c r="F156" i="12" s="1"/>
  <c r="E259" i="37"/>
  <c r="G259" i="37" s="1"/>
  <c r="I259" i="37" s="1"/>
  <c r="F265" i="34" s="1"/>
  <c r="F259" i="12" s="1"/>
  <c r="E18" i="37"/>
  <c r="G18" i="37" s="1"/>
  <c r="I18" i="37" s="1"/>
  <c r="F24" i="34" s="1"/>
  <c r="F18" i="12" s="1"/>
  <c r="E50" i="37"/>
  <c r="G50" i="37" s="1"/>
  <c r="I50" i="37" s="1"/>
  <c r="F56" i="34" s="1"/>
  <c r="F50" i="12" s="1"/>
  <c r="E22" i="37"/>
  <c r="G22" i="37" s="1"/>
  <c r="I22" i="37" s="1"/>
  <c r="F28" i="34" s="1"/>
  <c r="F22" i="12" s="1"/>
  <c r="E54" i="37"/>
  <c r="G54" i="37" s="1"/>
  <c r="I54" i="37" s="1"/>
  <c r="F60" i="34" s="1"/>
  <c r="F54" i="12" s="1"/>
  <c r="E67" i="37"/>
  <c r="G67" i="37" s="1"/>
  <c r="I67" i="37" s="1"/>
  <c r="F73" i="34" s="1"/>
  <c r="F67" i="12" s="1"/>
  <c r="E26" i="37"/>
  <c r="G26" i="37" s="1"/>
  <c r="I26" i="37" s="1"/>
  <c r="F32" i="34" s="1"/>
  <c r="F26" i="12" s="1"/>
  <c r="E58" i="37"/>
  <c r="G58" i="37" s="1"/>
  <c r="I58" i="37" s="1"/>
  <c r="F64" i="34" s="1"/>
  <c r="F58" i="12" s="1"/>
  <c r="E83" i="37"/>
  <c r="G83" i="37" s="1"/>
  <c r="I83" i="37" s="1"/>
  <c r="F89" i="34" s="1"/>
  <c r="F83" i="12" s="1"/>
  <c r="E157" i="37"/>
  <c r="G157" i="37" s="1"/>
  <c r="I157" i="37" s="1"/>
  <c r="F163" i="34" s="1"/>
  <c r="F157" i="12" s="1"/>
  <c r="E30" i="37"/>
  <c r="G30" i="37" s="1"/>
  <c r="I30" i="37" s="1"/>
  <c r="F36" i="34" s="1"/>
  <c r="F30" i="12" s="1"/>
  <c r="E62" i="37"/>
  <c r="G62" i="37" s="1"/>
  <c r="I62" i="37" s="1"/>
  <c r="F68" i="34" s="1"/>
  <c r="F62" i="12" s="1"/>
  <c r="E270" i="37"/>
  <c r="G270" i="37" s="1"/>
  <c r="I270" i="37" s="1"/>
  <c r="F276" i="34" s="1"/>
  <c r="F270" i="12" s="1"/>
  <c r="E34" i="37"/>
  <c r="G34" i="37" s="1"/>
  <c r="I34" i="37" s="1"/>
  <c r="F40" i="34" s="1"/>
  <c r="F34" i="12" s="1"/>
  <c r="E66" i="37"/>
  <c r="G66" i="37" s="1"/>
  <c r="I66" i="37" s="1"/>
  <c r="F72" i="34" s="1"/>
  <c r="F66" i="12" s="1"/>
  <c r="E265" i="37"/>
  <c r="G265" i="37" s="1"/>
  <c r="I265" i="37" s="1"/>
  <c r="F271" i="34" s="1"/>
  <c r="F265" i="12" s="1"/>
  <c r="E42" i="37"/>
  <c r="G42" i="37" s="1"/>
  <c r="I42" i="37" s="1"/>
  <c r="F48" i="34" s="1"/>
  <c r="F42" i="12" s="1"/>
  <c r="E161" i="37"/>
  <c r="G161" i="37" s="1"/>
  <c r="I161" i="37" s="1"/>
  <c r="F167" i="34" s="1"/>
  <c r="F161" i="12" s="1"/>
  <c r="E269" i="37"/>
  <c r="G269" i="37" s="1"/>
  <c r="I269" i="37" s="1"/>
  <c r="F275" i="34" s="1"/>
  <c r="F269" i="12" s="1"/>
  <c r="E38" i="37"/>
  <c r="G38" i="37" s="1"/>
  <c r="I38" i="37" s="1"/>
  <c r="F44" i="34" s="1"/>
  <c r="F38" i="12" s="1"/>
  <c r="E46" i="37"/>
  <c r="G46" i="37" s="1"/>
  <c r="I46" i="37" s="1"/>
  <c r="F52" i="34" s="1"/>
  <c r="F46" i="12" s="1"/>
  <c r="E258" i="37"/>
  <c r="G258" i="37" s="1"/>
  <c r="I258" i="37" s="1"/>
  <c r="F264" i="34" s="1"/>
  <c r="F258" i="12" s="1"/>
  <c r="E226" i="37"/>
  <c r="G226" i="37" s="1"/>
  <c r="I226" i="37" s="1"/>
  <c r="F232" i="34" s="1"/>
  <c r="F226" i="12" s="1"/>
  <c r="E102" i="37"/>
  <c r="G102" i="37" s="1"/>
  <c r="I102" i="37" s="1"/>
  <c r="F108" i="34" s="1"/>
  <c r="F102" i="12" s="1"/>
  <c r="E51" i="37"/>
  <c r="G51" i="37" s="1"/>
  <c r="I51" i="37" s="1"/>
  <c r="F57" i="34" s="1"/>
  <c r="F51" i="12" s="1"/>
  <c r="E112" i="37"/>
  <c r="G112" i="37" s="1"/>
  <c r="I112" i="37" s="1"/>
  <c r="F118" i="34" s="1"/>
  <c r="F112" i="12" s="1"/>
  <c r="E246" i="37"/>
  <c r="G246" i="37" s="1"/>
  <c r="I246" i="37" s="1"/>
  <c r="F252" i="34" s="1"/>
  <c r="F246" i="12" s="1"/>
  <c r="E294" i="37"/>
  <c r="G294" i="37" s="1"/>
  <c r="I294" i="37" s="1"/>
  <c r="F300" i="34" s="1"/>
  <c r="F294" i="12" s="1"/>
  <c r="E144" i="37"/>
  <c r="G144" i="37" s="1"/>
  <c r="I144" i="37" s="1"/>
  <c r="F150" i="34" s="1"/>
  <c r="F144" i="12" s="1"/>
  <c r="E218" i="37"/>
  <c r="G218" i="37" s="1"/>
  <c r="I218" i="37" s="1"/>
  <c r="F224" i="34" s="1"/>
  <c r="F218" i="12" s="1"/>
  <c r="E176" i="37"/>
  <c r="G176" i="37" s="1"/>
  <c r="I176" i="37" s="1"/>
  <c r="F182" i="34" s="1"/>
  <c r="F176" i="12" s="1"/>
  <c r="E250" i="37"/>
  <c r="G250" i="37" s="1"/>
  <c r="I250" i="37" s="1"/>
  <c r="F256" i="34" s="1"/>
  <c r="F250" i="12" s="1"/>
  <c r="E59" i="37"/>
  <c r="G59" i="37" s="1"/>
  <c r="I59" i="37" s="1"/>
  <c r="F65" i="34" s="1"/>
  <c r="F59" i="12" s="1"/>
  <c r="E136" i="37"/>
  <c r="G136" i="37" s="1"/>
  <c r="I136" i="37" s="1"/>
  <c r="F142" i="34" s="1"/>
  <c r="F136" i="12" s="1"/>
  <c r="E230" i="37"/>
  <c r="G230" i="37" s="1"/>
  <c r="I230" i="37" s="1"/>
  <c r="F236" i="34" s="1"/>
  <c r="F230" i="12" s="1"/>
  <c r="E184" i="37"/>
  <c r="G184" i="37" s="1"/>
  <c r="I184" i="37" s="1"/>
  <c r="F190" i="34" s="1"/>
  <c r="F184" i="12" s="1"/>
  <c r="E238" i="37"/>
  <c r="G238" i="37" s="1"/>
  <c r="I238" i="37" s="1"/>
  <c r="F244" i="34" s="1"/>
  <c r="F238" i="12" s="1"/>
  <c r="E15" i="37"/>
  <c r="G15" i="37" s="1"/>
  <c r="I15" i="37" s="1"/>
  <c r="F21" i="34" s="1"/>
  <c r="F15" i="12" s="1"/>
  <c r="E234" i="37"/>
  <c r="G234" i="37" s="1"/>
  <c r="I234" i="37" s="1"/>
  <c r="F240" i="34" s="1"/>
  <c r="F234" i="12" s="1"/>
  <c r="E19" i="37"/>
  <c r="G19" i="37" s="1"/>
  <c r="I19" i="37" s="1"/>
  <c r="F25" i="34" s="1"/>
  <c r="F19" i="12" s="1"/>
  <c r="E276" i="37"/>
  <c r="G276" i="37" s="1"/>
  <c r="I276" i="37" s="1"/>
  <c r="F282" i="34" s="1"/>
  <c r="F276" i="12" s="1"/>
  <c r="E27" i="37"/>
  <c r="G27" i="37" s="1"/>
  <c r="I27" i="37" s="1"/>
  <c r="F33" i="34" s="1"/>
  <c r="F27" i="12" s="1"/>
  <c r="E110" i="37"/>
  <c r="G110" i="37" s="1"/>
  <c r="I110" i="37" s="1"/>
  <c r="F116" i="34" s="1"/>
  <c r="F110" i="12" s="1"/>
  <c r="E296" i="37"/>
  <c r="G296" i="37" s="1"/>
  <c r="I296" i="37" s="1"/>
  <c r="F302" i="34" s="1"/>
  <c r="F296" i="12" s="1"/>
  <c r="E168" i="37"/>
  <c r="G168" i="37" s="1"/>
  <c r="I168" i="37" s="1"/>
  <c r="F174" i="34" s="1"/>
  <c r="F168" i="12" s="1"/>
  <c r="E292" i="37"/>
  <c r="G292" i="37" s="1"/>
  <c r="I292" i="37" s="1"/>
  <c r="F298" i="34" s="1"/>
  <c r="F292" i="12" s="1"/>
  <c r="E43" i="37"/>
  <c r="G43" i="37" s="1"/>
  <c r="I43" i="37" s="1"/>
  <c r="F49" i="34" s="1"/>
  <c r="F43" i="12" s="1"/>
  <c r="E284" i="37"/>
  <c r="G284" i="37" s="1"/>
  <c r="I284" i="37" s="1"/>
  <c r="F290" i="34" s="1"/>
  <c r="F284" i="12" s="1"/>
  <c r="E152" i="37"/>
  <c r="G152" i="37" s="1"/>
  <c r="I152" i="37" s="1"/>
  <c r="F158" i="34" s="1"/>
  <c r="F152" i="12" s="1"/>
  <c r="E35" i="37"/>
  <c r="G35" i="37" s="1"/>
  <c r="I35" i="37" s="1"/>
  <c r="F41" i="34" s="1"/>
  <c r="F35" i="12" s="1"/>
  <c r="E11" i="37"/>
  <c r="G11" i="37" s="1"/>
  <c r="I11" i="37" s="1"/>
  <c r="F17" i="34" s="1"/>
  <c r="F11" i="12" s="1"/>
  <c r="E192" i="37"/>
  <c r="G192" i="37" s="1"/>
  <c r="I192" i="37" s="1"/>
  <c r="F198" i="34" s="1"/>
  <c r="F192" i="12" s="1"/>
  <c r="E128" i="37"/>
  <c r="G128" i="37" s="1"/>
  <c r="I128" i="37" s="1"/>
  <c r="F134" i="34" s="1"/>
  <c r="F128" i="12" s="1"/>
  <c r="E200" i="37"/>
  <c r="G200" i="37" s="1"/>
  <c r="I200" i="37" s="1"/>
  <c r="F206" i="34" s="1"/>
  <c r="F200" i="12" s="1"/>
  <c r="E87" i="37"/>
  <c r="G87" i="37" s="1"/>
  <c r="I87" i="37" s="1"/>
  <c r="F93" i="34" s="1"/>
  <c r="F87" i="12" s="1"/>
  <c r="E63" i="37"/>
  <c r="G63" i="37" s="1"/>
  <c r="I63" i="37" s="1"/>
  <c r="F69" i="34" s="1"/>
  <c r="F63" i="12" s="1"/>
  <c r="E210" i="37"/>
  <c r="G210" i="37" s="1"/>
  <c r="I210" i="37" s="1"/>
  <c r="F216" i="34" s="1"/>
  <c r="F210" i="12" s="1"/>
  <c r="E60" i="37"/>
  <c r="G60" i="37" s="1"/>
  <c r="I60" i="37" s="1"/>
  <c r="F66" i="34" s="1"/>
  <c r="F60" i="12" s="1"/>
  <c r="E150" i="37"/>
  <c r="G150" i="37" s="1"/>
  <c r="I150" i="37" s="1"/>
  <c r="F156" i="34" s="1"/>
  <c r="F150" i="12" s="1"/>
  <c r="E32" i="37"/>
  <c r="G32" i="37" s="1"/>
  <c r="I32" i="37" s="1"/>
  <c r="F38" i="34" s="1"/>
  <c r="F32" i="12" s="1"/>
  <c r="E278" i="37"/>
  <c r="G278" i="37" s="1"/>
  <c r="I278" i="37" s="1"/>
  <c r="F284" i="34" s="1"/>
  <c r="F278" i="12" s="1"/>
  <c r="E256" i="37"/>
  <c r="G256" i="37" s="1"/>
  <c r="I256" i="37" s="1"/>
  <c r="F262" i="34" s="1"/>
  <c r="F256" i="12" s="1"/>
  <c r="E134" i="37"/>
  <c r="G134" i="37" s="1"/>
  <c r="I134" i="37" s="1"/>
  <c r="F140" i="34" s="1"/>
  <c r="F134" i="12" s="1"/>
  <c r="E180" i="37"/>
  <c r="G180" i="37" s="1"/>
  <c r="I180" i="37" s="1"/>
  <c r="F186" i="34" s="1"/>
  <c r="F180" i="12" s="1"/>
  <c r="E300" i="37"/>
  <c r="G300" i="37" s="1"/>
  <c r="I300" i="37" s="1"/>
  <c r="F306" i="34" s="1"/>
  <c r="F300" i="12" s="1"/>
  <c r="E36" i="37"/>
  <c r="G36" i="37" s="1"/>
  <c r="I36" i="37" s="1"/>
  <c r="F42" i="34" s="1"/>
  <c r="F36" i="12" s="1"/>
  <c r="E91" i="37"/>
  <c r="G91" i="37" s="1"/>
  <c r="I91" i="37" s="1"/>
  <c r="F97" i="34" s="1"/>
  <c r="F91" i="12" s="1"/>
  <c r="E154" i="37"/>
  <c r="G154" i="37" s="1"/>
  <c r="I154" i="37" s="1"/>
  <c r="F160" i="34" s="1"/>
  <c r="F154" i="12" s="1"/>
  <c r="E126" i="37"/>
  <c r="G126" i="37" s="1"/>
  <c r="I126" i="37" s="1"/>
  <c r="F132" i="34" s="1"/>
  <c r="F126" i="12" s="1"/>
  <c r="E64" i="37"/>
  <c r="G64" i="37" s="1"/>
  <c r="I64" i="37" s="1"/>
  <c r="F70" i="34" s="1"/>
  <c r="F64" i="12" s="1"/>
  <c r="E188" i="37"/>
  <c r="G188" i="37" s="1"/>
  <c r="I188" i="37" s="1"/>
  <c r="F194" i="34" s="1"/>
  <c r="F188" i="12" s="1"/>
  <c r="E88" i="37"/>
  <c r="G88" i="37" s="1"/>
  <c r="I88" i="37" s="1"/>
  <c r="F94" i="34" s="1"/>
  <c r="F88" i="12" s="1"/>
  <c r="E23" i="37"/>
  <c r="G23" i="37" s="1"/>
  <c r="I23" i="37" s="1"/>
  <c r="F29" i="34" s="1"/>
  <c r="F23" i="12" s="1"/>
  <c r="E260" i="37"/>
  <c r="G260" i="37" s="1"/>
  <c r="I260" i="37" s="1"/>
  <c r="F266" i="34" s="1"/>
  <c r="F260" i="12" s="1"/>
  <c r="E24" i="37"/>
  <c r="G24" i="37" s="1"/>
  <c r="I24" i="37" s="1"/>
  <c r="F30" i="34" s="1"/>
  <c r="F24" i="12" s="1"/>
  <c r="E251" i="37"/>
  <c r="G251" i="37" s="1"/>
  <c r="I251" i="37" s="1"/>
  <c r="F257" i="34" s="1"/>
  <c r="F251" i="12" s="1"/>
  <c r="E190" i="37"/>
  <c r="G190" i="37" s="1"/>
  <c r="I190" i="37" s="1"/>
  <c r="F196" i="34" s="1"/>
  <c r="F190" i="12" s="1"/>
  <c r="E56" i="37"/>
  <c r="G56" i="37" s="1"/>
  <c r="I56" i="37" s="1"/>
  <c r="F62" i="34" s="1"/>
  <c r="F56" i="12" s="1"/>
  <c r="E52" i="37"/>
  <c r="G52" i="37" s="1"/>
  <c r="I52" i="37" s="1"/>
  <c r="F58" i="34" s="1"/>
  <c r="F52" i="12" s="1"/>
  <c r="E248" i="37"/>
  <c r="G248" i="37" s="1"/>
  <c r="I248" i="37" s="1"/>
  <c r="F254" i="34" s="1"/>
  <c r="F248" i="12" s="1"/>
  <c r="E208" i="37"/>
  <c r="G208" i="37" s="1"/>
  <c r="I208" i="37" s="1"/>
  <c r="F214" i="34" s="1"/>
  <c r="F208" i="12" s="1"/>
  <c r="E170" i="37"/>
  <c r="G170" i="37" s="1"/>
  <c r="I170" i="37" s="1"/>
  <c r="F176" i="34" s="1"/>
  <c r="F170" i="12" s="1"/>
  <c r="E94" i="37"/>
  <c r="G94" i="37" s="1"/>
  <c r="I94" i="37" s="1"/>
  <c r="F100" i="34" s="1"/>
  <c r="F94" i="12" s="1"/>
  <c r="E68" i="37"/>
  <c r="G68" i="37" s="1"/>
  <c r="I68" i="37" s="1"/>
  <c r="F74" i="34" s="1"/>
  <c r="F68" i="12" s="1"/>
  <c r="E158" i="37"/>
  <c r="G158" i="37" s="1"/>
  <c r="I158" i="37" s="1"/>
  <c r="F164" i="34" s="1"/>
  <c r="F158" i="12" s="1"/>
  <c r="E288" i="37"/>
  <c r="G288" i="37" s="1"/>
  <c r="I288" i="37" s="1"/>
  <c r="F294" i="34" s="1"/>
  <c r="F288" i="12" s="1"/>
  <c r="E138" i="37"/>
  <c r="G138" i="37" s="1"/>
  <c r="I138" i="37" s="1"/>
  <c r="F144" i="34" s="1"/>
  <c r="F138" i="12" s="1"/>
  <c r="E7" i="37"/>
  <c r="G7" i="37" s="1"/>
  <c r="I7" i="37" s="1"/>
  <c r="F13" i="34" s="1"/>
  <c r="F7" i="12" s="1"/>
  <c r="E274" i="37"/>
  <c r="G274" i="37" s="1"/>
  <c r="I274" i="37" s="1"/>
  <c r="F280" i="34" s="1"/>
  <c r="F274" i="12" s="1"/>
  <c r="E80" i="37"/>
  <c r="G80" i="37" s="1"/>
  <c r="I80" i="37" s="1"/>
  <c r="F86" i="34" s="1"/>
  <c r="F80" i="12" s="1"/>
  <c r="E84" i="37"/>
  <c r="G84" i="37" s="1"/>
  <c r="I84" i="37" s="1"/>
  <c r="F90" i="34" s="1"/>
  <c r="F84" i="12" s="1"/>
  <c r="E282" i="37"/>
  <c r="G282" i="37" s="1"/>
  <c r="I282" i="37" s="1"/>
  <c r="F288" i="34" s="1"/>
  <c r="F282" i="12" s="1"/>
  <c r="E71" i="37"/>
  <c r="G71" i="37" s="1"/>
  <c r="I71" i="37" s="1"/>
  <c r="F77" i="34" s="1"/>
  <c r="F71" i="12" s="1"/>
  <c r="E72" i="37"/>
  <c r="G72" i="37" s="1"/>
  <c r="I72" i="37" s="1"/>
  <c r="F78" i="34" s="1"/>
  <c r="F72" i="12" s="1"/>
  <c r="E39" i="37"/>
  <c r="G39" i="37" s="1"/>
  <c r="I39" i="37" s="1"/>
  <c r="F45" i="34" s="1"/>
  <c r="F39" i="12" s="1"/>
  <c r="E244" i="37"/>
  <c r="G244" i="37" s="1"/>
  <c r="I244" i="37" s="1"/>
  <c r="F250" i="34" s="1"/>
  <c r="F244" i="12" s="1"/>
  <c r="E164" i="37"/>
  <c r="G164" i="37" s="1"/>
  <c r="I164" i="37" s="1"/>
  <c r="F170" i="34" s="1"/>
  <c r="F164" i="12" s="1"/>
  <c r="E174" i="37"/>
  <c r="G174" i="37" s="1"/>
  <c r="I174" i="37" s="1"/>
  <c r="F180" i="34" s="1"/>
  <c r="F174" i="12" s="1"/>
  <c r="E304" i="37"/>
  <c r="G304" i="37" s="1"/>
  <c r="I304" i="37" s="1"/>
  <c r="F310" i="34" s="1"/>
  <c r="F304" i="12" s="1"/>
  <c r="E224" i="37"/>
  <c r="G224" i="37" s="1"/>
  <c r="I224" i="37" s="1"/>
  <c r="F230" i="34" s="1"/>
  <c r="F224" i="12" s="1"/>
  <c r="E124" i="37"/>
  <c r="G124" i="37" s="1"/>
  <c r="I124" i="37" s="1"/>
  <c r="F130" i="34" s="1"/>
  <c r="F124" i="12" s="1"/>
  <c r="E104" i="37"/>
  <c r="G104" i="37" s="1"/>
  <c r="I104" i="37" s="1"/>
  <c r="F110" i="34" s="1"/>
  <c r="F104" i="12" s="1"/>
  <c r="E242" i="37"/>
  <c r="G242" i="37" s="1"/>
  <c r="I242" i="37" s="1"/>
  <c r="F248" i="34" s="1"/>
  <c r="F242" i="12" s="1"/>
  <c r="E206" i="37"/>
  <c r="G206" i="37" s="1"/>
  <c r="I206" i="37" s="1"/>
  <c r="F212" i="34" s="1"/>
  <c r="F206" i="12" s="1"/>
  <c r="E198" i="37"/>
  <c r="G198" i="37" s="1"/>
  <c r="I198" i="37" s="1"/>
  <c r="F204" i="34" s="1"/>
  <c r="F198" i="12" s="1"/>
  <c r="E220" i="37"/>
  <c r="G220" i="37" s="1"/>
  <c r="I220" i="37" s="1"/>
  <c r="F226" i="34" s="1"/>
  <c r="F220" i="12" s="1"/>
  <c r="E92" i="37"/>
  <c r="G92" i="37" s="1"/>
  <c r="I92" i="37" s="1"/>
  <c r="F98" i="34" s="1"/>
  <c r="F92" i="12" s="1"/>
  <c r="E132" i="37"/>
  <c r="G132" i="37" s="1"/>
  <c r="I132" i="37" s="1"/>
  <c r="F138" i="34" s="1"/>
  <c r="F132" i="12" s="1"/>
  <c r="E255" i="37"/>
  <c r="G255" i="37" s="1"/>
  <c r="I255" i="37" s="1"/>
  <c r="F261" i="34" s="1"/>
  <c r="F255" i="12" s="1"/>
  <c r="E182" i="37"/>
  <c r="G182" i="37" s="1"/>
  <c r="I182" i="37" s="1"/>
  <c r="F188" i="34" s="1"/>
  <c r="F182" i="12" s="1"/>
  <c r="E286" i="37"/>
  <c r="G286" i="37" s="1"/>
  <c r="I286" i="37" s="1"/>
  <c r="F292" i="34" s="1"/>
  <c r="F286" i="12" s="1"/>
  <c r="E122" i="37"/>
  <c r="G122" i="37" s="1"/>
  <c r="I122" i="37" s="1"/>
  <c r="F128" i="34" s="1"/>
  <c r="F122" i="12" s="1"/>
  <c r="E166" i="37"/>
  <c r="G166" i="37" s="1"/>
  <c r="I166" i="37" s="1"/>
  <c r="F172" i="34" s="1"/>
  <c r="F166" i="12" s="1"/>
  <c r="E20" i="37"/>
  <c r="G20" i="37" s="1"/>
  <c r="I20" i="37" s="1"/>
  <c r="F26" i="34" s="1"/>
  <c r="F20" i="12" s="1"/>
  <c r="E114" i="37"/>
  <c r="G114" i="37" s="1"/>
  <c r="I114" i="37" s="1"/>
  <c r="F120" i="34" s="1"/>
  <c r="F114" i="12" s="1"/>
  <c r="E28" i="37"/>
  <c r="G28" i="37" s="1"/>
  <c r="I28" i="37" s="1"/>
  <c r="F34" i="34" s="1"/>
  <c r="F28" i="12" s="1"/>
  <c r="E55" i="37"/>
  <c r="G55" i="37" s="1"/>
  <c r="I55" i="37" s="1"/>
  <c r="F61" i="34" s="1"/>
  <c r="F55" i="12" s="1"/>
  <c r="E148" i="37"/>
  <c r="G148" i="37" s="1"/>
  <c r="I148" i="37" s="1"/>
  <c r="F154" i="34" s="1"/>
  <c r="F148" i="12" s="1"/>
  <c r="E146" i="37"/>
  <c r="G146" i="37" s="1"/>
  <c r="I146" i="37" s="1"/>
  <c r="F152" i="34" s="1"/>
  <c r="F146" i="12" s="1"/>
  <c r="E272" i="37"/>
  <c r="G272" i="37" s="1"/>
  <c r="I272" i="37" s="1"/>
  <c r="F278" i="34" s="1"/>
  <c r="F272" i="12" s="1"/>
  <c r="E48" i="37"/>
  <c r="G48" i="37" s="1"/>
  <c r="I48" i="37" s="1"/>
  <c r="F54" i="34" s="1"/>
  <c r="F48" i="12" s="1"/>
  <c r="E172" i="37"/>
  <c r="G172" i="37" s="1"/>
  <c r="I172" i="37" s="1"/>
  <c r="F178" i="34" s="1"/>
  <c r="F172" i="12" s="1"/>
  <c r="E44" i="37"/>
  <c r="G44" i="37" s="1"/>
  <c r="I44" i="37" s="1"/>
  <c r="F50" i="34" s="1"/>
  <c r="F44" i="12" s="1"/>
  <c r="E264" i="37"/>
  <c r="G264" i="37" s="1"/>
  <c r="I264" i="37" s="1"/>
  <c r="F270" i="34" s="1"/>
  <c r="F264" i="12" s="1"/>
  <c r="E118" i="37"/>
  <c r="G118" i="37" s="1"/>
  <c r="I118" i="37" s="1"/>
  <c r="F124" i="34" s="1"/>
  <c r="F118" i="12" s="1"/>
  <c r="E142" i="37"/>
  <c r="G142" i="37" s="1"/>
  <c r="I142" i="37" s="1"/>
  <c r="F148" i="34" s="1"/>
  <c r="F142" i="12" s="1"/>
  <c r="E196" i="37"/>
  <c r="G196" i="37" s="1"/>
  <c r="I196" i="37" s="1"/>
  <c r="F202" i="34" s="1"/>
  <c r="F196" i="12" s="1"/>
  <c r="E12" i="37"/>
  <c r="G12" i="37" s="1"/>
  <c r="I12" i="37" s="1"/>
  <c r="F18" i="34" s="1"/>
  <c r="F12" i="12" s="1"/>
  <c r="E268" i="37"/>
  <c r="G268" i="37" s="1"/>
  <c r="I268" i="37" s="1"/>
  <c r="F274" i="34" s="1"/>
  <c r="F268" i="12" s="1"/>
  <c r="E98" i="37"/>
  <c r="G98" i="37" s="1"/>
  <c r="I98" i="37" s="1"/>
  <c r="F104" i="34" s="1"/>
  <c r="F98" i="12" s="1"/>
  <c r="E216" i="37"/>
  <c r="G216" i="37" s="1"/>
  <c r="I216" i="37" s="1"/>
  <c r="F222" i="34" s="1"/>
  <c r="F216" i="12" s="1"/>
  <c r="E31" i="37"/>
  <c r="G31" i="37" s="1"/>
  <c r="I31" i="37" s="1"/>
  <c r="F37" i="34" s="1"/>
  <c r="F31" i="12" s="1"/>
  <c r="E116" i="37"/>
  <c r="G116" i="37" s="1"/>
  <c r="I116" i="37" s="1"/>
  <c r="F122" i="34" s="1"/>
  <c r="F116" i="12" s="1"/>
  <c r="E79" i="37"/>
  <c r="G79" i="37" s="1"/>
  <c r="I79" i="37" s="1"/>
  <c r="F85" i="34" s="1"/>
  <c r="F79" i="12" s="1"/>
  <c r="E40" i="37"/>
  <c r="G40" i="37" s="1"/>
  <c r="I40" i="37" s="1"/>
  <c r="F46" i="34" s="1"/>
  <c r="F40" i="12" s="1"/>
  <c r="E240" i="37"/>
  <c r="G240" i="37" s="1"/>
  <c r="I240" i="37" s="1"/>
  <c r="F246" i="34" s="1"/>
  <c r="F240" i="12" s="1"/>
  <c r="E254" i="37"/>
  <c r="G254" i="37" s="1"/>
  <c r="I254" i="37" s="1"/>
  <c r="F260" i="34" s="1"/>
  <c r="F254" i="12" s="1"/>
  <c r="E302" i="37"/>
  <c r="G302" i="37" s="1"/>
  <c r="I302" i="37" s="1"/>
  <c r="F308" i="34" s="1"/>
  <c r="F302" i="12" s="1"/>
  <c r="E214" i="37"/>
  <c r="G214" i="37" s="1"/>
  <c r="I214" i="37" s="1"/>
  <c r="F220" i="34" s="1"/>
  <c r="F214" i="12" s="1"/>
  <c r="E96" i="37"/>
  <c r="G96" i="37" s="1"/>
  <c r="I96" i="37" s="1"/>
  <c r="F102" i="34" s="1"/>
  <c r="F96" i="12" s="1"/>
  <c r="E194" i="37"/>
  <c r="G194" i="37" s="1"/>
  <c r="I194" i="37" s="1"/>
  <c r="F200" i="34" s="1"/>
  <c r="F194" i="12" s="1"/>
  <c r="E212" i="37"/>
  <c r="G212" i="37" s="1"/>
  <c r="I212" i="37" s="1"/>
  <c r="F218" i="34" s="1"/>
  <c r="F212" i="12" s="1"/>
  <c r="E186" i="37"/>
  <c r="G186" i="37" s="1"/>
  <c r="I186" i="37" s="1"/>
  <c r="F192" i="34" s="1"/>
  <c r="F186" i="12" s="1"/>
  <c r="E47" i="37"/>
  <c r="G47" i="37" s="1"/>
  <c r="I47" i="37" s="1"/>
  <c r="F53" i="34" s="1"/>
  <c r="F47" i="12" s="1"/>
  <c r="E178" i="37"/>
  <c r="G178" i="37" s="1"/>
  <c r="I178" i="37" s="1"/>
  <c r="F184" i="34" s="1"/>
  <c r="F178" i="12" s="1"/>
  <c r="E202" i="37"/>
  <c r="G202" i="37" s="1"/>
  <c r="I202" i="37" s="1"/>
  <c r="F208" i="34" s="1"/>
  <c r="F202" i="12" s="1"/>
  <c r="E162" i="37"/>
  <c r="G162" i="37" s="1"/>
  <c r="I162" i="37" s="1"/>
  <c r="F168" i="34" s="1"/>
  <c r="F162" i="12" s="1"/>
  <c r="E298" i="37"/>
  <c r="G298" i="37" s="1"/>
  <c r="I298" i="37" s="1"/>
  <c r="F304" i="34" s="1"/>
  <c r="F298" i="12" s="1"/>
  <c r="E232" i="37"/>
  <c r="G232" i="37" s="1"/>
  <c r="I232" i="37" s="1"/>
  <c r="F238" i="34" s="1"/>
  <c r="F232" i="12" s="1"/>
  <c r="E106" i="37"/>
  <c r="G106" i="37" s="1"/>
  <c r="I106" i="37" s="1"/>
  <c r="F112" i="34" s="1"/>
  <c r="F106" i="12" s="1"/>
  <c r="E290" i="37"/>
  <c r="G290" i="37" s="1"/>
  <c r="I290" i="37" s="1"/>
  <c r="F296" i="34" s="1"/>
  <c r="F290" i="12" s="1"/>
  <c r="E16" i="37"/>
  <c r="G16" i="37" s="1"/>
  <c r="I16" i="37" s="1"/>
  <c r="F22" i="34" s="1"/>
  <c r="F16" i="12" s="1"/>
  <c r="E222" i="37"/>
  <c r="G222" i="37" s="1"/>
  <c r="I222" i="37" s="1"/>
  <c r="F228" i="34" s="1"/>
  <c r="F222" i="12" s="1"/>
  <c r="E108" i="37"/>
  <c r="G108" i="37" s="1"/>
  <c r="I108" i="37" s="1"/>
  <c r="F114" i="34" s="1"/>
  <c r="F108" i="12" s="1"/>
  <c r="E236" i="37"/>
  <c r="G236" i="37" s="1"/>
  <c r="I236" i="37" s="1"/>
  <c r="F242" i="34" s="1"/>
  <c r="F236" i="12" s="1"/>
  <c r="E8" i="37"/>
  <c r="G8" i="37" s="1"/>
  <c r="I8" i="37" s="1"/>
  <c r="F14" i="34" s="1"/>
  <c r="F8" i="12" s="1"/>
  <c r="E100" i="37"/>
  <c r="G100" i="37" s="1"/>
  <c r="I100" i="37" s="1"/>
  <c r="F106" i="34" s="1"/>
  <c r="F100" i="12" s="1"/>
  <c r="E252" i="37"/>
  <c r="G252" i="37" s="1"/>
  <c r="I252" i="37" s="1"/>
  <c r="F258" i="34" s="1"/>
  <c r="F252" i="12" s="1"/>
  <c r="E204" i="37"/>
  <c r="G204" i="37" s="1"/>
  <c r="I204" i="37" s="1"/>
  <c r="F210" i="34" s="1"/>
  <c r="F204" i="12" s="1"/>
  <c r="E280" i="37"/>
  <c r="G280" i="37" s="1"/>
  <c r="I280" i="37" s="1"/>
  <c r="F286" i="34" s="1"/>
  <c r="F280" i="12" s="1"/>
  <c r="E140" i="37"/>
  <c r="G140" i="37" s="1"/>
  <c r="I140" i="37" s="1"/>
  <c r="F146" i="34" s="1"/>
  <c r="F140" i="12" s="1"/>
  <c r="E76" i="37"/>
  <c r="G76" i="37" s="1"/>
  <c r="I76" i="37" s="1"/>
  <c r="F82" i="34" s="1"/>
  <c r="F76" i="12" s="1"/>
  <c r="E130" i="37"/>
  <c r="G130" i="37" s="1"/>
  <c r="I130" i="37" s="1"/>
  <c r="F136" i="34" s="1"/>
  <c r="F130" i="12" s="1"/>
  <c r="E120" i="37"/>
  <c r="G120" i="37" s="1"/>
  <c r="I120" i="37" s="1"/>
  <c r="F126" i="34" s="1"/>
  <c r="F120" i="12" s="1"/>
  <c r="E228" i="37"/>
  <c r="G228" i="37" s="1"/>
  <c r="I228" i="37" s="1"/>
  <c r="F234" i="34" s="1"/>
  <c r="F228" i="12" s="1"/>
  <c r="G8" i="33"/>
  <c r="G18" i="33"/>
  <c r="G34" i="33"/>
  <c r="G26" i="33"/>
  <c r="G42" i="33"/>
  <c r="G68" i="33"/>
  <c r="G72" i="33"/>
  <c r="G92" i="33"/>
  <c r="G100" i="33"/>
  <c r="G108" i="33"/>
  <c r="G196" i="33"/>
  <c r="G169" i="33"/>
  <c r="G134" i="33"/>
  <c r="G163" i="33"/>
  <c r="G214" i="33"/>
  <c r="G208" i="33"/>
  <c r="G118" i="33"/>
  <c r="G297" i="33"/>
  <c r="G305" i="33"/>
  <c r="G222" i="33"/>
  <c r="G302" i="33"/>
  <c r="G269" i="33"/>
  <c r="G266" i="33"/>
  <c r="G252" i="33"/>
  <c r="G248" i="33"/>
  <c r="G236" i="33"/>
  <c r="G218" i="33"/>
  <c r="G185" i="33"/>
  <c r="G246" i="33"/>
  <c r="G301" i="33"/>
  <c r="G293" i="33"/>
  <c r="G272" i="33"/>
  <c r="G262" i="33"/>
  <c r="G128" i="33"/>
  <c r="G124" i="33"/>
  <c r="G291" i="33"/>
  <c r="G275" i="33"/>
  <c r="G259" i="33"/>
  <c r="G247" i="33"/>
  <c r="G239" i="33"/>
  <c r="G231" i="33"/>
  <c r="G223" i="33"/>
  <c r="G215" i="33"/>
  <c r="G206" i="33"/>
  <c r="G184" i="33"/>
  <c r="G171" i="33"/>
  <c r="G167" i="33"/>
  <c r="G154" i="33"/>
  <c r="G115" i="33"/>
  <c r="G99" i="33"/>
  <c r="G130" i="33"/>
  <c r="G104" i="33"/>
  <c r="G88" i="33"/>
  <c r="G74" i="33"/>
  <c r="G176" i="33"/>
  <c r="G148" i="33"/>
  <c r="G123" i="33"/>
  <c r="G121" i="33"/>
  <c r="G116" i="33"/>
  <c r="G102" i="33"/>
  <c r="G191" i="33"/>
  <c r="G175" i="33"/>
  <c r="G159" i="33"/>
  <c r="G150" i="33"/>
  <c r="G131" i="33"/>
  <c r="G97" i="33"/>
  <c r="G57" i="33"/>
  <c r="G59" i="33"/>
  <c r="G125" i="33"/>
  <c r="G117" i="33"/>
  <c r="G109" i="33"/>
  <c r="G101" i="33"/>
  <c r="G81" i="33"/>
  <c r="G76" i="33"/>
  <c r="G75" i="33"/>
  <c r="G290" i="33"/>
  <c r="G276" i="33"/>
  <c r="G268" i="33"/>
  <c r="G261" i="33"/>
  <c r="G258" i="33"/>
  <c r="G225" i="33"/>
  <c r="G295" i="33"/>
  <c r="G244" i="33"/>
  <c r="G233" i="33"/>
  <c r="G230" i="33"/>
  <c r="G289" i="33"/>
  <c r="G286" i="33"/>
  <c r="G265" i="33"/>
  <c r="G264" i="33"/>
  <c r="G254" i="33"/>
  <c r="G228" i="33"/>
  <c r="G177" i="33"/>
  <c r="G129" i="33"/>
  <c r="G210" i="33"/>
  <c r="G205" i="33"/>
  <c r="G165" i="33"/>
  <c r="G144" i="33"/>
  <c r="G140" i="33"/>
  <c r="G91" i="33"/>
  <c r="G211" i="33"/>
  <c r="G279" i="33"/>
  <c r="G263" i="33"/>
  <c r="G201" i="33"/>
  <c r="G195" i="33"/>
  <c r="G172" i="33"/>
  <c r="G157" i="33"/>
  <c r="G152" i="33"/>
  <c r="G149" i="33"/>
  <c r="G219" i="33"/>
  <c r="G198" i="33"/>
  <c r="G142" i="33"/>
  <c r="G113" i="33"/>
  <c r="G197" i="33"/>
  <c r="G164" i="33"/>
  <c r="G153" i="33"/>
  <c r="G139" i="33"/>
  <c r="G192" i="33"/>
  <c r="G132" i="33"/>
  <c r="G89" i="33"/>
  <c r="G61" i="33"/>
  <c r="G32" i="33"/>
  <c r="G143" i="33"/>
  <c r="G135" i="33"/>
  <c r="G106" i="33"/>
  <c r="G54" i="33"/>
  <c r="G49" i="33"/>
  <c r="G38" i="33"/>
  <c r="G66" i="33"/>
  <c r="G44" i="33"/>
  <c r="G84" i="33"/>
  <c r="G78" i="33"/>
  <c r="G48" i="33"/>
  <c r="G36" i="33"/>
  <c r="G46" i="33"/>
  <c r="G12" i="33"/>
  <c r="G43" i="33"/>
  <c r="G299" i="33"/>
  <c r="G224" i="33"/>
  <c r="G285" i="33"/>
  <c r="G284" i="33"/>
  <c r="G277" i="33"/>
  <c r="G274" i="33"/>
  <c r="G260" i="33"/>
  <c r="G237" i="33"/>
  <c r="G234" i="33"/>
  <c r="G303" i="33"/>
  <c r="G257" i="33"/>
  <c r="G245" i="33"/>
  <c r="G217" i="33"/>
  <c r="G186" i="33"/>
  <c r="G181" i="33"/>
  <c r="G283" i="33"/>
  <c r="G251" i="33"/>
  <c r="G235" i="33"/>
  <c r="G200" i="33"/>
  <c r="G179" i="33"/>
  <c r="G156" i="33"/>
  <c r="G120" i="33"/>
  <c r="G160" i="33"/>
  <c r="G122" i="33"/>
  <c r="G69" i="33"/>
  <c r="G93" i="33"/>
  <c r="G70" i="33"/>
  <c r="G53" i="33"/>
  <c r="G22" i="33"/>
  <c r="G77" i="33"/>
  <c r="G73" i="33"/>
  <c r="G27" i="33"/>
  <c r="G39" i="33"/>
  <c r="G23" i="33"/>
  <c r="G17" i="33"/>
  <c r="G15" i="33"/>
  <c r="G288" i="33"/>
  <c r="G110" i="33"/>
  <c r="G213" i="33"/>
  <c r="G138" i="33"/>
  <c r="G60" i="33"/>
  <c r="G242" i="33"/>
  <c r="G250" i="33"/>
  <c r="G240" i="33"/>
  <c r="G168" i="33"/>
  <c r="G189" i="33"/>
  <c r="G180" i="33"/>
  <c r="G151" i="33"/>
  <c r="G209" i="33"/>
  <c r="G202" i="33"/>
  <c r="G127" i="33"/>
  <c r="G65" i="33"/>
  <c r="G62" i="33"/>
  <c r="G10" i="33"/>
  <c r="G40" i="33"/>
  <c r="G24" i="33"/>
  <c r="G33" i="33"/>
  <c r="G294" i="33"/>
  <c r="G282" i="33"/>
  <c r="G238" i="33"/>
  <c r="G249" i="33"/>
  <c r="G232" i="33"/>
  <c r="G241" i="33"/>
  <c r="G281" i="33"/>
  <c r="G280" i="33"/>
  <c r="G273" i="33"/>
  <c r="G270" i="33"/>
  <c r="G256" i="33"/>
  <c r="G212" i="33"/>
  <c r="G173" i="33"/>
  <c r="G112" i="33"/>
  <c r="G271" i="33"/>
  <c r="G203" i="33"/>
  <c r="G187" i="33"/>
  <c r="G133" i="33"/>
  <c r="G126" i="33"/>
  <c r="G216" i="33"/>
  <c r="G136" i="33"/>
  <c r="G80" i="33"/>
  <c r="G96" i="33"/>
  <c r="G141" i="33"/>
  <c r="G94" i="33"/>
  <c r="G162" i="33"/>
  <c r="G71" i="33"/>
  <c r="G58" i="33"/>
  <c r="G82" i="33"/>
  <c r="G63" i="33"/>
  <c r="G28" i="33"/>
  <c r="G19" i="33"/>
  <c r="G41" i="33"/>
  <c r="G25" i="33"/>
  <c r="G292" i="33"/>
  <c r="G253" i="33"/>
  <c r="G220" i="33"/>
  <c r="G278" i="33"/>
  <c r="G267" i="33"/>
  <c r="G243" i="33"/>
  <c r="G227" i="33"/>
  <c r="G183" i="33"/>
  <c r="G170" i="33"/>
  <c r="G178" i="33"/>
  <c r="G147" i="33"/>
  <c r="G105" i="33"/>
  <c r="G64" i="33"/>
  <c r="G90" i="33"/>
  <c r="G16" i="33"/>
  <c r="G50" i="33"/>
  <c r="G52" i="33"/>
  <c r="G35" i="33"/>
  <c r="G31" i="33"/>
  <c r="G9" i="33"/>
  <c r="G221" i="33"/>
  <c r="G298" i="33"/>
  <c r="G229" i="33"/>
  <c r="G226" i="33"/>
  <c r="G155" i="33"/>
  <c r="G188" i="33"/>
  <c r="G107" i="33"/>
  <c r="G287" i="33"/>
  <c r="G255" i="33"/>
  <c r="G204" i="33"/>
  <c r="G146" i="33"/>
  <c r="G114" i="33"/>
  <c r="G194" i="33"/>
  <c r="G51" i="33"/>
  <c r="G98" i="33"/>
  <c r="G85" i="33"/>
  <c r="G55" i="33"/>
  <c r="G20" i="33"/>
  <c r="G30" i="33"/>
  <c r="G14" i="33"/>
  <c r="G45" i="33"/>
  <c r="G13" i="33"/>
  <c r="G86" i="33"/>
  <c r="G137" i="33"/>
  <c r="G21" i="33"/>
  <c r="G145" i="33"/>
  <c r="G29" i="33"/>
  <c r="G193" i="33"/>
  <c r="G67" i="33"/>
  <c r="G182" i="33"/>
  <c r="G300" i="33"/>
  <c r="G174" i="33"/>
  <c r="G207" i="33"/>
  <c r="G37" i="33"/>
  <c r="G87" i="33"/>
  <c r="G199" i="33"/>
  <c r="G83" i="33"/>
  <c r="G7" i="33"/>
  <c r="G103" i="33"/>
  <c r="G79" i="33"/>
  <c r="G95" i="33"/>
  <c r="G166" i="33"/>
  <c r="G296" i="33"/>
  <c r="G161" i="33"/>
  <c r="G47" i="33"/>
  <c r="G158" i="33"/>
  <c r="G304" i="33"/>
  <c r="G190" i="33"/>
  <c r="G11" i="33"/>
  <c r="G119" i="33"/>
  <c r="G111" i="33"/>
  <c r="G56" i="33"/>
  <c r="I9" i="33"/>
  <c r="I49" i="33"/>
  <c r="I46" i="33"/>
  <c r="I24" i="33"/>
  <c r="I40" i="33"/>
  <c r="I50" i="33"/>
  <c r="I66" i="33"/>
  <c r="I82" i="33"/>
  <c r="I89" i="33"/>
  <c r="I93" i="33"/>
  <c r="I97" i="33"/>
  <c r="I101" i="33"/>
  <c r="I105" i="33"/>
  <c r="I70" i="33"/>
  <c r="I150" i="33"/>
  <c r="I159" i="33"/>
  <c r="I175" i="33"/>
  <c r="I191" i="33"/>
  <c r="I90" i="33"/>
  <c r="I243" i="33"/>
  <c r="I255" i="33"/>
  <c r="I287" i="33"/>
  <c r="I98" i="33"/>
  <c r="I202" i="33"/>
  <c r="I106" i="33"/>
  <c r="I116" i="33"/>
  <c r="I132" i="33"/>
  <c r="I148" i="33"/>
  <c r="I167" i="33"/>
  <c r="I254" i="33"/>
  <c r="I258" i="33"/>
  <c r="I262" i="33"/>
  <c r="I266" i="33"/>
  <c r="I270" i="33"/>
  <c r="I274" i="33"/>
  <c r="I278" i="33"/>
  <c r="I282" i="33"/>
  <c r="I286" i="33"/>
  <c r="I290" i="33"/>
  <c r="I294" i="33"/>
  <c r="I298" i="33"/>
  <c r="I302" i="33"/>
  <c r="I152" i="33"/>
  <c r="I183" i="33"/>
  <c r="I210" i="33"/>
  <c r="I223" i="33"/>
  <c r="I251" i="33"/>
  <c r="I275" i="33"/>
  <c r="I295" i="33"/>
  <c r="I303" i="33"/>
  <c r="I242" i="33"/>
  <c r="I293" i="33"/>
  <c r="I285" i="33"/>
  <c r="I284" i="33"/>
  <c r="I277" i="33"/>
  <c r="I252" i="33"/>
  <c r="I248" i="33"/>
  <c r="I237" i="33"/>
  <c r="I230" i="33"/>
  <c r="I281" i="33"/>
  <c r="I280" i="33"/>
  <c r="I273" i="33"/>
  <c r="I257" i="33"/>
  <c r="I240" i="33"/>
  <c r="I229" i="33"/>
  <c r="I291" i="33"/>
  <c r="I259" i="33"/>
  <c r="I227" i="33"/>
  <c r="I217" i="33"/>
  <c r="I155" i="33"/>
  <c r="I205" i="33"/>
  <c r="I173" i="33"/>
  <c r="I107" i="33"/>
  <c r="I211" i="33"/>
  <c r="I181" i="33"/>
  <c r="I153" i="33"/>
  <c r="I213" i="33"/>
  <c r="I203" i="33"/>
  <c r="I201" i="33"/>
  <c r="I187" i="33"/>
  <c r="I185" i="33"/>
  <c r="I177" i="33"/>
  <c r="I172" i="33"/>
  <c r="I163" i="33"/>
  <c r="I219" i="33"/>
  <c r="I126" i="33"/>
  <c r="I198" i="33"/>
  <c r="I197" i="33"/>
  <c r="I184" i="33"/>
  <c r="I154" i="33"/>
  <c r="I120" i="33"/>
  <c r="I80" i="33"/>
  <c r="I139" i="33"/>
  <c r="I194" i="33"/>
  <c r="I144" i="33"/>
  <c r="I141" i="33"/>
  <c r="I112" i="33"/>
  <c r="I138" i="33"/>
  <c r="I122" i="33"/>
  <c r="I64" i="33"/>
  <c r="I143" i="33"/>
  <c r="I135" i="33"/>
  <c r="I85" i="33"/>
  <c r="I16" i="33"/>
  <c r="I108" i="33"/>
  <c r="I92" i="33"/>
  <c r="I71" i="33"/>
  <c r="I22" i="33"/>
  <c r="I72" i="33"/>
  <c r="I276" i="33"/>
  <c r="I269" i="33"/>
  <c r="I253" i="33"/>
  <c r="I236" i="33"/>
  <c r="I218" i="33"/>
  <c r="I238" i="33"/>
  <c r="I305" i="33"/>
  <c r="I297" i="33"/>
  <c r="I272" i="33"/>
  <c r="I228" i="33"/>
  <c r="I283" i="33"/>
  <c r="I247" i="33"/>
  <c r="I204" i="33"/>
  <c r="I195" i="33"/>
  <c r="I188" i="33"/>
  <c r="I179" i="33"/>
  <c r="I124" i="33"/>
  <c r="I189" i="33"/>
  <c r="I151" i="33"/>
  <c r="I149" i="33"/>
  <c r="I133" i="33"/>
  <c r="I279" i="33"/>
  <c r="I214" i="33"/>
  <c r="I208" i="33"/>
  <c r="I171" i="33"/>
  <c r="I169" i="33"/>
  <c r="I156" i="33"/>
  <c r="I136" i="33"/>
  <c r="I99" i="33"/>
  <c r="I130" i="33"/>
  <c r="I104" i="33"/>
  <c r="I88" i="33"/>
  <c r="I128" i="33"/>
  <c r="I94" i="33"/>
  <c r="I134" i="33"/>
  <c r="I118" i="33"/>
  <c r="I78" i="33"/>
  <c r="I57" i="33"/>
  <c r="I127" i="33"/>
  <c r="I76" i="33"/>
  <c r="I65" i="33"/>
  <c r="I77" i="33"/>
  <c r="I63" i="33"/>
  <c r="I55" i="33"/>
  <c r="I75" i="33"/>
  <c r="I73" i="33"/>
  <c r="I52" i="33"/>
  <c r="I30" i="33"/>
  <c r="I19" i="33"/>
  <c r="I41" i="33"/>
  <c r="I33" i="33"/>
  <c r="I25" i="33"/>
  <c r="I164" i="33"/>
  <c r="I292" i="33"/>
  <c r="I249" i="33"/>
  <c r="I246" i="33"/>
  <c r="I232" i="33"/>
  <c r="I241" i="33"/>
  <c r="I264" i="33"/>
  <c r="I226" i="33"/>
  <c r="I212" i="33"/>
  <c r="I267" i="33"/>
  <c r="I165" i="33"/>
  <c r="I140" i="33"/>
  <c r="I91" i="33"/>
  <c r="I216" i="33"/>
  <c r="I196" i="33"/>
  <c r="I170" i="33"/>
  <c r="I271" i="33"/>
  <c r="I209" i="33"/>
  <c r="I146" i="33"/>
  <c r="I114" i="33"/>
  <c r="I96" i="33"/>
  <c r="I74" i="33"/>
  <c r="I102" i="33"/>
  <c r="I192" i="33"/>
  <c r="I131" i="33"/>
  <c r="I84" i="33"/>
  <c r="I68" i="33"/>
  <c r="I20" i="33"/>
  <c r="I10" i="33"/>
  <c r="I14" i="33"/>
  <c r="I43" i="33"/>
  <c r="I42" i="33"/>
  <c r="I26" i="33"/>
  <c r="I8" i="33"/>
  <c r="I224" i="33"/>
  <c r="I225" i="33"/>
  <c r="I299" i="33"/>
  <c r="I206" i="33"/>
  <c r="I186" i="33"/>
  <c r="I142" i="33"/>
  <c r="I160" i="33"/>
  <c r="I51" i="33"/>
  <c r="I53" i="33"/>
  <c r="I28" i="33"/>
  <c r="I17" i="33"/>
  <c r="I222" i="33"/>
  <c r="I268" i="33"/>
  <c r="I256" i="33"/>
  <c r="I235" i="33"/>
  <c r="I110" i="33"/>
  <c r="I176" i="33"/>
  <c r="I59" i="33"/>
  <c r="I44" i="33"/>
  <c r="I48" i="33"/>
  <c r="I27" i="33"/>
  <c r="I23" i="33"/>
  <c r="I15" i="33"/>
  <c r="I234" i="33"/>
  <c r="I220" i="33"/>
  <c r="I221" i="33"/>
  <c r="I244" i="33"/>
  <c r="I233" i="33"/>
  <c r="I288" i="33"/>
  <c r="I263" i="33"/>
  <c r="I168" i="33"/>
  <c r="I129" i="33"/>
  <c r="I215" i="33"/>
  <c r="I231" i="33"/>
  <c r="I115" i="33"/>
  <c r="I121" i="33"/>
  <c r="I147" i="33"/>
  <c r="I69" i="33"/>
  <c r="I61" i="33"/>
  <c r="I125" i="33"/>
  <c r="I109" i="33"/>
  <c r="I100" i="33"/>
  <c r="I81" i="33"/>
  <c r="I38" i="33"/>
  <c r="I62" i="33"/>
  <c r="I35" i="33"/>
  <c r="I31" i="33"/>
  <c r="I301" i="33"/>
  <c r="I260" i="33"/>
  <c r="I250" i="33"/>
  <c r="I289" i="33"/>
  <c r="I265" i="33"/>
  <c r="I239" i="33"/>
  <c r="I200" i="33"/>
  <c r="I178" i="33"/>
  <c r="I123" i="33"/>
  <c r="I12" i="33"/>
  <c r="I34" i="33"/>
  <c r="I261" i="33"/>
  <c r="I245" i="33"/>
  <c r="I180" i="33"/>
  <c r="I157" i="33"/>
  <c r="I113" i="33"/>
  <c r="I162" i="33"/>
  <c r="I32" i="33"/>
  <c r="I54" i="33"/>
  <c r="I117" i="33"/>
  <c r="I58" i="33"/>
  <c r="I60" i="33"/>
  <c r="I36" i="33"/>
  <c r="I39" i="33"/>
  <c r="I18" i="33"/>
  <c r="I87" i="33"/>
  <c r="I199" i="33"/>
  <c r="I83" i="33"/>
  <c r="I7" i="33"/>
  <c r="I37" i="33"/>
  <c r="I103" i="33"/>
  <c r="I79" i="33"/>
  <c r="I95" i="33"/>
  <c r="I182" i="33"/>
  <c r="I296" i="33"/>
  <c r="I161" i="33"/>
  <c r="I158" i="33"/>
  <c r="I119" i="33"/>
  <c r="I137" i="33"/>
  <c r="I145" i="33"/>
  <c r="I56" i="33"/>
  <c r="I300" i="33"/>
  <c r="I174" i="33"/>
  <c r="I207" i="33"/>
  <c r="I45" i="33"/>
  <c r="I86" i="33"/>
  <c r="I47" i="33"/>
  <c r="I11" i="33"/>
  <c r="I13" i="33"/>
  <c r="I304" i="33"/>
  <c r="I190" i="33"/>
  <c r="I21" i="33"/>
  <c r="I111" i="33"/>
  <c r="I29" i="33"/>
  <c r="I67" i="33"/>
  <c r="I166" i="33"/>
  <c r="I193" i="33"/>
  <c r="H15" i="33"/>
  <c r="H23" i="33"/>
  <c r="H31" i="33"/>
  <c r="H39" i="33"/>
  <c r="H25" i="33"/>
  <c r="H41" i="33"/>
  <c r="H17" i="33"/>
  <c r="H33" i="33"/>
  <c r="H60" i="33"/>
  <c r="H75" i="33"/>
  <c r="H85" i="33"/>
  <c r="H127" i="33"/>
  <c r="H143" i="33"/>
  <c r="H117" i="33"/>
  <c r="H162" i="33"/>
  <c r="H178" i="33"/>
  <c r="H194" i="33"/>
  <c r="H63" i="33"/>
  <c r="H135" i="33"/>
  <c r="H109" i="33"/>
  <c r="H125" i="33"/>
  <c r="H141" i="33"/>
  <c r="H192" i="33"/>
  <c r="H157" i="33"/>
  <c r="H170" i="33"/>
  <c r="H176" i="33"/>
  <c r="H203" i="33"/>
  <c r="H213" i="33"/>
  <c r="H154" i="33"/>
  <c r="H160" i="33"/>
  <c r="H299" i="33"/>
  <c r="H292" i="33"/>
  <c r="H269" i="33"/>
  <c r="H260" i="33"/>
  <c r="H238" i="33"/>
  <c r="H225" i="33"/>
  <c r="H232" i="33"/>
  <c r="H305" i="33"/>
  <c r="H297" i="33"/>
  <c r="H288" i="33"/>
  <c r="H265" i="33"/>
  <c r="H256" i="33"/>
  <c r="H211" i="33"/>
  <c r="H204" i="33"/>
  <c r="H195" i="33"/>
  <c r="H155" i="33"/>
  <c r="H129" i="33"/>
  <c r="H287" i="33"/>
  <c r="H271" i="33"/>
  <c r="H255" i="33"/>
  <c r="H239" i="33"/>
  <c r="H223" i="33"/>
  <c r="H188" i="33"/>
  <c r="H179" i="33"/>
  <c r="H110" i="33"/>
  <c r="H302" i="33"/>
  <c r="H286" i="33"/>
  <c r="H270" i="33"/>
  <c r="H254" i="33"/>
  <c r="H187" i="33"/>
  <c r="H113" i="33"/>
  <c r="H215" i="33"/>
  <c r="H208" i="33"/>
  <c r="H173" i="33"/>
  <c r="H169" i="33"/>
  <c r="H167" i="33"/>
  <c r="H156" i="33"/>
  <c r="H139" i="33"/>
  <c r="H104" i="33"/>
  <c r="H88" i="33"/>
  <c r="H134" i="33"/>
  <c r="H94" i="33"/>
  <c r="H57" i="33"/>
  <c r="H51" i="33"/>
  <c r="H98" i="33"/>
  <c r="H76" i="33"/>
  <c r="H70" i="33"/>
  <c r="H65" i="33"/>
  <c r="H38" i="33"/>
  <c r="H97" i="33"/>
  <c r="H82" i="33"/>
  <c r="H77" i="33"/>
  <c r="H55" i="33"/>
  <c r="H301" i="33"/>
  <c r="H284" i="33"/>
  <c r="H261" i="33"/>
  <c r="H252" i="33"/>
  <c r="H248" i="33"/>
  <c r="H234" i="33"/>
  <c r="H303" i="33"/>
  <c r="H233" i="33"/>
  <c r="H289" i="33"/>
  <c r="H280" i="33"/>
  <c r="H257" i="33"/>
  <c r="H240" i="33"/>
  <c r="H226" i="33"/>
  <c r="H216" i="33"/>
  <c r="H283" i="33"/>
  <c r="H267" i="33"/>
  <c r="H251" i="33"/>
  <c r="H235" i="33"/>
  <c r="H219" i="33"/>
  <c r="H124" i="33"/>
  <c r="H107" i="33"/>
  <c r="H298" i="33"/>
  <c r="H290" i="33"/>
  <c r="H274" i="33"/>
  <c r="H258" i="33"/>
  <c r="H217" i="33"/>
  <c r="H196" i="33"/>
  <c r="H209" i="33"/>
  <c r="H126" i="33"/>
  <c r="H202" i="33"/>
  <c r="H171" i="33"/>
  <c r="H164" i="33"/>
  <c r="H120" i="33"/>
  <c r="H191" i="33"/>
  <c r="H159" i="33"/>
  <c r="H146" i="33"/>
  <c r="H114" i="33"/>
  <c r="H148" i="33"/>
  <c r="H144" i="33"/>
  <c r="H116" i="33"/>
  <c r="H112" i="33"/>
  <c r="H150" i="33"/>
  <c r="H69" i="33"/>
  <c r="H32" i="33"/>
  <c r="H90" i="33"/>
  <c r="H59" i="33"/>
  <c r="H54" i="33"/>
  <c r="H100" i="33"/>
  <c r="H71" i="33"/>
  <c r="H58" i="33"/>
  <c r="H53" i="33"/>
  <c r="H93" i="33"/>
  <c r="H62" i="33"/>
  <c r="H48" i="33"/>
  <c r="H50" i="33"/>
  <c r="H10" i="33"/>
  <c r="H42" i="33"/>
  <c r="H49" i="33"/>
  <c r="H43" i="33"/>
  <c r="H35" i="33"/>
  <c r="H27" i="33"/>
  <c r="H218" i="33"/>
  <c r="H221" i="33"/>
  <c r="H295" i="33"/>
  <c r="H244" i="33"/>
  <c r="H230" i="33"/>
  <c r="H281" i="33"/>
  <c r="H272" i="33"/>
  <c r="H228" i="33"/>
  <c r="H168" i="33"/>
  <c r="H279" i="33"/>
  <c r="H247" i="33"/>
  <c r="H205" i="33"/>
  <c r="H294" i="33"/>
  <c r="H262" i="33"/>
  <c r="H183" i="33"/>
  <c r="H149" i="33"/>
  <c r="H130" i="33"/>
  <c r="H123" i="33"/>
  <c r="H118" i="33"/>
  <c r="H64" i="33"/>
  <c r="H16" i="33"/>
  <c r="H81" i="33"/>
  <c r="H36" i="33"/>
  <c r="H40" i="33"/>
  <c r="H24" i="33"/>
  <c r="H18" i="33"/>
  <c r="H245" i="33"/>
  <c r="H177" i="33"/>
  <c r="H263" i="33"/>
  <c r="H214" i="33"/>
  <c r="H278" i="33"/>
  <c r="H121" i="33"/>
  <c r="H101" i="33"/>
  <c r="H30" i="33"/>
  <c r="H14" i="33"/>
  <c r="H285" i="33"/>
  <c r="H246" i="33"/>
  <c r="H273" i="33"/>
  <c r="H291" i="33"/>
  <c r="H227" i="33"/>
  <c r="H165" i="33"/>
  <c r="H266" i="33"/>
  <c r="H201" i="33"/>
  <c r="H163" i="33"/>
  <c r="H184" i="33"/>
  <c r="H80" i="33"/>
  <c r="H96" i="33"/>
  <c r="H74" i="33"/>
  <c r="H102" i="33"/>
  <c r="H147" i="33"/>
  <c r="H89" i="33"/>
  <c r="H66" i="33"/>
  <c r="H12" i="33"/>
  <c r="H242" i="33"/>
  <c r="H276" i="33"/>
  <c r="H253" i="33"/>
  <c r="H250" i="33"/>
  <c r="H229" i="33"/>
  <c r="H275" i="33"/>
  <c r="H243" i="33"/>
  <c r="H210" i="33"/>
  <c r="H200" i="33"/>
  <c r="H181" i="33"/>
  <c r="H282" i="33"/>
  <c r="H180" i="33"/>
  <c r="H151" i="33"/>
  <c r="H142" i="33"/>
  <c r="H186" i="33"/>
  <c r="H132" i="33"/>
  <c r="H138" i="33"/>
  <c r="H92" i="33"/>
  <c r="H105" i="33"/>
  <c r="H78" i="33"/>
  <c r="H20" i="33"/>
  <c r="H34" i="33"/>
  <c r="H222" i="33"/>
  <c r="H293" i="33"/>
  <c r="H277" i="33"/>
  <c r="H268" i="33"/>
  <c r="H237" i="33"/>
  <c r="H212" i="33"/>
  <c r="H231" i="33"/>
  <c r="H140" i="33"/>
  <c r="H206" i="33"/>
  <c r="H152" i="33"/>
  <c r="H136" i="33"/>
  <c r="H99" i="33"/>
  <c r="H131" i="33"/>
  <c r="H106" i="33"/>
  <c r="H108" i="33"/>
  <c r="H84" i="33"/>
  <c r="H44" i="33"/>
  <c r="H73" i="33"/>
  <c r="H52" i="33"/>
  <c r="H46" i="33"/>
  <c r="H19" i="33"/>
  <c r="H224" i="33"/>
  <c r="H236" i="33"/>
  <c r="H220" i="33"/>
  <c r="H249" i="33"/>
  <c r="H241" i="33"/>
  <c r="H264" i="33"/>
  <c r="H259" i="33"/>
  <c r="H91" i="33"/>
  <c r="H153" i="33"/>
  <c r="H189" i="33"/>
  <c r="H185" i="33"/>
  <c r="H172" i="33"/>
  <c r="H133" i="33"/>
  <c r="H198" i="33"/>
  <c r="H197" i="33"/>
  <c r="H115" i="33"/>
  <c r="H175" i="33"/>
  <c r="H128" i="33"/>
  <c r="H122" i="33"/>
  <c r="H61" i="33"/>
  <c r="H22" i="33"/>
  <c r="H72" i="33"/>
  <c r="H68" i="33"/>
  <c r="H28" i="33"/>
  <c r="H26" i="33"/>
  <c r="H8" i="33"/>
  <c r="H9" i="33"/>
  <c r="H13" i="33"/>
  <c r="H21" i="33"/>
  <c r="H29" i="33"/>
  <c r="H161" i="33"/>
  <c r="H79" i="33"/>
  <c r="H95" i="33"/>
  <c r="H296" i="33"/>
  <c r="H45" i="33"/>
  <c r="H86" i="33"/>
  <c r="H111" i="33"/>
  <c r="H193" i="33"/>
  <c r="H174" i="33"/>
  <c r="H47" i="33"/>
  <c r="H304" i="33"/>
  <c r="H119" i="33"/>
  <c r="H56" i="33"/>
  <c r="H67" i="33"/>
  <c r="H207" i="33"/>
  <c r="H87" i="33"/>
  <c r="H11" i="33"/>
  <c r="H199" i="33"/>
  <c r="H83" i="33"/>
  <c r="H7" i="33"/>
  <c r="H103" i="33"/>
  <c r="H182" i="33"/>
  <c r="H158" i="33"/>
  <c r="H190" i="33"/>
  <c r="H37" i="33"/>
  <c r="H137" i="33"/>
  <c r="H145" i="33"/>
  <c r="H166" i="33"/>
  <c r="H300" i="33"/>
  <c r="K8" i="33"/>
  <c r="K14" i="33"/>
  <c r="K30" i="33"/>
  <c r="K72" i="33"/>
  <c r="K55" i="33"/>
  <c r="K84" i="33"/>
  <c r="K68" i="33"/>
  <c r="K122" i="33"/>
  <c r="K138" i="33"/>
  <c r="K92" i="33"/>
  <c r="K100" i="33"/>
  <c r="K108" i="33"/>
  <c r="K159" i="33"/>
  <c r="K194" i="33"/>
  <c r="K165" i="33"/>
  <c r="K208" i="33"/>
  <c r="K114" i="33"/>
  <c r="K130" i="33"/>
  <c r="K146" i="33"/>
  <c r="K175" i="33"/>
  <c r="K200" i="33"/>
  <c r="K214" i="33"/>
  <c r="K178" i="33"/>
  <c r="K162" i="33"/>
  <c r="K191" i="33"/>
  <c r="K297" i="33"/>
  <c r="K305" i="33"/>
  <c r="K242" i="33"/>
  <c r="K292" i="33"/>
  <c r="K284" i="33"/>
  <c r="K277" i="33"/>
  <c r="K260" i="33"/>
  <c r="K253" i="33"/>
  <c r="K237" i="33"/>
  <c r="K234" i="33"/>
  <c r="K303" i="33"/>
  <c r="K293" i="33"/>
  <c r="K280" i="33"/>
  <c r="K273" i="33"/>
  <c r="K256" i="33"/>
  <c r="K240" i="33"/>
  <c r="K229" i="33"/>
  <c r="K226" i="33"/>
  <c r="K195" i="33"/>
  <c r="K177" i="33"/>
  <c r="K168" i="33"/>
  <c r="K179" i="33"/>
  <c r="K107" i="33"/>
  <c r="K279" i="33"/>
  <c r="K263" i="33"/>
  <c r="K203" i="33"/>
  <c r="K180" i="33"/>
  <c r="K157" i="33"/>
  <c r="K152" i="33"/>
  <c r="K151" i="33"/>
  <c r="K149" i="33"/>
  <c r="K133" i="33"/>
  <c r="K209" i="33"/>
  <c r="K142" i="33"/>
  <c r="K298" i="33"/>
  <c r="K202" i="33"/>
  <c r="K80" i="33"/>
  <c r="K160" i="33"/>
  <c r="K118" i="33"/>
  <c r="K147" i="33"/>
  <c r="K69" i="33"/>
  <c r="K64" i="33"/>
  <c r="K61" i="33"/>
  <c r="K32" i="33"/>
  <c r="K90" i="33"/>
  <c r="K71" i="33"/>
  <c r="K53" i="33"/>
  <c r="K63" i="33"/>
  <c r="K44" i="33"/>
  <c r="K105" i="33"/>
  <c r="K89" i="33"/>
  <c r="K222" i="33"/>
  <c r="K269" i="33"/>
  <c r="K252" i="33"/>
  <c r="K248" i="33"/>
  <c r="K236" i="33"/>
  <c r="K220" i="33"/>
  <c r="K221" i="33"/>
  <c r="K246" i="33"/>
  <c r="K272" i="33"/>
  <c r="K265" i="33"/>
  <c r="K212" i="33"/>
  <c r="K204" i="33"/>
  <c r="K173" i="33"/>
  <c r="K153" i="33"/>
  <c r="K110" i="33"/>
  <c r="K283" i="33"/>
  <c r="K267" i="33"/>
  <c r="K251" i="33"/>
  <c r="K243" i="33"/>
  <c r="K235" i="33"/>
  <c r="K227" i="33"/>
  <c r="K215" i="33"/>
  <c r="K206" i="33"/>
  <c r="K185" i="33"/>
  <c r="K183" i="33"/>
  <c r="K170" i="33"/>
  <c r="K294" i="33"/>
  <c r="K286" i="33"/>
  <c r="K278" i="33"/>
  <c r="K270" i="33"/>
  <c r="K262" i="33"/>
  <c r="K254" i="33"/>
  <c r="K196" i="33"/>
  <c r="K184" i="33"/>
  <c r="K181" i="33"/>
  <c r="K120" i="33"/>
  <c r="K115" i="33"/>
  <c r="K99" i="33"/>
  <c r="K104" i="33"/>
  <c r="K88" i="33"/>
  <c r="K74" i="33"/>
  <c r="K176" i="33"/>
  <c r="K144" i="33"/>
  <c r="K134" i="33"/>
  <c r="K123" i="33"/>
  <c r="K121" i="33"/>
  <c r="K112" i="33"/>
  <c r="K102" i="33"/>
  <c r="K148" i="33"/>
  <c r="K131" i="33"/>
  <c r="K125" i="33"/>
  <c r="K117" i="33"/>
  <c r="K109" i="33"/>
  <c r="K81" i="33"/>
  <c r="K22" i="33"/>
  <c r="K101" i="33"/>
  <c r="K75" i="33"/>
  <c r="K20" i="33"/>
  <c r="K24" i="33"/>
  <c r="K28" i="33"/>
  <c r="K35" i="33"/>
  <c r="K250" i="33"/>
  <c r="K289" i="33"/>
  <c r="K129" i="33"/>
  <c r="K210" i="33"/>
  <c r="K188" i="33"/>
  <c r="K124" i="33"/>
  <c r="K211" i="33"/>
  <c r="K271" i="33"/>
  <c r="K187" i="33"/>
  <c r="K126" i="33"/>
  <c r="K136" i="33"/>
  <c r="K150" i="33"/>
  <c r="K57" i="33"/>
  <c r="K51" i="33"/>
  <c r="K98" i="33"/>
  <c r="K85" i="33"/>
  <c r="K59" i="33"/>
  <c r="K127" i="33"/>
  <c r="K65" i="33"/>
  <c r="K97" i="33"/>
  <c r="K78" i="33"/>
  <c r="K62" i="33"/>
  <c r="K36" i="33"/>
  <c r="K26" i="33"/>
  <c r="K33" i="33"/>
  <c r="K9" i="33"/>
  <c r="K264" i="33"/>
  <c r="K189" i="33"/>
  <c r="K255" i="33"/>
  <c r="K201" i="33"/>
  <c r="K172" i="33"/>
  <c r="K219" i="33"/>
  <c r="K169" i="33"/>
  <c r="K94" i="33"/>
  <c r="K76" i="33"/>
  <c r="K41" i="33"/>
  <c r="K25" i="33"/>
  <c r="K276" i="33"/>
  <c r="K295" i="33"/>
  <c r="K233" i="33"/>
  <c r="K205" i="33"/>
  <c r="K186" i="33"/>
  <c r="K239" i="33"/>
  <c r="K213" i="33"/>
  <c r="K290" i="33"/>
  <c r="K258" i="33"/>
  <c r="K135" i="33"/>
  <c r="K50" i="33"/>
  <c r="K49" i="33"/>
  <c r="K299" i="33"/>
  <c r="K224" i="33"/>
  <c r="K268" i="33"/>
  <c r="K261" i="33"/>
  <c r="K218" i="33"/>
  <c r="K225" i="33"/>
  <c r="K301" i="33"/>
  <c r="K257" i="33"/>
  <c r="K245" i="33"/>
  <c r="K217" i="33"/>
  <c r="K216" i="33"/>
  <c r="K140" i="33"/>
  <c r="K291" i="33"/>
  <c r="K259" i="33"/>
  <c r="K247" i="33"/>
  <c r="K231" i="33"/>
  <c r="K163" i="33"/>
  <c r="K302" i="33"/>
  <c r="K282" i="33"/>
  <c r="K266" i="33"/>
  <c r="K167" i="33"/>
  <c r="K156" i="33"/>
  <c r="K154" i="33"/>
  <c r="K139" i="33"/>
  <c r="K192" i="33"/>
  <c r="K128" i="33"/>
  <c r="K116" i="33"/>
  <c r="K52" i="33"/>
  <c r="K143" i="33"/>
  <c r="K106" i="33"/>
  <c r="K54" i="33"/>
  <c r="K16" i="33"/>
  <c r="K70" i="33"/>
  <c r="K77" i="33"/>
  <c r="K93" i="33"/>
  <c r="K73" i="33"/>
  <c r="K60" i="33"/>
  <c r="K10" i="33"/>
  <c r="K46" i="33"/>
  <c r="K43" i="33"/>
  <c r="K27" i="33"/>
  <c r="K42" i="33"/>
  <c r="K18" i="33"/>
  <c r="K39" i="33"/>
  <c r="K23" i="33"/>
  <c r="K17" i="33"/>
  <c r="K15" i="33"/>
  <c r="K285" i="33"/>
  <c r="K238" i="33"/>
  <c r="K249" i="33"/>
  <c r="K232" i="33"/>
  <c r="K241" i="33"/>
  <c r="K228" i="33"/>
  <c r="K155" i="33"/>
  <c r="K91" i="33"/>
  <c r="K287" i="33"/>
  <c r="K198" i="33"/>
  <c r="K113" i="33"/>
  <c r="K197" i="33"/>
  <c r="K164" i="33"/>
  <c r="K96" i="33"/>
  <c r="K141" i="33"/>
  <c r="K58" i="33"/>
  <c r="K38" i="33"/>
  <c r="K82" i="33"/>
  <c r="K66" i="33"/>
  <c r="K48" i="33"/>
  <c r="K40" i="33"/>
  <c r="K19" i="33"/>
  <c r="K34" i="33"/>
  <c r="K244" i="33"/>
  <c r="K230" i="33"/>
  <c r="K288" i="33"/>
  <c r="K281" i="33"/>
  <c r="K275" i="33"/>
  <c r="K223" i="33"/>
  <c r="K274" i="33"/>
  <c r="K171" i="33"/>
  <c r="K132" i="33"/>
  <c r="K12" i="33"/>
  <c r="K31" i="33"/>
  <c r="K87" i="33"/>
  <c r="K11" i="33"/>
  <c r="K158" i="33"/>
  <c r="K199" i="33"/>
  <c r="K83" i="33"/>
  <c r="K7" i="33"/>
  <c r="K119" i="33"/>
  <c r="K190" i="33"/>
  <c r="K103" i="33"/>
  <c r="K111" i="33"/>
  <c r="K193" i="33"/>
  <c r="K79" i="33"/>
  <c r="K95" i="33"/>
  <c r="K182" i="33"/>
  <c r="K296" i="33"/>
  <c r="K174" i="33"/>
  <c r="K304" i="33"/>
  <c r="K67" i="33"/>
  <c r="K166" i="33"/>
  <c r="K300" i="33"/>
  <c r="K37" i="33"/>
  <c r="K45" i="33"/>
  <c r="K13" i="33"/>
  <c r="K86" i="33"/>
  <c r="K137" i="33"/>
  <c r="K21" i="33"/>
  <c r="K145" i="33"/>
  <c r="K29" i="33"/>
  <c r="K47" i="33"/>
  <c r="K56" i="33"/>
  <c r="K161" i="33"/>
  <c r="K207" i="33"/>
  <c r="J17" i="33"/>
  <c r="J25" i="33"/>
  <c r="J33" i="33"/>
  <c r="J41" i="33"/>
  <c r="J9" i="33"/>
  <c r="J15" i="33"/>
  <c r="J31" i="33"/>
  <c r="J49" i="33"/>
  <c r="J52" i="33"/>
  <c r="J23" i="33"/>
  <c r="J39" i="33"/>
  <c r="J73" i="33"/>
  <c r="J84" i="33"/>
  <c r="J89" i="33"/>
  <c r="J97" i="33"/>
  <c r="J105" i="33"/>
  <c r="J127" i="33"/>
  <c r="J135" i="33"/>
  <c r="J143" i="33"/>
  <c r="J58" i="33"/>
  <c r="J77" i="33"/>
  <c r="J93" i="33"/>
  <c r="J101" i="33"/>
  <c r="J109" i="33"/>
  <c r="J125" i="33"/>
  <c r="J131" i="33"/>
  <c r="J147" i="33"/>
  <c r="J160" i="33"/>
  <c r="J176" i="33"/>
  <c r="J192" i="33"/>
  <c r="J117" i="33"/>
  <c r="J150" i="33"/>
  <c r="J159" i="33"/>
  <c r="J175" i="33"/>
  <c r="J191" i="33"/>
  <c r="J211" i="33"/>
  <c r="J258" i="33"/>
  <c r="J274" i="33"/>
  <c r="J290" i="33"/>
  <c r="J171" i="33"/>
  <c r="J184" i="33"/>
  <c r="J215" i="33"/>
  <c r="J139" i="33"/>
  <c r="J201" i="33"/>
  <c r="J197" i="33"/>
  <c r="J123" i="33"/>
  <c r="J254" i="33"/>
  <c r="J262" i="33"/>
  <c r="J266" i="33"/>
  <c r="J270" i="33"/>
  <c r="J278" i="33"/>
  <c r="J282" i="33"/>
  <c r="J286" i="33"/>
  <c r="J294" i="33"/>
  <c r="J302" i="33"/>
  <c r="J298" i="33"/>
  <c r="J301" i="33"/>
  <c r="J276" i="33"/>
  <c r="J268" i="33"/>
  <c r="J261" i="33"/>
  <c r="J234" i="33"/>
  <c r="J220" i="33"/>
  <c r="J187" i="33"/>
  <c r="J295" i="33"/>
  <c r="J244" i="33"/>
  <c r="J233" i="33"/>
  <c r="J289" i="33"/>
  <c r="J265" i="33"/>
  <c r="J264" i="33"/>
  <c r="J228" i="33"/>
  <c r="J226" i="33"/>
  <c r="J212" i="33"/>
  <c r="J210" i="33"/>
  <c r="J186" i="33"/>
  <c r="J165" i="33"/>
  <c r="J140" i="33"/>
  <c r="J91" i="33"/>
  <c r="J189" i="33"/>
  <c r="J196" i="33"/>
  <c r="J151" i="33"/>
  <c r="J133" i="33"/>
  <c r="J198" i="33"/>
  <c r="J162" i="33"/>
  <c r="J126" i="33"/>
  <c r="J287" i="33"/>
  <c r="J279" i="33"/>
  <c r="J271" i="33"/>
  <c r="J263" i="33"/>
  <c r="J255" i="33"/>
  <c r="J243" i="33"/>
  <c r="J227" i="33"/>
  <c r="J205" i="33"/>
  <c r="J136" i="33"/>
  <c r="J115" i="33"/>
  <c r="J146" i="33"/>
  <c r="J114" i="33"/>
  <c r="J132" i="33"/>
  <c r="J128" i="33"/>
  <c r="J121" i="33"/>
  <c r="J69" i="33"/>
  <c r="J106" i="33"/>
  <c r="J59" i="33"/>
  <c r="J100" i="33"/>
  <c r="J53" i="33"/>
  <c r="J66" i="33"/>
  <c r="J78" i="33"/>
  <c r="J299" i="33"/>
  <c r="J224" i="33"/>
  <c r="J222" i="33"/>
  <c r="J250" i="33"/>
  <c r="J225" i="33"/>
  <c r="J249" i="33"/>
  <c r="J246" i="33"/>
  <c r="J232" i="33"/>
  <c r="J241" i="33"/>
  <c r="J288" i="33"/>
  <c r="J245" i="33"/>
  <c r="J209" i="33"/>
  <c r="J219" i="33"/>
  <c r="J129" i="33"/>
  <c r="J214" i="33"/>
  <c r="J200" i="33"/>
  <c r="J181" i="33"/>
  <c r="J180" i="33"/>
  <c r="J172" i="33"/>
  <c r="J163" i="33"/>
  <c r="J113" i="33"/>
  <c r="J239" i="33"/>
  <c r="J223" i="33"/>
  <c r="J167" i="33"/>
  <c r="J154" i="33"/>
  <c r="J96" i="33"/>
  <c r="J94" i="33"/>
  <c r="J138" i="33"/>
  <c r="J122" i="33"/>
  <c r="J57" i="33"/>
  <c r="J51" i="33"/>
  <c r="J98" i="33"/>
  <c r="J85" i="33"/>
  <c r="J16" i="33"/>
  <c r="J70" i="33"/>
  <c r="J22" i="33"/>
  <c r="J82" i="33"/>
  <c r="J68" i="33"/>
  <c r="J60" i="33"/>
  <c r="J40" i="33"/>
  <c r="J14" i="33"/>
  <c r="J18" i="33"/>
  <c r="J35" i="33"/>
  <c r="J19" i="33"/>
  <c r="J242" i="33"/>
  <c r="J253" i="33"/>
  <c r="J248" i="33"/>
  <c r="J238" i="33"/>
  <c r="J305" i="33"/>
  <c r="J280" i="33"/>
  <c r="J273" i="33"/>
  <c r="J256" i="33"/>
  <c r="J217" i="33"/>
  <c r="J173" i="33"/>
  <c r="J203" i="33"/>
  <c r="J142" i="33"/>
  <c r="J283" i="33"/>
  <c r="J267" i="33"/>
  <c r="J251" i="33"/>
  <c r="J80" i="33"/>
  <c r="J88" i="33"/>
  <c r="J144" i="33"/>
  <c r="J134" i="33"/>
  <c r="J112" i="33"/>
  <c r="J141" i="33"/>
  <c r="J71" i="33"/>
  <c r="J38" i="33"/>
  <c r="J72" i="33"/>
  <c r="J63" i="33"/>
  <c r="J46" i="33"/>
  <c r="J28" i="33"/>
  <c r="J34" i="33"/>
  <c r="J43" i="33"/>
  <c r="J229" i="33"/>
  <c r="J185" i="33"/>
  <c r="J157" i="33"/>
  <c r="J149" i="33"/>
  <c r="J291" i="33"/>
  <c r="J259" i="33"/>
  <c r="J213" i="33"/>
  <c r="J156" i="33"/>
  <c r="J74" i="33"/>
  <c r="J148" i="33"/>
  <c r="J92" i="33"/>
  <c r="J55" i="33"/>
  <c r="J65" i="33"/>
  <c r="J36" i="33"/>
  <c r="J10" i="33"/>
  <c r="J26" i="33"/>
  <c r="J8" i="33"/>
  <c r="J293" i="33"/>
  <c r="J284" i="33"/>
  <c r="J260" i="33"/>
  <c r="J237" i="33"/>
  <c r="J218" i="33"/>
  <c r="J124" i="33"/>
  <c r="J168" i="33"/>
  <c r="J155" i="33"/>
  <c r="J120" i="33"/>
  <c r="J130" i="33"/>
  <c r="J108" i="33"/>
  <c r="J75" i="33"/>
  <c r="J42" i="33"/>
  <c r="J292" i="33"/>
  <c r="J285" i="33"/>
  <c r="J230" i="33"/>
  <c r="J297" i="33"/>
  <c r="J204" i="33"/>
  <c r="J177" i="33"/>
  <c r="J188" i="33"/>
  <c r="J179" i="33"/>
  <c r="J110" i="33"/>
  <c r="J206" i="33"/>
  <c r="J183" i="33"/>
  <c r="J170" i="33"/>
  <c r="J152" i="33"/>
  <c r="J247" i="33"/>
  <c r="J208" i="33"/>
  <c r="J178" i="33"/>
  <c r="J169" i="33"/>
  <c r="J99" i="33"/>
  <c r="J64" i="33"/>
  <c r="J90" i="33"/>
  <c r="J44" i="33"/>
  <c r="J48" i="33"/>
  <c r="J50" i="33"/>
  <c r="J30" i="33"/>
  <c r="J12" i="33"/>
  <c r="J269" i="33"/>
  <c r="J252" i="33"/>
  <c r="J236" i="33"/>
  <c r="J221" i="33"/>
  <c r="J281" i="33"/>
  <c r="J257" i="33"/>
  <c r="J240" i="33"/>
  <c r="J195" i="33"/>
  <c r="J107" i="33"/>
  <c r="J153" i="33"/>
  <c r="J194" i="33"/>
  <c r="J275" i="33"/>
  <c r="J235" i="33"/>
  <c r="J202" i="33"/>
  <c r="J104" i="33"/>
  <c r="J116" i="33"/>
  <c r="J102" i="33"/>
  <c r="J61" i="33"/>
  <c r="J32" i="33"/>
  <c r="J54" i="33"/>
  <c r="J81" i="33"/>
  <c r="J62" i="33"/>
  <c r="J20" i="33"/>
  <c r="J24" i="33"/>
  <c r="J277" i="33"/>
  <c r="J303" i="33"/>
  <c r="J272" i="33"/>
  <c r="J216" i="33"/>
  <c r="J231" i="33"/>
  <c r="J164" i="33"/>
  <c r="J118" i="33"/>
  <c r="J76" i="33"/>
  <c r="J27" i="33"/>
  <c r="J47" i="33"/>
  <c r="J304" i="33"/>
  <c r="J137" i="33"/>
  <c r="J145" i="33"/>
  <c r="J56" i="33"/>
  <c r="J67" i="33"/>
  <c r="J166" i="33"/>
  <c r="J300" i="33"/>
  <c r="J207" i="33"/>
  <c r="J111" i="33"/>
  <c r="J29" i="33"/>
  <c r="J11" i="33"/>
  <c r="J199" i="33"/>
  <c r="J103" i="33"/>
  <c r="J79" i="33"/>
  <c r="J95" i="33"/>
  <c r="J193" i="33"/>
  <c r="J45" i="33"/>
  <c r="J13" i="33"/>
  <c r="J119" i="33"/>
  <c r="J21" i="33"/>
  <c r="J161" i="33"/>
  <c r="J87" i="33"/>
  <c r="J83" i="33"/>
  <c r="J7" i="33"/>
  <c r="J182" i="33"/>
  <c r="J296" i="33"/>
  <c r="J158" i="33"/>
  <c r="J86" i="33"/>
  <c r="J190" i="33"/>
  <c r="J37" i="33"/>
  <c r="J174" i="33"/>
  <c r="L306" i="49"/>
  <c r="H5" i="25"/>
  <c r="H6" i="33"/>
  <c r="J6" i="33"/>
  <c r="K6" i="33"/>
  <c r="G6" i="33"/>
  <c r="L306" i="11"/>
  <c r="G306" i="11"/>
  <c r="E6" i="37"/>
  <c r="G6" i="37" s="1"/>
  <c r="I6" i="33"/>
  <c r="F111" i="12" l="1"/>
  <c r="L292" i="33"/>
  <c r="M292" i="33" s="1"/>
  <c r="L271" i="33"/>
  <c r="M271" i="33" s="1"/>
  <c r="L15" i="33"/>
  <c r="M15" i="33" s="1"/>
  <c r="L284" i="33"/>
  <c r="M284" i="33" s="1"/>
  <c r="G290" i="9" s="1"/>
  <c r="L48" i="33"/>
  <c r="M48" i="33" s="1"/>
  <c r="G54" i="9" s="1"/>
  <c r="L177" i="33"/>
  <c r="M177" i="33" s="1"/>
  <c r="G183" i="9" s="1"/>
  <c r="L233" i="33"/>
  <c r="M233" i="33" s="1"/>
  <c r="L154" i="33"/>
  <c r="M154" i="33" s="1"/>
  <c r="G160" i="9" s="1"/>
  <c r="L169" i="33"/>
  <c r="M169" i="33" s="1"/>
  <c r="L26" i="33"/>
  <c r="M26" i="33" s="1"/>
  <c r="L11" i="33"/>
  <c r="M11" i="33" s="1"/>
  <c r="L95" i="33"/>
  <c r="M95" i="33" s="1"/>
  <c r="G101" i="9" s="1"/>
  <c r="L194" i="33"/>
  <c r="M194" i="33" s="1"/>
  <c r="G200" i="9" s="1"/>
  <c r="L113" i="33"/>
  <c r="M113" i="33" s="1"/>
  <c r="G119" i="9" s="1"/>
  <c r="L272" i="33"/>
  <c r="M272" i="33" s="1"/>
  <c r="G278" i="9" s="1"/>
  <c r="L222" i="33"/>
  <c r="M222" i="33" s="1"/>
  <c r="G228" i="9" s="1"/>
  <c r="L92" i="33"/>
  <c r="M92" i="33" s="1"/>
  <c r="G98" i="9" s="1"/>
  <c r="L17" i="33"/>
  <c r="M17" i="33" s="1"/>
  <c r="L135" i="33"/>
  <c r="M135" i="33" s="1"/>
  <c r="L91" i="33"/>
  <c r="M91" i="33" s="1"/>
  <c r="G97" i="9" s="1"/>
  <c r="L244" i="33"/>
  <c r="M244" i="33" s="1"/>
  <c r="L116" i="33"/>
  <c r="M116" i="33" s="1"/>
  <c r="G122" i="9" s="1"/>
  <c r="L83" i="33"/>
  <c r="M83" i="33" s="1"/>
  <c r="G89" i="9" s="1"/>
  <c r="L45" i="33"/>
  <c r="M45" i="33" s="1"/>
  <c r="G51" i="9" s="1"/>
  <c r="L240" i="33"/>
  <c r="M240" i="33" s="1"/>
  <c r="L122" i="33"/>
  <c r="M122" i="33" s="1"/>
  <c r="L66" i="33"/>
  <c r="M66" i="33" s="1"/>
  <c r="L195" i="33"/>
  <c r="M195" i="33" s="1"/>
  <c r="G201" i="9" s="1"/>
  <c r="L101" i="33"/>
  <c r="M101" i="33" s="1"/>
  <c r="G107" i="9" s="1"/>
  <c r="L102" i="33"/>
  <c r="M102" i="33" s="1"/>
  <c r="G108" i="9" s="1"/>
  <c r="L148" i="33"/>
  <c r="M148" i="33" s="1"/>
  <c r="G154" i="9" s="1"/>
  <c r="L47" i="33"/>
  <c r="M47" i="33" s="1"/>
  <c r="G53" i="9" s="1"/>
  <c r="L207" i="33"/>
  <c r="M207" i="33" s="1"/>
  <c r="L21" i="33"/>
  <c r="M21" i="33" s="1"/>
  <c r="L55" i="33"/>
  <c r="M55" i="33" s="1"/>
  <c r="L71" i="33"/>
  <c r="M71" i="33" s="1"/>
  <c r="L126" i="33"/>
  <c r="M126" i="33" s="1"/>
  <c r="G132" i="9" s="1"/>
  <c r="L281" i="33"/>
  <c r="M281" i="33" s="1"/>
  <c r="G287" i="9" s="1"/>
  <c r="L65" i="33"/>
  <c r="M65" i="33" s="1"/>
  <c r="G71" i="9" s="1"/>
  <c r="L151" i="33"/>
  <c r="M151" i="33" s="1"/>
  <c r="G157" i="9" s="1"/>
  <c r="L138" i="33"/>
  <c r="M138" i="33" s="1"/>
  <c r="L27" i="33"/>
  <c r="M27" i="33" s="1"/>
  <c r="L179" i="33"/>
  <c r="M179" i="33" s="1"/>
  <c r="L245" i="33"/>
  <c r="M245" i="33" s="1"/>
  <c r="G251" i="9" s="1"/>
  <c r="L237" i="33"/>
  <c r="M237" i="33" s="1"/>
  <c r="G243" i="9" s="1"/>
  <c r="L43" i="33"/>
  <c r="M43" i="33" s="1"/>
  <c r="G49" i="9" s="1"/>
  <c r="L106" i="33"/>
  <c r="M106" i="33" s="1"/>
  <c r="G112" i="9" s="1"/>
  <c r="L61" i="33"/>
  <c r="M61" i="33" s="1"/>
  <c r="G67" i="9" s="1"/>
  <c r="L139" i="33"/>
  <c r="M139" i="33" s="1"/>
  <c r="L211" i="33"/>
  <c r="M211" i="33" s="1"/>
  <c r="L165" i="33"/>
  <c r="M165" i="33" s="1"/>
  <c r="G171" i="9" s="1"/>
  <c r="L265" i="33"/>
  <c r="M265" i="33" s="1"/>
  <c r="G271" i="9" s="1"/>
  <c r="L258" i="33"/>
  <c r="M258" i="33" s="1"/>
  <c r="L290" i="33"/>
  <c r="M290" i="33" s="1"/>
  <c r="G296" i="9" s="1"/>
  <c r="L59" i="33"/>
  <c r="M59" i="33" s="1"/>
  <c r="G65" i="9" s="1"/>
  <c r="L150" i="33"/>
  <c r="M150" i="33" s="1"/>
  <c r="G156" i="9" s="1"/>
  <c r="L104" i="33"/>
  <c r="M104" i="33" s="1"/>
  <c r="L206" i="33"/>
  <c r="M206" i="33" s="1"/>
  <c r="L239" i="33"/>
  <c r="M239" i="33" s="1"/>
  <c r="L291" i="33"/>
  <c r="M291" i="33" s="1"/>
  <c r="L185" i="33"/>
  <c r="M185" i="33" s="1"/>
  <c r="G191" i="9" s="1"/>
  <c r="L252" i="33"/>
  <c r="M252" i="33" s="1"/>
  <c r="G258" i="9" s="1"/>
  <c r="L208" i="33"/>
  <c r="M208" i="33" s="1"/>
  <c r="G214" i="9" s="1"/>
  <c r="L67" i="33"/>
  <c r="M67" i="33" s="1"/>
  <c r="G73" i="9" s="1"/>
  <c r="L221" i="33"/>
  <c r="M221" i="33" s="1"/>
  <c r="L64" i="33"/>
  <c r="M64" i="33" s="1"/>
  <c r="G70" i="9" s="1"/>
  <c r="L170" i="33"/>
  <c r="M170" i="33" s="1"/>
  <c r="G176" i="9" s="1"/>
  <c r="L28" i="33"/>
  <c r="M28" i="33" s="1"/>
  <c r="G34" i="9" s="1"/>
  <c r="L96" i="33"/>
  <c r="M96" i="33" s="1"/>
  <c r="L256" i="33"/>
  <c r="M256" i="33" s="1"/>
  <c r="G262" i="9" s="1"/>
  <c r="L238" i="33"/>
  <c r="M238" i="33" s="1"/>
  <c r="G244" i="9" s="1"/>
  <c r="L149" i="33"/>
  <c r="M149" i="33" s="1"/>
  <c r="G155" i="9" s="1"/>
  <c r="L190" i="33"/>
  <c r="M190" i="33" s="1"/>
  <c r="L161" i="33"/>
  <c r="M161" i="33" s="1"/>
  <c r="L199" i="33"/>
  <c r="M199" i="33" s="1"/>
  <c r="G205" i="9" s="1"/>
  <c r="L174" i="33"/>
  <c r="M174" i="33" s="1"/>
  <c r="L137" i="33"/>
  <c r="M137" i="33" s="1"/>
  <c r="G143" i="9" s="1"/>
  <c r="L85" i="33"/>
  <c r="M85" i="33" s="1"/>
  <c r="G91" i="9" s="1"/>
  <c r="L114" i="33"/>
  <c r="M114" i="33" s="1"/>
  <c r="G120" i="9" s="1"/>
  <c r="L226" i="33"/>
  <c r="M226" i="33" s="1"/>
  <c r="G232" i="9" s="1"/>
  <c r="L50" i="33"/>
  <c r="M50" i="33" s="1"/>
  <c r="L183" i="33"/>
  <c r="M183" i="33" s="1"/>
  <c r="L278" i="33"/>
  <c r="M278" i="33" s="1"/>
  <c r="L63" i="33"/>
  <c r="M63" i="33" s="1"/>
  <c r="L80" i="33"/>
  <c r="M80" i="33" s="1"/>
  <c r="G86" i="9" s="1"/>
  <c r="L133" i="33"/>
  <c r="M133" i="33" s="1"/>
  <c r="G139" i="9" s="1"/>
  <c r="L270" i="33"/>
  <c r="M270" i="33" s="1"/>
  <c r="G276" i="9" s="1"/>
  <c r="L241" i="33"/>
  <c r="M241" i="33" s="1"/>
  <c r="G247" i="9" s="1"/>
  <c r="L40" i="33"/>
  <c r="M40" i="33" s="1"/>
  <c r="G46" i="9" s="1"/>
  <c r="L180" i="33"/>
  <c r="M180" i="33" s="1"/>
  <c r="L250" i="33"/>
  <c r="M250" i="33" s="1"/>
  <c r="G256" i="9" s="1"/>
  <c r="L73" i="33"/>
  <c r="M73" i="33" s="1"/>
  <c r="L70" i="33"/>
  <c r="M70" i="33" s="1"/>
  <c r="L160" i="33"/>
  <c r="M160" i="33" s="1"/>
  <c r="G166" i="9" s="1"/>
  <c r="L200" i="33"/>
  <c r="M200" i="33" s="1"/>
  <c r="G206" i="9" s="1"/>
  <c r="L181" i="33"/>
  <c r="M181" i="33" s="1"/>
  <c r="G187" i="9" s="1"/>
  <c r="L257" i="33"/>
  <c r="M257" i="33" s="1"/>
  <c r="L260" i="33"/>
  <c r="M260" i="33" s="1"/>
  <c r="L285" i="33"/>
  <c r="M285" i="33" s="1"/>
  <c r="G291" i="9" s="1"/>
  <c r="L12" i="33"/>
  <c r="M12" i="33" s="1"/>
  <c r="G18" i="9" s="1"/>
  <c r="L78" i="33"/>
  <c r="M78" i="33" s="1"/>
  <c r="G84" i="9" s="1"/>
  <c r="L38" i="33"/>
  <c r="M38" i="33" s="1"/>
  <c r="G44" i="9" s="1"/>
  <c r="L89" i="33"/>
  <c r="M89" i="33" s="1"/>
  <c r="G95" i="9" s="1"/>
  <c r="L153" i="33"/>
  <c r="M153" i="33" s="1"/>
  <c r="G159" i="9" s="1"/>
  <c r="L142" i="33"/>
  <c r="M142" i="33" s="1"/>
  <c r="L152" i="33"/>
  <c r="M152" i="33" s="1"/>
  <c r="L205" i="33"/>
  <c r="M205" i="33" s="1"/>
  <c r="G211" i="9" s="1"/>
  <c r="L228" i="33"/>
  <c r="M228" i="33" s="1"/>
  <c r="G234" i="9" s="1"/>
  <c r="L286" i="33"/>
  <c r="M286" i="33" s="1"/>
  <c r="L261" i="33"/>
  <c r="M261" i="33" s="1"/>
  <c r="G267" i="9" s="1"/>
  <c r="L75" i="33"/>
  <c r="M75" i="33" s="1"/>
  <c r="G81" i="9" s="1"/>
  <c r="L109" i="33"/>
  <c r="M109" i="33" s="1"/>
  <c r="G115" i="9" s="1"/>
  <c r="L57" i="33"/>
  <c r="M57" i="33" s="1"/>
  <c r="L159" i="33"/>
  <c r="M159" i="33" s="1"/>
  <c r="L176" i="33"/>
  <c r="M176" i="33" s="1"/>
  <c r="G182" i="9" s="1"/>
  <c r="L130" i="33"/>
  <c r="M130" i="33" s="1"/>
  <c r="G136" i="9" s="1"/>
  <c r="L167" i="33"/>
  <c r="M167" i="33" s="1"/>
  <c r="G173" i="9" s="1"/>
  <c r="L215" i="33"/>
  <c r="M215" i="33" s="1"/>
  <c r="G221" i="9" s="1"/>
  <c r="L247" i="33"/>
  <c r="M247" i="33" s="1"/>
  <c r="G253" i="9" s="1"/>
  <c r="L124" i="33"/>
  <c r="M124" i="33" s="1"/>
  <c r="G130" i="9" s="1"/>
  <c r="L293" i="33"/>
  <c r="M293" i="33" s="1"/>
  <c r="G299" i="9" s="1"/>
  <c r="L218" i="33"/>
  <c r="M218" i="33" s="1"/>
  <c r="L266" i="33"/>
  <c r="M266" i="33" s="1"/>
  <c r="G272" i="9" s="1"/>
  <c r="L305" i="33"/>
  <c r="M305" i="33" s="1"/>
  <c r="G311" i="9" s="1"/>
  <c r="L214" i="33"/>
  <c r="M214" i="33" s="1"/>
  <c r="G220" i="9" s="1"/>
  <c r="L196" i="33"/>
  <c r="M196" i="33" s="1"/>
  <c r="G202" i="9" s="1"/>
  <c r="L72" i="33"/>
  <c r="M72" i="33" s="1"/>
  <c r="G78" i="9" s="1"/>
  <c r="L34" i="33"/>
  <c r="M34" i="33" s="1"/>
  <c r="G40" i="9" s="1"/>
  <c r="L111" i="33"/>
  <c r="L304" i="33"/>
  <c r="M304" i="33" s="1"/>
  <c r="L296" i="33"/>
  <c r="M296" i="33" s="1"/>
  <c r="G302" i="9" s="1"/>
  <c r="L103" i="33"/>
  <c r="M103" i="33" s="1"/>
  <c r="G109" i="9" s="1"/>
  <c r="L87" i="33"/>
  <c r="M87" i="33" s="1"/>
  <c r="G93" i="9" s="1"/>
  <c r="L300" i="33"/>
  <c r="M300" i="33" s="1"/>
  <c r="G306" i="9" s="1"/>
  <c r="L29" i="33"/>
  <c r="M29" i="33" s="1"/>
  <c r="G35" i="9" s="1"/>
  <c r="L86" i="33"/>
  <c r="M86" i="33" s="1"/>
  <c r="G92" i="9" s="1"/>
  <c r="L30" i="33"/>
  <c r="M30" i="33" s="1"/>
  <c r="L98" i="33"/>
  <c r="M98" i="33" s="1"/>
  <c r="L146" i="33"/>
  <c r="M146" i="33" s="1"/>
  <c r="G152" i="9" s="1"/>
  <c r="L107" i="33"/>
  <c r="M107" i="33" s="1"/>
  <c r="G113" i="9" s="1"/>
  <c r="L229" i="33"/>
  <c r="M229" i="33" s="1"/>
  <c r="G235" i="9" s="1"/>
  <c r="L31" i="33"/>
  <c r="M31" i="33" s="1"/>
  <c r="G37" i="9" s="1"/>
  <c r="L16" i="33"/>
  <c r="M16" i="33" s="1"/>
  <c r="G22" i="9" s="1"/>
  <c r="L147" i="33"/>
  <c r="M147" i="33" s="1"/>
  <c r="G153" i="9" s="1"/>
  <c r="L227" i="33"/>
  <c r="M227" i="33" s="1"/>
  <c r="L220" i="33"/>
  <c r="M220" i="33" s="1"/>
  <c r="L41" i="33"/>
  <c r="M41" i="33" s="1"/>
  <c r="G47" i="9" s="1"/>
  <c r="L82" i="33"/>
  <c r="M82" i="33" s="1"/>
  <c r="G88" i="9" s="1"/>
  <c r="L94" i="33"/>
  <c r="M94" i="33" s="1"/>
  <c r="G100" i="9" s="1"/>
  <c r="L136" i="33"/>
  <c r="M136" i="33" s="1"/>
  <c r="G142" i="9" s="1"/>
  <c r="L187" i="33"/>
  <c r="M187" i="33" s="1"/>
  <c r="G193" i="9" s="1"/>
  <c r="L173" i="33"/>
  <c r="M173" i="33" s="1"/>
  <c r="G179" i="9" s="1"/>
  <c r="L273" i="33"/>
  <c r="M273" i="33" s="1"/>
  <c r="L232" i="33"/>
  <c r="M232" i="33" s="1"/>
  <c r="L294" i="33"/>
  <c r="M294" i="33" s="1"/>
  <c r="G300" i="9" s="1"/>
  <c r="L10" i="33"/>
  <c r="M10" i="33" s="1"/>
  <c r="L202" i="33"/>
  <c r="M202" i="33" s="1"/>
  <c r="G208" i="9" s="1"/>
  <c r="L189" i="33"/>
  <c r="M189" i="33" s="1"/>
  <c r="G195" i="9" s="1"/>
  <c r="L242" i="33"/>
  <c r="M242" i="33" s="1"/>
  <c r="G248" i="9" s="1"/>
  <c r="L110" i="33"/>
  <c r="M110" i="33" s="1"/>
  <c r="G116" i="9" s="1"/>
  <c r="L23" i="33"/>
  <c r="M23" i="33" s="1"/>
  <c r="L77" i="33"/>
  <c r="M77" i="33" s="1"/>
  <c r="L93" i="33"/>
  <c r="M93" i="33" s="1"/>
  <c r="G99" i="9" s="1"/>
  <c r="L120" i="33"/>
  <c r="M120" i="33" s="1"/>
  <c r="G126" i="9" s="1"/>
  <c r="L235" i="33"/>
  <c r="M235" i="33" s="1"/>
  <c r="G241" i="9" s="1"/>
  <c r="L186" i="33"/>
  <c r="M186" i="33" s="1"/>
  <c r="G192" i="9" s="1"/>
  <c r="L303" i="33"/>
  <c r="M303" i="33" s="1"/>
  <c r="G309" i="9" s="1"/>
  <c r="L274" i="33"/>
  <c r="M274" i="33" s="1"/>
  <c r="G280" i="9" s="1"/>
  <c r="L224" i="33"/>
  <c r="M224" i="33" s="1"/>
  <c r="L46" i="33"/>
  <c r="M46" i="33" s="1"/>
  <c r="L84" i="33"/>
  <c r="M84" i="33" s="1"/>
  <c r="G90" i="9" s="1"/>
  <c r="L49" i="33"/>
  <c r="M49" i="33" s="1"/>
  <c r="G55" i="9" s="1"/>
  <c r="L143" i="33"/>
  <c r="M143" i="33" s="1"/>
  <c r="L132" i="33"/>
  <c r="M132" i="33" s="1"/>
  <c r="G138" i="9" s="1"/>
  <c r="L164" i="33"/>
  <c r="M164" i="33" s="1"/>
  <c r="G170" i="9" s="1"/>
  <c r="L198" i="33"/>
  <c r="M198" i="33" s="1"/>
  <c r="G204" i="9" s="1"/>
  <c r="L157" i="33"/>
  <c r="M157" i="33" s="1"/>
  <c r="L263" i="33"/>
  <c r="M263" i="33" s="1"/>
  <c r="L140" i="33"/>
  <c r="M140" i="33" s="1"/>
  <c r="G146" i="9" s="1"/>
  <c r="L210" i="33"/>
  <c r="M210" i="33" s="1"/>
  <c r="G216" i="9" s="1"/>
  <c r="L254" i="33"/>
  <c r="M254" i="33" s="1"/>
  <c r="G260" i="9" s="1"/>
  <c r="L289" i="33"/>
  <c r="M289" i="33" s="1"/>
  <c r="G295" i="9" s="1"/>
  <c r="L295" i="33"/>
  <c r="M295" i="33" s="1"/>
  <c r="G301" i="9" s="1"/>
  <c r="L268" i="33"/>
  <c r="M268" i="33" s="1"/>
  <c r="G274" i="9" s="1"/>
  <c r="L76" i="33"/>
  <c r="M76" i="33" s="1"/>
  <c r="L117" i="33"/>
  <c r="M117" i="33" s="1"/>
  <c r="L97" i="33"/>
  <c r="M97" i="33" s="1"/>
  <c r="G103" i="9" s="1"/>
  <c r="L175" i="33"/>
  <c r="M175" i="33" s="1"/>
  <c r="L121" i="33"/>
  <c r="M121" i="33" s="1"/>
  <c r="G127" i="9" s="1"/>
  <c r="L74" i="33"/>
  <c r="M74" i="33" s="1"/>
  <c r="G80" i="9" s="1"/>
  <c r="L99" i="33"/>
  <c r="M99" i="33" s="1"/>
  <c r="G105" i="9" s="1"/>
  <c r="L171" i="33"/>
  <c r="M171" i="33" s="1"/>
  <c r="G177" i="9" s="1"/>
  <c r="L223" i="33"/>
  <c r="M223" i="33" s="1"/>
  <c r="G229" i="9" s="1"/>
  <c r="L259" i="33"/>
  <c r="M259" i="33" s="1"/>
  <c r="G265" i="9" s="1"/>
  <c r="L128" i="33"/>
  <c r="M128" i="33" s="1"/>
  <c r="G134" i="9" s="1"/>
  <c r="L301" i="33"/>
  <c r="M301" i="33" s="1"/>
  <c r="G307" i="9" s="1"/>
  <c r="L236" i="33"/>
  <c r="M236" i="33" s="1"/>
  <c r="G242" i="9" s="1"/>
  <c r="L269" i="33"/>
  <c r="M269" i="33" s="1"/>
  <c r="G275" i="9" s="1"/>
  <c r="L297" i="33"/>
  <c r="M297" i="33" s="1"/>
  <c r="G303" i="9" s="1"/>
  <c r="L163" i="33"/>
  <c r="M163" i="33" s="1"/>
  <c r="G169" i="9" s="1"/>
  <c r="L108" i="33"/>
  <c r="M108" i="33" s="1"/>
  <c r="L68" i="33"/>
  <c r="M68" i="33" s="1"/>
  <c r="L18" i="33"/>
  <c r="M18" i="33" s="1"/>
  <c r="G24" i="9" s="1"/>
  <c r="L255" i="33"/>
  <c r="M255" i="33" s="1"/>
  <c r="G261" i="9" s="1"/>
  <c r="L155" i="33"/>
  <c r="M155" i="33" s="1"/>
  <c r="L52" i="33"/>
  <c r="M52" i="33" s="1"/>
  <c r="G58" i="9" s="1"/>
  <c r="L267" i="33"/>
  <c r="M267" i="33" s="1"/>
  <c r="G273" i="9" s="1"/>
  <c r="L24" i="33"/>
  <c r="M24" i="33" s="1"/>
  <c r="G30" i="9" s="1"/>
  <c r="L53" i="33"/>
  <c r="M53" i="33" s="1"/>
  <c r="G59" i="9" s="1"/>
  <c r="L283" i="33"/>
  <c r="M283" i="33" s="1"/>
  <c r="L56" i="33"/>
  <c r="M56" i="33" s="1"/>
  <c r="G62" i="9" s="1"/>
  <c r="L79" i="33"/>
  <c r="M79" i="33" s="1"/>
  <c r="G85" i="9" s="1"/>
  <c r="L193" i="33"/>
  <c r="M193" i="33" s="1"/>
  <c r="G199" i="9" s="1"/>
  <c r="L14" i="33"/>
  <c r="M14" i="33" s="1"/>
  <c r="G20" i="9" s="1"/>
  <c r="L287" i="33"/>
  <c r="M287" i="33" s="1"/>
  <c r="G293" i="9" s="1"/>
  <c r="L9" i="33"/>
  <c r="M9" i="33" s="1"/>
  <c r="G15" i="9" s="1"/>
  <c r="L105" i="33"/>
  <c r="M105" i="33" s="1"/>
  <c r="G111" i="9" s="1"/>
  <c r="L25" i="33"/>
  <c r="M25" i="33" s="1"/>
  <c r="L162" i="33"/>
  <c r="M162" i="33" s="1"/>
  <c r="G168" i="9" s="1"/>
  <c r="L112" i="33"/>
  <c r="M112" i="33" s="1"/>
  <c r="G118" i="9" s="1"/>
  <c r="L282" i="33"/>
  <c r="M282" i="33" s="1"/>
  <c r="G288" i="9" s="1"/>
  <c r="L127" i="33"/>
  <c r="M127" i="33" s="1"/>
  <c r="G133" i="9" s="1"/>
  <c r="L213" i="33"/>
  <c r="M213" i="33" s="1"/>
  <c r="G219" i="9" s="1"/>
  <c r="L201" i="33"/>
  <c r="M201" i="33" s="1"/>
  <c r="G207" i="9" s="1"/>
  <c r="L119" i="33"/>
  <c r="M119" i="33" s="1"/>
  <c r="G125" i="9" s="1"/>
  <c r="L158" i="33"/>
  <c r="M158" i="33" s="1"/>
  <c r="L166" i="33"/>
  <c r="M166" i="33" s="1"/>
  <c r="G172" i="9" s="1"/>
  <c r="L7" i="33"/>
  <c r="M7" i="33" s="1"/>
  <c r="G13" i="9" s="1"/>
  <c r="L37" i="33"/>
  <c r="M37" i="33" s="1"/>
  <c r="G43" i="9" s="1"/>
  <c r="L182" i="33"/>
  <c r="M182" i="33" s="1"/>
  <c r="G188" i="9" s="1"/>
  <c r="L145" i="33"/>
  <c r="M145" i="33" s="1"/>
  <c r="G151" i="9" s="1"/>
  <c r="L13" i="33"/>
  <c r="M13" i="33" s="1"/>
  <c r="G19" i="9" s="1"/>
  <c r="L20" i="33"/>
  <c r="M20" i="33" s="1"/>
  <c r="G26" i="9" s="1"/>
  <c r="L51" i="33"/>
  <c r="M51" i="33" s="1"/>
  <c r="G57" i="9" s="1"/>
  <c r="L204" i="33"/>
  <c r="M204" i="33" s="1"/>
  <c r="G210" i="9" s="1"/>
  <c r="L188" i="33"/>
  <c r="M188" i="33" s="1"/>
  <c r="G194" i="9" s="1"/>
  <c r="L298" i="33"/>
  <c r="M298" i="33" s="1"/>
  <c r="G304" i="9" s="1"/>
  <c r="L35" i="33"/>
  <c r="M35" i="33" s="1"/>
  <c r="G41" i="9" s="1"/>
  <c r="L90" i="33"/>
  <c r="M90" i="33" s="1"/>
  <c r="G96" i="9" s="1"/>
  <c r="L178" i="33"/>
  <c r="M178" i="33" s="1"/>
  <c r="G184" i="9" s="1"/>
  <c r="L243" i="33"/>
  <c r="M243" i="33" s="1"/>
  <c r="G249" i="9" s="1"/>
  <c r="L253" i="33"/>
  <c r="M253" i="33" s="1"/>
  <c r="L19" i="33"/>
  <c r="M19" i="33" s="1"/>
  <c r="G25" i="9" s="1"/>
  <c r="L58" i="33"/>
  <c r="M58" i="33" s="1"/>
  <c r="G64" i="9" s="1"/>
  <c r="L141" i="33"/>
  <c r="M141" i="33" s="1"/>
  <c r="G147" i="9" s="1"/>
  <c r="L216" i="33"/>
  <c r="M216" i="33" s="1"/>
  <c r="G222" i="9" s="1"/>
  <c r="L203" i="33"/>
  <c r="M203" i="33" s="1"/>
  <c r="G209" i="9" s="1"/>
  <c r="L212" i="33"/>
  <c r="M212" i="33" s="1"/>
  <c r="G218" i="9" s="1"/>
  <c r="L280" i="33"/>
  <c r="M280" i="33" s="1"/>
  <c r="G286" i="9" s="1"/>
  <c r="L249" i="33"/>
  <c r="M249" i="33" s="1"/>
  <c r="L33" i="33"/>
  <c r="M33" i="33" s="1"/>
  <c r="G39" i="9" s="1"/>
  <c r="L62" i="33"/>
  <c r="M62" i="33" s="1"/>
  <c r="G68" i="9" s="1"/>
  <c r="L209" i="33"/>
  <c r="M209" i="33" s="1"/>
  <c r="G215" i="9" s="1"/>
  <c r="L168" i="33"/>
  <c r="M168" i="33" s="1"/>
  <c r="G174" i="9" s="1"/>
  <c r="L60" i="33"/>
  <c r="M60" i="33" s="1"/>
  <c r="G66" i="9" s="1"/>
  <c r="L288" i="33"/>
  <c r="M288" i="33" s="1"/>
  <c r="G294" i="9" s="1"/>
  <c r="L39" i="33"/>
  <c r="M39" i="33" s="1"/>
  <c r="L22" i="33"/>
  <c r="M22" i="33" s="1"/>
  <c r="G28" i="9" s="1"/>
  <c r="L69" i="33"/>
  <c r="M69" i="33" s="1"/>
  <c r="G75" i="9" s="1"/>
  <c r="L156" i="33"/>
  <c r="M156" i="33" s="1"/>
  <c r="G162" i="9" s="1"/>
  <c r="L251" i="33"/>
  <c r="M251" i="33" s="1"/>
  <c r="G257" i="9" s="1"/>
  <c r="L217" i="33"/>
  <c r="M217" i="33" s="1"/>
  <c r="G223" i="9" s="1"/>
  <c r="L234" i="33"/>
  <c r="M234" i="33" s="1"/>
  <c r="G240" i="9" s="1"/>
  <c r="L277" i="33"/>
  <c r="M277" i="33" s="1"/>
  <c r="G283" i="9" s="1"/>
  <c r="L299" i="33"/>
  <c r="M299" i="33" s="1"/>
  <c r="G305" i="9" s="1"/>
  <c r="L36" i="33"/>
  <c r="M36" i="33" s="1"/>
  <c r="G42" i="9" s="1"/>
  <c r="L44" i="33"/>
  <c r="M44" i="33" s="1"/>
  <c r="G50" i="9" s="1"/>
  <c r="L54" i="33"/>
  <c r="M54" i="33" s="1"/>
  <c r="G60" i="9" s="1"/>
  <c r="L32" i="33"/>
  <c r="M32" i="33" s="1"/>
  <c r="G38" i="9" s="1"/>
  <c r="L192" i="33"/>
  <c r="M192" i="33" s="1"/>
  <c r="G198" i="9" s="1"/>
  <c r="L197" i="33"/>
  <c r="M197" i="33" s="1"/>
  <c r="G203" i="9" s="1"/>
  <c r="L219" i="33"/>
  <c r="M219" i="33" s="1"/>
  <c r="G225" i="9" s="1"/>
  <c r="L172" i="33"/>
  <c r="M172" i="33" s="1"/>
  <c r="G178" i="9" s="1"/>
  <c r="L279" i="33"/>
  <c r="M279" i="33" s="1"/>
  <c r="L144" i="33"/>
  <c r="M144" i="33" s="1"/>
  <c r="G150" i="9" s="1"/>
  <c r="L129" i="33"/>
  <c r="M129" i="33" s="1"/>
  <c r="G135" i="9" s="1"/>
  <c r="L264" i="33"/>
  <c r="M264" i="33" s="1"/>
  <c r="G270" i="9" s="1"/>
  <c r="L230" i="33"/>
  <c r="M230" i="33" s="1"/>
  <c r="G236" i="9" s="1"/>
  <c r="L225" i="33"/>
  <c r="M225" i="33" s="1"/>
  <c r="G231" i="9" s="1"/>
  <c r="L276" i="33"/>
  <c r="M276" i="33" s="1"/>
  <c r="G282" i="9" s="1"/>
  <c r="L81" i="33"/>
  <c r="M81" i="33" s="1"/>
  <c r="G87" i="9" s="1"/>
  <c r="L125" i="33"/>
  <c r="M125" i="33" s="1"/>
  <c r="L131" i="33"/>
  <c r="M131" i="33" s="1"/>
  <c r="G137" i="9" s="1"/>
  <c r="L191" i="33"/>
  <c r="M191" i="33" s="1"/>
  <c r="G197" i="9" s="1"/>
  <c r="L123" i="33"/>
  <c r="M123" i="33" s="1"/>
  <c r="G129" i="9" s="1"/>
  <c r="L88" i="33"/>
  <c r="M88" i="33" s="1"/>
  <c r="G94" i="9" s="1"/>
  <c r="L115" i="33"/>
  <c r="M115" i="33" s="1"/>
  <c r="G121" i="9" s="1"/>
  <c r="L184" i="33"/>
  <c r="M184" i="33" s="1"/>
  <c r="G190" i="9" s="1"/>
  <c r="L231" i="33"/>
  <c r="M231" i="33" s="1"/>
  <c r="G237" i="9" s="1"/>
  <c r="L275" i="33"/>
  <c r="M275" i="33" s="1"/>
  <c r="G281" i="9" s="1"/>
  <c r="L262" i="33"/>
  <c r="M262" i="33" s="1"/>
  <c r="G268" i="9" s="1"/>
  <c r="L246" i="33"/>
  <c r="M246" i="33" s="1"/>
  <c r="G252" i="9" s="1"/>
  <c r="L248" i="33"/>
  <c r="M248" i="33" s="1"/>
  <c r="G254" i="9" s="1"/>
  <c r="L302" i="33"/>
  <c r="M302" i="33" s="1"/>
  <c r="G308" i="9" s="1"/>
  <c r="L118" i="33"/>
  <c r="M118" i="33" s="1"/>
  <c r="G124" i="9" s="1"/>
  <c r="L134" i="33"/>
  <c r="M134" i="33" s="1"/>
  <c r="G140" i="9" s="1"/>
  <c r="L100" i="33"/>
  <c r="M100" i="33" s="1"/>
  <c r="G106" i="9" s="1"/>
  <c r="L42" i="33"/>
  <c r="M42" i="33" s="1"/>
  <c r="L8" i="33"/>
  <c r="M8" i="33" s="1"/>
  <c r="G14" i="9" s="1"/>
  <c r="G33" i="9"/>
  <c r="G48" i="9"/>
  <c r="G149" i="9"/>
  <c r="G239" i="9"/>
  <c r="G297" i="9"/>
  <c r="G72" i="9"/>
  <c r="G32" i="9"/>
  <c r="G180" i="9"/>
  <c r="G31" i="9"/>
  <c r="G102" i="9"/>
  <c r="G45" i="9"/>
  <c r="G263" i="9"/>
  <c r="G16" i="9"/>
  <c r="G189" i="9"/>
  <c r="G285" i="9"/>
  <c r="G148" i="9"/>
  <c r="G230" i="9"/>
  <c r="G181" i="9"/>
  <c r="G196" i="9"/>
  <c r="G77" i="9"/>
  <c r="G145" i="9"/>
  <c r="G266" i="9"/>
  <c r="G269" i="9"/>
  <c r="G227" i="9"/>
  <c r="G167" i="9"/>
  <c r="G56" i="9"/>
  <c r="G185" i="9"/>
  <c r="G61" i="9"/>
  <c r="G141" i="9"/>
  <c r="G164" i="9"/>
  <c r="G226" i="9"/>
  <c r="G186" i="9"/>
  <c r="G74" i="9"/>
  <c r="G23" i="9"/>
  <c r="G83" i="9"/>
  <c r="G158" i="9"/>
  <c r="G21" i="9"/>
  <c r="G212" i="9"/>
  <c r="G52" i="9"/>
  <c r="G161" i="9"/>
  <c r="G245" i="9"/>
  <c r="G277" i="9"/>
  <c r="G217" i="9"/>
  <c r="G163" i="9"/>
  <c r="G264" i="9"/>
  <c r="G292" i="9"/>
  <c r="G79" i="9"/>
  <c r="G128" i="9"/>
  <c r="G165" i="9"/>
  <c r="G131" i="9"/>
  <c r="G284" i="9"/>
  <c r="G104" i="9"/>
  <c r="G82" i="9"/>
  <c r="G279" i="9"/>
  <c r="G289" i="9"/>
  <c r="G63" i="9"/>
  <c r="G17" i="9"/>
  <c r="G27" i="9"/>
  <c r="G36" i="9"/>
  <c r="G114" i="9"/>
  <c r="G29" i="9"/>
  <c r="G144" i="9"/>
  <c r="G255" i="9"/>
  <c r="G69" i="9"/>
  <c r="G110" i="9"/>
  <c r="G175" i="9"/>
  <c r="G246" i="9"/>
  <c r="G298" i="9"/>
  <c r="G76" i="9"/>
  <c r="G213" i="9"/>
  <c r="G224" i="9"/>
  <c r="G259" i="9"/>
  <c r="G250" i="9"/>
  <c r="G310" i="9"/>
  <c r="G238" i="9"/>
  <c r="G233" i="9"/>
  <c r="G123" i="9"/>
  <c r="H305" i="25"/>
  <c r="I6" i="54"/>
  <c r="K39" i="40"/>
  <c r="K40" i="40" s="1"/>
  <c r="H40" i="40" s="1"/>
  <c r="L6" i="33"/>
  <c r="M6" i="33" s="1"/>
  <c r="I6" i="37"/>
  <c r="I306" i="54" l="1"/>
  <c r="F59" i="48"/>
  <c r="M111" i="33"/>
  <c r="B18" i="48"/>
  <c r="G306" i="37"/>
  <c r="C41" i="40"/>
  <c r="M5" i="11" s="1"/>
  <c r="F12" i="34"/>
  <c r="I306" i="37"/>
  <c r="M306" i="33"/>
  <c r="C7" i="9" s="1"/>
  <c r="C8" i="9" s="1"/>
  <c r="G12" i="9"/>
  <c r="F6" i="12" l="1"/>
  <c r="F30" i="48"/>
  <c r="F18" i="48"/>
  <c r="G117" i="9"/>
  <c r="M212" i="11"/>
  <c r="M208" i="11"/>
  <c r="M204" i="11"/>
  <c r="M200" i="11"/>
  <c r="M196" i="11"/>
  <c r="M192" i="11"/>
  <c r="M188" i="11"/>
  <c r="M184" i="11"/>
  <c r="M209" i="11"/>
  <c r="M201" i="11"/>
  <c r="M193" i="11"/>
  <c r="M185" i="11"/>
  <c r="M135" i="11"/>
  <c r="M118" i="11"/>
  <c r="M131" i="11"/>
  <c r="M120" i="11"/>
  <c r="M127" i="11"/>
  <c r="M112" i="11"/>
  <c r="M104" i="11"/>
  <c r="M96" i="11"/>
  <c r="M88" i="11"/>
  <c r="M123" i="11"/>
  <c r="M114" i="11"/>
  <c r="M106" i="11"/>
  <c r="M98" i="11"/>
  <c r="M90" i="11"/>
  <c r="M82" i="11"/>
  <c r="M65" i="11"/>
  <c r="M49" i="11"/>
  <c r="M109" i="11"/>
  <c r="M101" i="11"/>
  <c r="M93" i="11"/>
  <c r="M85" i="11"/>
  <c r="M62" i="11"/>
  <c r="M80" i="11"/>
  <c r="M63" i="11"/>
  <c r="M60" i="11"/>
  <c r="M187" i="11"/>
  <c r="M119" i="11"/>
  <c r="M133" i="11"/>
  <c r="M130" i="11"/>
  <c r="M137" i="11"/>
  <c r="M111" i="11"/>
  <c r="E34" i="48" s="1"/>
  <c r="M95" i="11"/>
  <c r="M126" i="11"/>
  <c r="M207" i="11"/>
  <c r="M199" i="11"/>
  <c r="M191" i="11"/>
  <c r="M183" i="11"/>
  <c r="M129" i="11"/>
  <c r="M116" i="11"/>
  <c r="M121" i="11"/>
  <c r="M117" i="11"/>
  <c r="M107" i="11"/>
  <c r="M99" i="11"/>
  <c r="M91" i="11"/>
  <c r="M61" i="11"/>
  <c r="M58" i="11"/>
  <c r="M59" i="11"/>
  <c r="M83" i="11"/>
  <c r="M56" i="11"/>
  <c r="M211" i="11"/>
  <c r="M203" i="11"/>
  <c r="M195" i="11"/>
  <c r="M103" i="11"/>
  <c r="M53" i="11"/>
  <c r="M50" i="11"/>
  <c r="M64" i="11"/>
  <c r="M138" i="11"/>
  <c r="M214" i="11"/>
  <c r="M210" i="11"/>
  <c r="M206" i="11"/>
  <c r="M202" i="11"/>
  <c r="M198" i="11"/>
  <c r="M194" i="11"/>
  <c r="M190" i="11"/>
  <c r="M186" i="11"/>
  <c r="M182" i="11"/>
  <c r="M213" i="11"/>
  <c r="M205" i="11"/>
  <c r="M197" i="11"/>
  <c r="M189" i="11"/>
  <c r="M181" i="11"/>
  <c r="M136" i="11"/>
  <c r="M108" i="11"/>
  <c r="M100" i="11"/>
  <c r="M92" i="11"/>
  <c r="M84" i="11"/>
  <c r="M139" i="11"/>
  <c r="M128" i="11"/>
  <c r="M134" i="11"/>
  <c r="M110" i="11"/>
  <c r="M102" i="11"/>
  <c r="M94" i="11"/>
  <c r="M86" i="11"/>
  <c r="M78" i="11"/>
  <c r="M57" i="11"/>
  <c r="M113" i="11"/>
  <c r="M105" i="11"/>
  <c r="M97" i="11"/>
  <c r="M89" i="11"/>
  <c r="M81" i="11"/>
  <c r="M54" i="11"/>
  <c r="M55" i="11"/>
  <c r="M52" i="11"/>
  <c r="M122" i="11"/>
  <c r="M115" i="11"/>
  <c r="M125" i="11"/>
  <c r="M87" i="11"/>
  <c r="M66" i="11"/>
  <c r="M67" i="11"/>
  <c r="M51" i="11"/>
  <c r="M79" i="11"/>
  <c r="M13" i="11"/>
  <c r="M18" i="11"/>
  <c r="M17" i="11"/>
  <c r="M75" i="11"/>
  <c r="M12" i="11"/>
  <c r="M41" i="11"/>
  <c r="M77" i="11"/>
  <c r="M175" i="11"/>
  <c r="M260" i="11"/>
  <c r="M265" i="11"/>
  <c r="M220" i="11"/>
  <c r="M299" i="11"/>
  <c r="M22" i="11"/>
  <c r="M76" i="11"/>
  <c r="M144" i="11"/>
  <c r="M147" i="11"/>
  <c r="M160" i="11"/>
  <c r="M176" i="11"/>
  <c r="M217" i="11"/>
  <c r="M249" i="11"/>
  <c r="M278" i="11"/>
  <c r="M246" i="11"/>
  <c r="M7" i="11"/>
  <c r="M45" i="11"/>
  <c r="M173" i="11"/>
  <c r="M231" i="11"/>
  <c r="M264" i="11"/>
  <c r="M296" i="11"/>
  <c r="M234" i="11"/>
  <c r="M269" i="11"/>
  <c r="M301" i="11"/>
  <c r="M240" i="11"/>
  <c r="M271" i="11"/>
  <c r="M303" i="11"/>
  <c r="M43" i="11"/>
  <c r="M179" i="11"/>
  <c r="M292" i="11"/>
  <c r="M297" i="11"/>
  <c r="M228" i="11"/>
  <c r="M291" i="11"/>
  <c r="M28" i="11"/>
  <c r="M146" i="11"/>
  <c r="M143" i="11"/>
  <c r="M166" i="11"/>
  <c r="M229" i="11"/>
  <c r="M258" i="11"/>
  <c r="M290" i="11"/>
  <c r="M14" i="11"/>
  <c r="M8" i="11"/>
  <c r="M235" i="11"/>
  <c r="M275" i="11"/>
  <c r="M140" i="11"/>
  <c r="M241" i="11"/>
  <c r="M171" i="11"/>
  <c r="M283" i="11"/>
  <c r="M37" i="11"/>
  <c r="M255" i="11"/>
  <c r="M226" i="11"/>
  <c r="M232" i="11"/>
  <c r="M295" i="11"/>
  <c r="M276" i="11"/>
  <c r="M48" i="11"/>
  <c r="M72" i="11"/>
  <c r="M178" i="11"/>
  <c r="M253" i="11"/>
  <c r="M24" i="11"/>
  <c r="M23" i="11"/>
  <c r="M141" i="11"/>
  <c r="M153" i="11"/>
  <c r="M9" i="11"/>
  <c r="M16" i="11"/>
  <c r="M26" i="11"/>
  <c r="M25" i="11"/>
  <c r="M157" i="11"/>
  <c r="M284" i="11"/>
  <c r="M289" i="11"/>
  <c r="M236" i="11"/>
  <c r="M38" i="11"/>
  <c r="M30" i="11"/>
  <c r="M148" i="11"/>
  <c r="M155" i="11"/>
  <c r="M164" i="11"/>
  <c r="M180" i="11"/>
  <c r="M225" i="11"/>
  <c r="M257" i="11"/>
  <c r="M286" i="11"/>
  <c r="M29" i="11"/>
  <c r="M243" i="11"/>
  <c r="M281" i="11"/>
  <c r="M15" i="11"/>
  <c r="M27" i="11"/>
  <c r="M70" i="11"/>
  <c r="M161" i="11"/>
  <c r="M177" i="11"/>
  <c r="M239" i="11"/>
  <c r="M272" i="11"/>
  <c r="M304" i="11"/>
  <c r="M242" i="11"/>
  <c r="M277" i="11"/>
  <c r="M216" i="11"/>
  <c r="M248" i="11"/>
  <c r="M279" i="11"/>
  <c r="M132" i="11"/>
  <c r="M227" i="11"/>
  <c r="M230" i="11"/>
  <c r="M244" i="11"/>
  <c r="M40" i="11"/>
  <c r="M36" i="11"/>
  <c r="M150" i="11"/>
  <c r="M151" i="11"/>
  <c r="M170" i="11"/>
  <c r="M237" i="11"/>
  <c r="M266" i="11"/>
  <c r="M298" i="11"/>
  <c r="M302" i="11"/>
  <c r="M35" i="11"/>
  <c r="M223" i="11"/>
  <c r="M293" i="11"/>
  <c r="M263" i="11"/>
  <c r="M167" i="11"/>
  <c r="M149" i="11"/>
  <c r="M221" i="11"/>
  <c r="M145" i="11"/>
  <c r="M32" i="11"/>
  <c r="M20" i="11"/>
  <c r="M73" i="11"/>
  <c r="M33" i="11"/>
  <c r="M219" i="11"/>
  <c r="M222" i="11"/>
  <c r="M305" i="11"/>
  <c r="M252" i="11"/>
  <c r="M42" i="11"/>
  <c r="M34" i="11"/>
  <c r="M71" i="11"/>
  <c r="M152" i="11"/>
  <c r="M168" i="11"/>
  <c r="M233" i="11"/>
  <c r="M262" i="11"/>
  <c r="M294" i="11"/>
  <c r="M268" i="11"/>
  <c r="M31" i="11"/>
  <c r="M165" i="11"/>
  <c r="M215" i="11"/>
  <c r="M247" i="11"/>
  <c r="M280" i="11"/>
  <c r="M218" i="11"/>
  <c r="M250" i="11"/>
  <c r="M285" i="11"/>
  <c r="M224" i="11"/>
  <c r="M256" i="11"/>
  <c r="M287" i="11"/>
  <c r="M21" i="11"/>
  <c r="M74" i="11"/>
  <c r="M159" i="11"/>
  <c r="M251" i="11"/>
  <c r="M254" i="11"/>
  <c r="M259" i="11"/>
  <c r="M44" i="11"/>
  <c r="M124" i="11"/>
  <c r="M154" i="11"/>
  <c r="M158" i="11"/>
  <c r="M174" i="11"/>
  <c r="M245" i="11"/>
  <c r="M274" i="11"/>
  <c r="M47" i="11"/>
  <c r="M69" i="11"/>
  <c r="M39" i="11"/>
  <c r="M11" i="11"/>
  <c r="M163" i="11"/>
  <c r="M238" i="11"/>
  <c r="M46" i="11"/>
  <c r="M68" i="11"/>
  <c r="M156" i="11"/>
  <c r="M172" i="11"/>
  <c r="M270" i="11"/>
  <c r="M19" i="11"/>
  <c r="M300" i="11"/>
  <c r="M169" i="11"/>
  <c r="M288" i="11"/>
  <c r="M261" i="11"/>
  <c r="M10" i="11"/>
  <c r="M273" i="11"/>
  <c r="M267" i="11"/>
  <c r="M142" i="11"/>
  <c r="M162" i="11"/>
  <c r="M282" i="11"/>
  <c r="M6" i="11"/>
  <c r="C40" i="40"/>
  <c r="H5" i="11" s="1"/>
  <c r="G312" i="9"/>
  <c r="F312" i="34"/>
  <c r="D7" i="9"/>
  <c r="D8" i="9"/>
  <c r="H7" i="11" l="1"/>
  <c r="H130" i="11"/>
  <c r="O130" i="11" s="1"/>
  <c r="G136" i="34" s="1"/>
  <c r="G130" i="12" s="1"/>
  <c r="F130" i="39" s="1"/>
  <c r="H207" i="11"/>
  <c r="H199" i="11"/>
  <c r="H191" i="11"/>
  <c r="O191" i="11" s="1"/>
  <c r="G197" i="34" s="1"/>
  <c r="G191" i="12" s="1"/>
  <c r="F191" i="39" s="1"/>
  <c r="H183" i="11"/>
  <c r="O183" i="11" s="1"/>
  <c r="G189" i="34" s="1"/>
  <c r="G183" i="12" s="1"/>
  <c r="F183" i="39" s="1"/>
  <c r="H138" i="11"/>
  <c r="O138" i="11" s="1"/>
  <c r="G144" i="34" s="1"/>
  <c r="G138" i="12" s="1"/>
  <c r="F138" i="39" s="1"/>
  <c r="H122" i="11"/>
  <c r="O122" i="11" s="1"/>
  <c r="G128" i="34" s="1"/>
  <c r="G122" i="12" s="1"/>
  <c r="F122" i="39" s="1"/>
  <c r="H134" i="11"/>
  <c r="H116" i="11"/>
  <c r="O116" i="11" s="1"/>
  <c r="G122" i="34" s="1"/>
  <c r="G116" i="12" s="1"/>
  <c r="F116" i="39" s="1"/>
  <c r="H110" i="11"/>
  <c r="H102" i="11"/>
  <c r="O102" i="11" s="1"/>
  <c r="G108" i="34" s="1"/>
  <c r="G102" i="12" s="1"/>
  <c r="F102" i="39" s="1"/>
  <c r="H94" i="11"/>
  <c r="O94" i="11" s="1"/>
  <c r="G100" i="34" s="1"/>
  <c r="G94" i="12" s="1"/>
  <c r="F94" i="39" s="1"/>
  <c r="H86" i="11"/>
  <c r="O86" i="11" s="1"/>
  <c r="G92" i="34" s="1"/>
  <c r="G86" i="12" s="1"/>
  <c r="F86" i="39" s="1"/>
  <c r="H20" i="11"/>
  <c r="O20" i="11" s="1"/>
  <c r="G26" i="34" s="1"/>
  <c r="G20" i="12" s="1"/>
  <c r="F20" i="39" s="1"/>
  <c r="H12" i="11"/>
  <c r="O12" i="11" s="1"/>
  <c r="G18" i="34" s="1"/>
  <c r="G12" i="12" s="1"/>
  <c r="F12" i="39" s="1"/>
  <c r="H210" i="11"/>
  <c r="H202" i="11"/>
  <c r="H194" i="11"/>
  <c r="O194" i="11" s="1"/>
  <c r="G200" i="34" s="1"/>
  <c r="G194" i="12" s="1"/>
  <c r="F194" i="39" s="1"/>
  <c r="H182" i="11"/>
  <c r="H132" i="11"/>
  <c r="O132" i="11" s="1"/>
  <c r="G138" i="34" s="1"/>
  <c r="G132" i="12" s="1"/>
  <c r="F132" i="39" s="1"/>
  <c r="H201" i="11"/>
  <c r="O201" i="11" s="1"/>
  <c r="G207" i="34" s="1"/>
  <c r="G201" i="12" s="1"/>
  <c r="F201" i="39" s="1"/>
  <c r="H123" i="11"/>
  <c r="O123" i="11" s="1"/>
  <c r="G129" i="34" s="1"/>
  <c r="G123" i="12" s="1"/>
  <c r="F123" i="39" s="1"/>
  <c r="H124" i="11"/>
  <c r="O124" i="11" s="1"/>
  <c r="G130" i="34" s="1"/>
  <c r="G124" i="12" s="1"/>
  <c r="F124" i="39" s="1"/>
  <c r="H99" i="11"/>
  <c r="H117" i="11"/>
  <c r="O117" i="11" s="1"/>
  <c r="G123" i="34" s="1"/>
  <c r="G117" i="12" s="1"/>
  <c r="F117" i="39" s="1"/>
  <c r="H101" i="11"/>
  <c r="H85" i="11"/>
  <c r="H112" i="11"/>
  <c r="H80" i="11"/>
  <c r="O80" i="11" s="1"/>
  <c r="G86" i="34" s="1"/>
  <c r="G80" i="12" s="1"/>
  <c r="F80" i="39" s="1"/>
  <c r="H212" i="11"/>
  <c r="O212" i="11" s="1"/>
  <c r="G218" i="34" s="1"/>
  <c r="G212" i="12" s="1"/>
  <c r="F212" i="39" s="1"/>
  <c r="H208" i="11"/>
  <c r="O208" i="11" s="1"/>
  <c r="G214" i="34" s="1"/>
  <c r="G208" i="12" s="1"/>
  <c r="F208" i="39" s="1"/>
  <c r="H204" i="11"/>
  <c r="H200" i="11"/>
  <c r="O200" i="11" s="1"/>
  <c r="G206" i="34" s="1"/>
  <c r="G200" i="12" s="1"/>
  <c r="F200" i="39" s="1"/>
  <c r="H196" i="11"/>
  <c r="H192" i="11"/>
  <c r="O192" i="11" s="1"/>
  <c r="G198" i="34" s="1"/>
  <c r="G192" i="12" s="1"/>
  <c r="F192" i="39" s="1"/>
  <c r="H188" i="11"/>
  <c r="O188" i="11" s="1"/>
  <c r="G194" i="34" s="1"/>
  <c r="G188" i="12" s="1"/>
  <c r="F188" i="39" s="1"/>
  <c r="H184" i="11"/>
  <c r="O184" i="11" s="1"/>
  <c r="G190" i="34" s="1"/>
  <c r="G184" i="12" s="1"/>
  <c r="F184" i="39" s="1"/>
  <c r="H135" i="11"/>
  <c r="O135" i="11" s="1"/>
  <c r="G141" i="34" s="1"/>
  <c r="G135" i="12" s="1"/>
  <c r="F135" i="39" s="1"/>
  <c r="H129" i="11"/>
  <c r="O129" i="11" s="1"/>
  <c r="G135" i="34" s="1"/>
  <c r="G129" i="12" s="1"/>
  <c r="F129" i="39" s="1"/>
  <c r="H213" i="11"/>
  <c r="H205" i="11"/>
  <c r="O205" i="11" s="1"/>
  <c r="G211" i="34" s="1"/>
  <c r="G205" i="12" s="1"/>
  <c r="F205" i="39" s="1"/>
  <c r="H197" i="11"/>
  <c r="O197" i="11" s="1"/>
  <c r="G203" i="34" s="1"/>
  <c r="G197" i="12" s="1"/>
  <c r="F197" i="39" s="1"/>
  <c r="H189" i="11"/>
  <c r="H181" i="11"/>
  <c r="O181" i="11" s="1"/>
  <c r="G187" i="34" s="1"/>
  <c r="G181" i="12" s="1"/>
  <c r="F181" i="39" s="1"/>
  <c r="H139" i="11"/>
  <c r="H137" i="11"/>
  <c r="O137" i="11" s="1"/>
  <c r="G143" i="34" s="1"/>
  <c r="G137" i="12" s="1"/>
  <c r="F137" i="39" s="1"/>
  <c r="H127" i="11"/>
  <c r="O127" i="11" s="1"/>
  <c r="G133" i="34" s="1"/>
  <c r="G127" i="12" s="1"/>
  <c r="F127" i="39" s="1"/>
  <c r="H121" i="11"/>
  <c r="H111" i="11"/>
  <c r="H103" i="11"/>
  <c r="H95" i="11"/>
  <c r="H87" i="11"/>
  <c r="O87" i="11" s="1"/>
  <c r="G93" i="34" s="1"/>
  <c r="G87" i="12" s="1"/>
  <c r="F87" i="39" s="1"/>
  <c r="H131" i="11"/>
  <c r="O131" i="11" s="1"/>
  <c r="G137" i="34" s="1"/>
  <c r="G131" i="12" s="1"/>
  <c r="F131" i="39" s="1"/>
  <c r="H113" i="11"/>
  <c r="O113" i="11" s="1"/>
  <c r="G119" i="34" s="1"/>
  <c r="G113" i="12" s="1"/>
  <c r="F113" i="39" s="1"/>
  <c r="H105" i="11"/>
  <c r="O105" i="11" s="1"/>
  <c r="G111" i="34" s="1"/>
  <c r="G105" i="12" s="1"/>
  <c r="F105" i="39" s="1"/>
  <c r="H97" i="11"/>
  <c r="O97" i="11" s="1"/>
  <c r="G103" i="34" s="1"/>
  <c r="G97" i="12" s="1"/>
  <c r="F97" i="39" s="1"/>
  <c r="H89" i="11"/>
  <c r="O89" i="11" s="1"/>
  <c r="G95" i="34" s="1"/>
  <c r="G89" i="12" s="1"/>
  <c r="F89" i="39" s="1"/>
  <c r="H81" i="11"/>
  <c r="O81" i="11" s="1"/>
  <c r="G87" i="34" s="1"/>
  <c r="G81" i="12" s="1"/>
  <c r="F81" i="39" s="1"/>
  <c r="H108" i="11"/>
  <c r="H100" i="11"/>
  <c r="O100" i="11" s="1"/>
  <c r="G106" i="34" s="1"/>
  <c r="G100" i="12" s="1"/>
  <c r="F100" i="39" s="1"/>
  <c r="H92" i="11"/>
  <c r="O92" i="11" s="1"/>
  <c r="G98" i="34" s="1"/>
  <c r="G92" i="12" s="1"/>
  <c r="F92" i="39" s="1"/>
  <c r="H84" i="11"/>
  <c r="O84" i="11" s="1"/>
  <c r="G90" i="34" s="1"/>
  <c r="G84" i="12" s="1"/>
  <c r="F84" i="39" s="1"/>
  <c r="H79" i="11"/>
  <c r="O79" i="11" s="1"/>
  <c r="G85" i="34" s="1"/>
  <c r="G79" i="12" s="1"/>
  <c r="F79" i="39" s="1"/>
  <c r="H49" i="11"/>
  <c r="H9" i="11"/>
  <c r="H18" i="11"/>
  <c r="H10" i="11"/>
  <c r="O10" i="11" s="1"/>
  <c r="G16" i="34" s="1"/>
  <c r="G10" i="12" s="1"/>
  <c r="F10" i="39" s="1"/>
  <c r="H214" i="11"/>
  <c r="O214" i="11" s="1"/>
  <c r="G220" i="34" s="1"/>
  <c r="G214" i="12" s="1"/>
  <c r="F214" i="39" s="1"/>
  <c r="H206" i="11"/>
  <c r="O206" i="11" s="1"/>
  <c r="G212" i="34" s="1"/>
  <c r="G206" i="12" s="1"/>
  <c r="F206" i="39" s="1"/>
  <c r="H198" i="11"/>
  <c r="O198" i="11" s="1"/>
  <c r="G204" i="34" s="1"/>
  <c r="G198" i="12" s="1"/>
  <c r="F198" i="39" s="1"/>
  <c r="H186" i="11"/>
  <c r="O186" i="11" s="1"/>
  <c r="G192" i="34" s="1"/>
  <c r="G186" i="12" s="1"/>
  <c r="F186" i="39" s="1"/>
  <c r="H193" i="11"/>
  <c r="H115" i="11"/>
  <c r="O115" i="11" s="1"/>
  <c r="G121" i="34" s="1"/>
  <c r="G115" i="12" s="1"/>
  <c r="F115" i="39" s="1"/>
  <c r="H91" i="11"/>
  <c r="H109" i="11"/>
  <c r="H104" i="11"/>
  <c r="O104" i="11" s="1"/>
  <c r="G110" i="34" s="1"/>
  <c r="G104" i="12" s="1"/>
  <c r="F104" i="39" s="1"/>
  <c r="H88" i="11"/>
  <c r="O88" i="11" s="1"/>
  <c r="G94" i="34" s="1"/>
  <c r="G88" i="12" s="1"/>
  <c r="F88" i="39" s="1"/>
  <c r="H14" i="11"/>
  <c r="O14" i="11" s="1"/>
  <c r="G20" i="34" s="1"/>
  <c r="G14" i="12" s="1"/>
  <c r="F14" i="39" s="1"/>
  <c r="H118" i="11"/>
  <c r="O118" i="11" s="1"/>
  <c r="G124" i="34" s="1"/>
  <c r="G118" i="12" s="1"/>
  <c r="F118" i="39" s="1"/>
  <c r="H133" i="11"/>
  <c r="H128" i="11"/>
  <c r="O128" i="11" s="1"/>
  <c r="G134" i="34" s="1"/>
  <c r="G128" i="12" s="1"/>
  <c r="F128" i="39" s="1"/>
  <c r="H211" i="11"/>
  <c r="H203" i="11"/>
  <c r="H195" i="11"/>
  <c r="O195" i="11" s="1"/>
  <c r="G201" i="34" s="1"/>
  <c r="G195" i="12" s="1"/>
  <c r="F195" i="39" s="1"/>
  <c r="H187" i="11"/>
  <c r="O187" i="11" s="1"/>
  <c r="G193" i="34" s="1"/>
  <c r="G187" i="12" s="1"/>
  <c r="F187" i="39" s="1"/>
  <c r="H126" i="11"/>
  <c r="O126" i="11" s="1"/>
  <c r="G132" i="34" s="1"/>
  <c r="G126" i="12" s="1"/>
  <c r="F126" i="39" s="1"/>
  <c r="H136" i="11"/>
  <c r="O136" i="11" s="1"/>
  <c r="G142" i="34" s="1"/>
  <c r="G136" i="12" s="1"/>
  <c r="F136" i="39" s="1"/>
  <c r="H125" i="11"/>
  <c r="H120" i="11"/>
  <c r="H119" i="11"/>
  <c r="H114" i="11"/>
  <c r="H106" i="11"/>
  <c r="O106" i="11" s="1"/>
  <c r="G112" i="34" s="1"/>
  <c r="G106" i="12" s="1"/>
  <c r="F106" i="39" s="1"/>
  <c r="H98" i="11"/>
  <c r="H90" i="11"/>
  <c r="O90" i="11" s="1"/>
  <c r="G96" i="34" s="1"/>
  <c r="G90" i="12" s="1"/>
  <c r="F90" i="39" s="1"/>
  <c r="H82" i="11"/>
  <c r="O82" i="11" s="1"/>
  <c r="G88" i="34" s="1"/>
  <c r="G82" i="12" s="1"/>
  <c r="F82" i="39" s="1"/>
  <c r="H15" i="11"/>
  <c r="H16" i="11"/>
  <c r="O16" i="11" s="1"/>
  <c r="G22" i="34" s="1"/>
  <c r="G16" i="12" s="1"/>
  <c r="F16" i="39" s="1"/>
  <c r="H8" i="11"/>
  <c r="H190" i="11"/>
  <c r="H209" i="11"/>
  <c r="H185" i="11"/>
  <c r="O185" i="11" s="1"/>
  <c r="G191" i="34" s="1"/>
  <c r="G185" i="12" s="1"/>
  <c r="F185" i="39" s="1"/>
  <c r="H107" i="11"/>
  <c r="O107" i="11" s="1"/>
  <c r="G113" i="34" s="1"/>
  <c r="G107" i="12" s="1"/>
  <c r="F107" i="39" s="1"/>
  <c r="H93" i="11"/>
  <c r="O93" i="11" s="1"/>
  <c r="G99" i="34" s="1"/>
  <c r="G93" i="12" s="1"/>
  <c r="F93" i="39" s="1"/>
  <c r="H96" i="11"/>
  <c r="H83" i="11"/>
  <c r="O83" i="11" s="1"/>
  <c r="G89" i="34" s="1"/>
  <c r="G83" i="12" s="1"/>
  <c r="F83" i="39" s="1"/>
  <c r="H17" i="11"/>
  <c r="H144" i="11"/>
  <c r="O144" i="11" s="1"/>
  <c r="G150" i="34" s="1"/>
  <c r="G144" i="12" s="1"/>
  <c r="F144" i="39" s="1"/>
  <c r="H77" i="11"/>
  <c r="O77" i="11" s="1"/>
  <c r="G83" i="34" s="1"/>
  <c r="G77" i="12" s="1"/>
  <c r="F77" i="39" s="1"/>
  <c r="H148" i="11"/>
  <c r="O148" i="11" s="1"/>
  <c r="G154" i="34" s="1"/>
  <c r="G148" i="12" s="1"/>
  <c r="F148" i="39" s="1"/>
  <c r="H23" i="11"/>
  <c r="O23" i="11" s="1"/>
  <c r="G29" i="34" s="1"/>
  <c r="G23" i="12" s="1"/>
  <c r="F23" i="39" s="1"/>
  <c r="H40" i="11"/>
  <c r="O40" i="11" s="1"/>
  <c r="G46" i="34" s="1"/>
  <c r="G40" i="12" s="1"/>
  <c r="F40" i="39" s="1"/>
  <c r="H32" i="11"/>
  <c r="H166" i="11"/>
  <c r="O166" i="11" s="1"/>
  <c r="G172" i="34" s="1"/>
  <c r="G166" i="12" s="1"/>
  <c r="F166" i="39" s="1"/>
  <c r="H245" i="11"/>
  <c r="O245" i="11" s="1"/>
  <c r="G251" i="34" s="1"/>
  <c r="G245" i="12" s="1"/>
  <c r="F245" i="39" s="1"/>
  <c r="H29" i="11"/>
  <c r="H56" i="11"/>
  <c r="H167" i="11"/>
  <c r="O167" i="11" s="1"/>
  <c r="G173" i="34" s="1"/>
  <c r="G167" i="12" s="1"/>
  <c r="F167" i="39" s="1"/>
  <c r="H235" i="11"/>
  <c r="O235" i="11" s="1"/>
  <c r="G241" i="34" s="1"/>
  <c r="G235" i="12" s="1"/>
  <c r="F235" i="39" s="1"/>
  <c r="H268" i="11"/>
  <c r="O268" i="11" s="1"/>
  <c r="G274" i="34" s="1"/>
  <c r="G268" i="12" s="1"/>
  <c r="F268" i="39" s="1"/>
  <c r="H300" i="11"/>
  <c r="H246" i="11"/>
  <c r="O246" i="11" s="1"/>
  <c r="G252" i="34" s="1"/>
  <c r="G246" i="12" s="1"/>
  <c r="F246" i="39" s="1"/>
  <c r="H281" i="11"/>
  <c r="O281" i="11" s="1"/>
  <c r="G287" i="34" s="1"/>
  <c r="G281" i="12" s="1"/>
  <c r="F281" i="39" s="1"/>
  <c r="H220" i="11"/>
  <c r="O220" i="11" s="1"/>
  <c r="G226" i="34" s="1"/>
  <c r="G220" i="12" s="1"/>
  <c r="F220" i="39" s="1"/>
  <c r="H252" i="11"/>
  <c r="O252" i="11" s="1"/>
  <c r="G258" i="34" s="1"/>
  <c r="G252" i="12" s="1"/>
  <c r="F252" i="39" s="1"/>
  <c r="H283" i="11"/>
  <c r="O283" i="11" s="1"/>
  <c r="G289" i="34" s="1"/>
  <c r="G283" i="12" s="1"/>
  <c r="F283" i="39" s="1"/>
  <c r="H48" i="11"/>
  <c r="O48" i="11" s="1"/>
  <c r="G54" i="34" s="1"/>
  <c r="G48" i="12" s="1"/>
  <c r="F48" i="39" s="1"/>
  <c r="H63" i="11"/>
  <c r="O63" i="11" s="1"/>
  <c r="G69" i="34" s="1"/>
  <c r="G63" i="12" s="1"/>
  <c r="F63" i="39" s="1"/>
  <c r="H162" i="11"/>
  <c r="H140" i="11"/>
  <c r="O140" i="11" s="1"/>
  <c r="G146" i="34" s="1"/>
  <c r="G140" i="12" s="1"/>
  <c r="F140" i="39" s="1"/>
  <c r="H46" i="11"/>
  <c r="H25" i="11"/>
  <c r="H43" i="11"/>
  <c r="O43" i="11" s="1"/>
  <c r="G49" i="34" s="1"/>
  <c r="G43" i="12" s="1"/>
  <c r="F43" i="39" s="1"/>
  <c r="H65" i="11"/>
  <c r="O65" i="11" s="1"/>
  <c r="G71" i="34" s="1"/>
  <c r="G65" i="12" s="1"/>
  <c r="F65" i="39" s="1"/>
  <c r="H172" i="11"/>
  <c r="O172" i="11" s="1"/>
  <c r="G178" i="34" s="1"/>
  <c r="G172" i="12" s="1"/>
  <c r="F172" i="39" s="1"/>
  <c r="H155" i="11"/>
  <c r="O155" i="11" s="1"/>
  <c r="G161" i="34" s="1"/>
  <c r="G155" i="12" s="1"/>
  <c r="F155" i="39" s="1"/>
  <c r="H241" i="11"/>
  <c r="H270" i="11"/>
  <c r="O270" i="11" s="1"/>
  <c r="G276" i="34" s="1"/>
  <c r="G270" i="12" s="1"/>
  <c r="F270" i="39" s="1"/>
  <c r="H302" i="11"/>
  <c r="O302" i="11" s="1"/>
  <c r="G308" i="34" s="1"/>
  <c r="G302" i="12" s="1"/>
  <c r="F302" i="39" s="1"/>
  <c r="H39" i="11"/>
  <c r="O39" i="11" s="1"/>
  <c r="G45" i="34" s="1"/>
  <c r="G39" i="12" s="1"/>
  <c r="F39" i="39" s="1"/>
  <c r="H170" i="11"/>
  <c r="O170" i="11" s="1"/>
  <c r="G176" i="34" s="1"/>
  <c r="G170" i="12" s="1"/>
  <c r="F170" i="39" s="1"/>
  <c r="H258" i="11"/>
  <c r="O258" i="11" s="1"/>
  <c r="G264" i="34" s="1"/>
  <c r="G258" i="12" s="1"/>
  <c r="F258" i="39" s="1"/>
  <c r="H69" i="11"/>
  <c r="O69" i="11" s="1"/>
  <c r="G75" i="34" s="1"/>
  <c r="G69" i="12" s="1"/>
  <c r="F69" i="39" s="1"/>
  <c r="H58" i="11"/>
  <c r="O58" i="11" s="1"/>
  <c r="G64" i="34" s="1"/>
  <c r="G58" i="12" s="1"/>
  <c r="F58" i="39" s="1"/>
  <c r="H68" i="11"/>
  <c r="H165" i="11"/>
  <c r="O165" i="11" s="1"/>
  <c r="G171" i="34" s="1"/>
  <c r="G165" i="12" s="1"/>
  <c r="F165" i="39" s="1"/>
  <c r="H215" i="11"/>
  <c r="O215" i="11" s="1"/>
  <c r="G221" i="34" s="1"/>
  <c r="G215" i="12" s="1"/>
  <c r="F215" i="39" s="1"/>
  <c r="H247" i="11"/>
  <c r="O247" i="11" s="1"/>
  <c r="G253" i="34" s="1"/>
  <c r="G247" i="12" s="1"/>
  <c r="F247" i="39" s="1"/>
  <c r="H280" i="11"/>
  <c r="O280" i="11" s="1"/>
  <c r="G286" i="34" s="1"/>
  <c r="G280" i="12" s="1"/>
  <c r="F280" i="39" s="1"/>
  <c r="H218" i="11"/>
  <c r="O218" i="11" s="1"/>
  <c r="G224" i="34" s="1"/>
  <c r="G218" i="12" s="1"/>
  <c r="F218" i="39" s="1"/>
  <c r="H250" i="11"/>
  <c r="O250" i="11" s="1"/>
  <c r="G256" i="34" s="1"/>
  <c r="G250" i="12" s="1"/>
  <c r="F250" i="39" s="1"/>
  <c r="H285" i="11"/>
  <c r="O285" i="11" s="1"/>
  <c r="G291" i="34" s="1"/>
  <c r="G285" i="12" s="1"/>
  <c r="F285" i="39" s="1"/>
  <c r="H232" i="11"/>
  <c r="H263" i="11"/>
  <c r="O263" i="11" s="1"/>
  <c r="G269" i="34" s="1"/>
  <c r="G263" i="12" s="1"/>
  <c r="F263" i="39" s="1"/>
  <c r="H295" i="11"/>
  <c r="O295" i="11" s="1"/>
  <c r="G301" i="34" s="1"/>
  <c r="G295" i="12" s="1"/>
  <c r="F295" i="39" s="1"/>
  <c r="H153" i="11"/>
  <c r="O153" i="11" s="1"/>
  <c r="G159" i="34" s="1"/>
  <c r="G153" i="12" s="1"/>
  <c r="F153" i="39" s="1"/>
  <c r="H36" i="11"/>
  <c r="O36" i="11" s="1"/>
  <c r="G42" i="34" s="1"/>
  <c r="G36" i="12" s="1"/>
  <c r="F36" i="39" s="1"/>
  <c r="H71" i="11"/>
  <c r="O71" i="11" s="1"/>
  <c r="G77" i="34" s="1"/>
  <c r="G71" i="12" s="1"/>
  <c r="F71" i="39" s="1"/>
  <c r="H151" i="11"/>
  <c r="O151" i="11" s="1"/>
  <c r="G157" i="34" s="1"/>
  <c r="G151" i="12" s="1"/>
  <c r="F151" i="39" s="1"/>
  <c r="H229" i="11"/>
  <c r="O229" i="11" s="1"/>
  <c r="G235" i="34" s="1"/>
  <c r="G229" i="12" s="1"/>
  <c r="F229" i="39" s="1"/>
  <c r="H52" i="11"/>
  <c r="H163" i="11"/>
  <c r="O163" i="11" s="1"/>
  <c r="G169" i="34" s="1"/>
  <c r="G163" i="12" s="1"/>
  <c r="F163" i="39" s="1"/>
  <c r="H179" i="11"/>
  <c r="H227" i="11"/>
  <c r="H292" i="11"/>
  <c r="O292" i="11" s="1"/>
  <c r="G298" i="34" s="1"/>
  <c r="G292" i="12" s="1"/>
  <c r="F292" i="39" s="1"/>
  <c r="H273" i="11"/>
  <c r="O273" i="11" s="1"/>
  <c r="G279" i="34" s="1"/>
  <c r="G273" i="12" s="1"/>
  <c r="F273" i="39" s="1"/>
  <c r="H244" i="11"/>
  <c r="O244" i="11" s="1"/>
  <c r="G250" i="34" s="1"/>
  <c r="G244" i="12" s="1"/>
  <c r="F244" i="39" s="1"/>
  <c r="H51" i="11"/>
  <c r="O51" i="11" s="1"/>
  <c r="G57" i="34" s="1"/>
  <c r="G51" i="12" s="1"/>
  <c r="F51" i="39" s="1"/>
  <c r="H24" i="11"/>
  <c r="H147" i="11"/>
  <c r="O147" i="11" s="1"/>
  <c r="G153" i="34" s="1"/>
  <c r="G147" i="12" s="1"/>
  <c r="F147" i="39" s="1"/>
  <c r="H233" i="11"/>
  <c r="O233" i="11" s="1"/>
  <c r="G239" i="34" s="1"/>
  <c r="G233" i="12" s="1"/>
  <c r="F233" i="39" s="1"/>
  <c r="H70" i="11"/>
  <c r="O70" i="11" s="1"/>
  <c r="G76" i="34" s="1"/>
  <c r="G70" i="12" s="1"/>
  <c r="F70" i="39" s="1"/>
  <c r="H253" i="11"/>
  <c r="O253" i="11" s="1"/>
  <c r="G259" i="34" s="1"/>
  <c r="G253" i="12" s="1"/>
  <c r="H161" i="11"/>
  <c r="O161" i="11" s="1"/>
  <c r="G167" i="34" s="1"/>
  <c r="G161" i="12" s="1"/>
  <c r="F161" i="39" s="1"/>
  <c r="H304" i="11"/>
  <c r="O304" i="11" s="1"/>
  <c r="G310" i="34" s="1"/>
  <c r="G304" i="12" s="1"/>
  <c r="F304" i="39" s="1"/>
  <c r="H242" i="11"/>
  <c r="O242" i="11" s="1"/>
  <c r="G248" i="34" s="1"/>
  <c r="G242" i="12" s="1"/>
  <c r="F242" i="39" s="1"/>
  <c r="H224" i="11"/>
  <c r="H287" i="11"/>
  <c r="H152" i="11"/>
  <c r="O152" i="11" s="1"/>
  <c r="G158" i="34" s="1"/>
  <c r="G152" i="12" s="1"/>
  <c r="F152" i="39" s="1"/>
  <c r="H28" i="11"/>
  <c r="O28" i="11" s="1"/>
  <c r="G34" i="34" s="1"/>
  <c r="G28" i="12" s="1"/>
  <c r="F28" i="39" s="1"/>
  <c r="H22" i="11"/>
  <c r="O22" i="11" s="1"/>
  <c r="G28" i="34" s="1"/>
  <c r="G22" i="12" s="1"/>
  <c r="F22" i="39" s="1"/>
  <c r="H55" i="11"/>
  <c r="O55" i="11" s="1"/>
  <c r="G61" i="34" s="1"/>
  <c r="G55" i="12" s="1"/>
  <c r="F55" i="39" s="1"/>
  <c r="H142" i="11"/>
  <c r="O142" i="11" s="1"/>
  <c r="G148" i="34" s="1"/>
  <c r="G142" i="12" s="1"/>
  <c r="F142" i="39" s="1"/>
  <c r="H178" i="11"/>
  <c r="O178" i="11" s="1"/>
  <c r="G184" i="34" s="1"/>
  <c r="G178" i="12" s="1"/>
  <c r="F178" i="39" s="1"/>
  <c r="H266" i="11"/>
  <c r="H73" i="11"/>
  <c r="O73" i="11" s="1"/>
  <c r="G79" i="34" s="1"/>
  <c r="G73" i="12" s="1"/>
  <c r="F73" i="39" s="1"/>
  <c r="H60" i="11"/>
  <c r="O60" i="11" s="1"/>
  <c r="G66" i="34" s="1"/>
  <c r="G60" i="12" s="1"/>
  <c r="F60" i="39" s="1"/>
  <c r="H72" i="11"/>
  <c r="O72" i="11" s="1"/>
  <c r="G78" i="34" s="1"/>
  <c r="G72" i="12" s="1"/>
  <c r="F72" i="39" s="1"/>
  <c r="H171" i="11"/>
  <c r="O171" i="11" s="1"/>
  <c r="G177" i="34" s="1"/>
  <c r="G171" i="12" s="1"/>
  <c r="F171" i="39" s="1"/>
  <c r="H243" i="11"/>
  <c r="O243" i="11" s="1"/>
  <c r="G249" i="34" s="1"/>
  <c r="G243" i="12" s="1"/>
  <c r="F243" i="39" s="1"/>
  <c r="H276" i="11"/>
  <c r="O276" i="11" s="1"/>
  <c r="G282" i="34" s="1"/>
  <c r="G276" i="12" s="1"/>
  <c r="F276" i="39" s="1"/>
  <c r="H222" i="11"/>
  <c r="O222" i="11" s="1"/>
  <c r="G228" i="34" s="1"/>
  <c r="G222" i="12" s="1"/>
  <c r="F222" i="39" s="1"/>
  <c r="H254" i="11"/>
  <c r="H289" i="11"/>
  <c r="O289" i="11" s="1"/>
  <c r="G295" i="34" s="1"/>
  <c r="G289" i="12" s="1"/>
  <c r="F289" i="39" s="1"/>
  <c r="H228" i="11"/>
  <c r="O228" i="11" s="1"/>
  <c r="G234" i="34" s="1"/>
  <c r="G228" i="12" s="1"/>
  <c r="F228" i="39" s="1"/>
  <c r="H259" i="11"/>
  <c r="O259" i="11" s="1"/>
  <c r="G265" i="34" s="1"/>
  <c r="G259" i="12" s="1"/>
  <c r="F259" i="39" s="1"/>
  <c r="H291" i="11"/>
  <c r="O291" i="11" s="1"/>
  <c r="G297" i="34" s="1"/>
  <c r="G291" i="12" s="1"/>
  <c r="F291" i="39" s="1"/>
  <c r="H35" i="11"/>
  <c r="O35" i="11" s="1"/>
  <c r="G41" i="34" s="1"/>
  <c r="G35" i="12" s="1"/>
  <c r="F35" i="39" s="1"/>
  <c r="H174" i="11"/>
  <c r="O174" i="11" s="1"/>
  <c r="G180" i="34" s="1"/>
  <c r="G174" i="12" s="1"/>
  <c r="F174" i="39" s="1"/>
  <c r="H45" i="11"/>
  <c r="O45" i="11" s="1"/>
  <c r="G51" i="34" s="1"/>
  <c r="G45" i="12" s="1"/>
  <c r="F45" i="39" s="1"/>
  <c r="H53" i="11"/>
  <c r="H160" i="11"/>
  <c r="O160" i="11" s="1"/>
  <c r="G166" i="34" s="1"/>
  <c r="G160" i="12" s="1"/>
  <c r="F160" i="39" s="1"/>
  <c r="H176" i="11"/>
  <c r="H217" i="11"/>
  <c r="O217" i="11" s="1"/>
  <c r="G223" i="34" s="1"/>
  <c r="G217" i="12" s="1"/>
  <c r="F217" i="39" s="1"/>
  <c r="H249" i="11"/>
  <c r="O249" i="11" s="1"/>
  <c r="G255" i="34" s="1"/>
  <c r="G249" i="12" s="1"/>
  <c r="F249" i="39" s="1"/>
  <c r="H278" i="11"/>
  <c r="O278" i="11" s="1"/>
  <c r="G284" i="34" s="1"/>
  <c r="G278" i="12" s="1"/>
  <c r="F278" i="39" s="1"/>
  <c r="H44" i="11"/>
  <c r="O44" i="11" s="1"/>
  <c r="G50" i="34" s="1"/>
  <c r="G44" i="12" s="1"/>
  <c r="F44" i="39" s="1"/>
  <c r="H59" i="11"/>
  <c r="O59" i="11" s="1"/>
  <c r="G65" i="34" s="1"/>
  <c r="G59" i="12" s="1"/>
  <c r="F59" i="39" s="1"/>
  <c r="H149" i="11"/>
  <c r="H156" i="11"/>
  <c r="O156" i="11" s="1"/>
  <c r="G162" i="34" s="1"/>
  <c r="G156" i="12" s="1"/>
  <c r="F156" i="39" s="1"/>
  <c r="H274" i="11"/>
  <c r="O274" i="11" s="1"/>
  <c r="G280" i="34" s="1"/>
  <c r="G274" i="12" s="1"/>
  <c r="F274" i="39" s="1"/>
  <c r="H19" i="11"/>
  <c r="O19" i="11" s="1"/>
  <c r="G25" i="34" s="1"/>
  <c r="G19" i="12" s="1"/>
  <c r="F19" i="39" s="1"/>
  <c r="H62" i="11"/>
  <c r="O62" i="11" s="1"/>
  <c r="G68" i="34" s="1"/>
  <c r="G62" i="12" s="1"/>
  <c r="F62" i="39" s="1"/>
  <c r="H76" i="11"/>
  <c r="O76" i="11" s="1"/>
  <c r="G82" i="34" s="1"/>
  <c r="G76" i="12" s="1"/>
  <c r="F76" i="39" s="1"/>
  <c r="H169" i="11"/>
  <c r="O169" i="11" s="1"/>
  <c r="G175" i="34" s="1"/>
  <c r="G169" i="12" s="1"/>
  <c r="H223" i="11"/>
  <c r="O223" i="11" s="1"/>
  <c r="G229" i="34" s="1"/>
  <c r="G223" i="12" s="1"/>
  <c r="F223" i="39" s="1"/>
  <c r="H255" i="11"/>
  <c r="H288" i="11"/>
  <c r="O288" i="11" s="1"/>
  <c r="G294" i="34" s="1"/>
  <c r="G288" i="12" s="1"/>
  <c r="F288" i="39" s="1"/>
  <c r="H226" i="11"/>
  <c r="O226" i="11" s="1"/>
  <c r="G232" i="34" s="1"/>
  <c r="G226" i="12" s="1"/>
  <c r="F226" i="39" s="1"/>
  <c r="H261" i="11"/>
  <c r="O261" i="11" s="1"/>
  <c r="G267" i="34" s="1"/>
  <c r="G261" i="12" s="1"/>
  <c r="F261" i="39" s="1"/>
  <c r="H293" i="11"/>
  <c r="O293" i="11" s="1"/>
  <c r="G299" i="34" s="1"/>
  <c r="G293" i="12" s="1"/>
  <c r="F293" i="39" s="1"/>
  <c r="H240" i="11"/>
  <c r="O240" i="11" s="1"/>
  <c r="G246" i="34" s="1"/>
  <c r="G240" i="12" s="1"/>
  <c r="F240" i="39" s="1"/>
  <c r="H271" i="11"/>
  <c r="O271" i="11" s="1"/>
  <c r="G277" i="34" s="1"/>
  <c r="G271" i="12" s="1"/>
  <c r="F271" i="39" s="1"/>
  <c r="H303" i="11"/>
  <c r="O303" i="11" s="1"/>
  <c r="G309" i="34" s="1"/>
  <c r="G303" i="12" s="1"/>
  <c r="F303" i="39" s="1"/>
  <c r="H47" i="11"/>
  <c r="H54" i="11"/>
  <c r="O54" i="11" s="1"/>
  <c r="G60" i="34" s="1"/>
  <c r="G54" i="12" s="1"/>
  <c r="F54" i="39" s="1"/>
  <c r="H177" i="11"/>
  <c r="O177" i="11" s="1"/>
  <c r="G183" i="34" s="1"/>
  <c r="G177" i="12" s="1"/>
  <c r="F177" i="39" s="1"/>
  <c r="H272" i="11"/>
  <c r="O272" i="11" s="1"/>
  <c r="G278" i="34" s="1"/>
  <c r="G272" i="12" s="1"/>
  <c r="F272" i="39" s="1"/>
  <c r="H256" i="11"/>
  <c r="O256" i="11" s="1"/>
  <c r="G262" i="34" s="1"/>
  <c r="G256" i="12" s="1"/>
  <c r="F256" i="39" s="1"/>
  <c r="H41" i="11"/>
  <c r="O41" i="11" s="1"/>
  <c r="G47" i="34" s="1"/>
  <c r="G41" i="12" s="1"/>
  <c r="F41" i="39" s="1"/>
  <c r="H27" i="11"/>
  <c r="O27" i="11" s="1"/>
  <c r="G33" i="34" s="1"/>
  <c r="G27" i="12" s="1"/>
  <c r="F27" i="39" s="1"/>
  <c r="H145" i="11"/>
  <c r="O145" i="11" s="1"/>
  <c r="G151" i="34" s="1"/>
  <c r="G145" i="12" s="1"/>
  <c r="F145" i="39" s="1"/>
  <c r="H34" i="11"/>
  <c r="H30" i="11"/>
  <c r="O30" i="11" s="1"/>
  <c r="G36" i="34" s="1"/>
  <c r="G30" i="12" s="1"/>
  <c r="F30" i="39" s="1"/>
  <c r="H26" i="11"/>
  <c r="O26" i="11" s="1"/>
  <c r="G32" i="34" s="1"/>
  <c r="G26" i="12" s="1"/>
  <c r="F26" i="39" s="1"/>
  <c r="H67" i="11"/>
  <c r="O67" i="11" s="1"/>
  <c r="G73" i="34" s="1"/>
  <c r="G67" i="12" s="1"/>
  <c r="F67" i="39" s="1"/>
  <c r="H154" i="11"/>
  <c r="O154" i="11" s="1"/>
  <c r="G160" i="34" s="1"/>
  <c r="G154" i="12" s="1"/>
  <c r="F154" i="39" s="1"/>
  <c r="H141" i="11"/>
  <c r="O141" i="11" s="1"/>
  <c r="G147" i="34" s="1"/>
  <c r="G141" i="12" s="1"/>
  <c r="F141" i="39" s="1"/>
  <c r="H282" i="11"/>
  <c r="O282" i="11" s="1"/>
  <c r="G288" i="34" s="1"/>
  <c r="G282" i="12" s="1"/>
  <c r="F282" i="39" s="1"/>
  <c r="H11" i="11"/>
  <c r="O11" i="11" s="1"/>
  <c r="G17" i="34" s="1"/>
  <c r="G11" i="12" s="1"/>
  <c r="F11" i="39" s="1"/>
  <c r="H64" i="11"/>
  <c r="H159" i="11"/>
  <c r="O159" i="11" s="1"/>
  <c r="G165" i="34" s="1"/>
  <c r="G159" i="12" s="1"/>
  <c r="F159" i="39" s="1"/>
  <c r="H175" i="11"/>
  <c r="O175" i="11" s="1"/>
  <c r="G181" i="34" s="1"/>
  <c r="G175" i="12" s="1"/>
  <c r="F175" i="39" s="1"/>
  <c r="H219" i="11"/>
  <c r="O219" i="11" s="1"/>
  <c r="G225" i="34" s="1"/>
  <c r="G219" i="12" s="1"/>
  <c r="F219" i="39" s="1"/>
  <c r="H251" i="11"/>
  <c r="O251" i="11" s="1"/>
  <c r="G257" i="34" s="1"/>
  <c r="G251" i="12" s="1"/>
  <c r="F251" i="39" s="1"/>
  <c r="H284" i="11"/>
  <c r="O284" i="11" s="1"/>
  <c r="G290" i="34" s="1"/>
  <c r="G284" i="12" s="1"/>
  <c r="F284" i="39" s="1"/>
  <c r="H230" i="11"/>
  <c r="O230" i="11" s="1"/>
  <c r="G236" i="34" s="1"/>
  <c r="G230" i="12" s="1"/>
  <c r="F230" i="39" s="1"/>
  <c r="H265" i="11"/>
  <c r="O265" i="11" s="1"/>
  <c r="G271" i="34" s="1"/>
  <c r="G265" i="12" s="1"/>
  <c r="F265" i="39" s="1"/>
  <c r="H297" i="11"/>
  <c r="H236" i="11"/>
  <c r="O236" i="11" s="1"/>
  <c r="G242" i="34" s="1"/>
  <c r="G236" i="12" s="1"/>
  <c r="F236" i="39" s="1"/>
  <c r="H267" i="11"/>
  <c r="H299" i="11"/>
  <c r="O299" i="11" s="1"/>
  <c r="G305" i="34" s="1"/>
  <c r="G299" i="12" s="1"/>
  <c r="F299" i="39" s="1"/>
  <c r="H33" i="11"/>
  <c r="O33" i="11" s="1"/>
  <c r="G39" i="34" s="1"/>
  <c r="G33" i="12" s="1"/>
  <c r="F33" i="39" s="1"/>
  <c r="H146" i="11"/>
  <c r="O146" i="11" s="1"/>
  <c r="G152" i="34" s="1"/>
  <c r="G146" i="12" s="1"/>
  <c r="F146" i="39" s="1"/>
  <c r="H157" i="11"/>
  <c r="O157" i="11" s="1"/>
  <c r="G163" i="34" s="1"/>
  <c r="G157" i="12" s="1"/>
  <c r="F157" i="39" s="1"/>
  <c r="H221" i="11"/>
  <c r="O221" i="11" s="1"/>
  <c r="G227" i="34" s="1"/>
  <c r="G221" i="12" s="1"/>
  <c r="F221" i="39" s="1"/>
  <c r="H38" i="11"/>
  <c r="H75" i="11"/>
  <c r="O75" i="11" s="1"/>
  <c r="G81" i="34" s="1"/>
  <c r="G75" i="12" s="1"/>
  <c r="F75" i="39" s="1"/>
  <c r="H57" i="11"/>
  <c r="O57" i="11" s="1"/>
  <c r="G63" i="34" s="1"/>
  <c r="G57" i="12" s="1"/>
  <c r="F57" i="39" s="1"/>
  <c r="H74" i="11"/>
  <c r="O74" i="11" s="1"/>
  <c r="G80" i="34" s="1"/>
  <c r="G74" i="12" s="1"/>
  <c r="F74" i="39" s="1"/>
  <c r="H164" i="11"/>
  <c r="O164" i="11" s="1"/>
  <c r="G170" i="34" s="1"/>
  <c r="G164" i="12" s="1"/>
  <c r="F164" i="39" s="1"/>
  <c r="H180" i="11"/>
  <c r="O180" i="11" s="1"/>
  <c r="G186" i="34" s="1"/>
  <c r="G180" i="12" s="1"/>
  <c r="F180" i="39" s="1"/>
  <c r="H225" i="11"/>
  <c r="O225" i="11" s="1"/>
  <c r="G231" i="34" s="1"/>
  <c r="G225" i="12" s="1"/>
  <c r="F225" i="39" s="1"/>
  <c r="H257" i="11"/>
  <c r="O257" i="11" s="1"/>
  <c r="G263" i="34" s="1"/>
  <c r="G257" i="12" s="1"/>
  <c r="F257" i="39" s="1"/>
  <c r="H286" i="11"/>
  <c r="H150" i="11"/>
  <c r="O150" i="11" s="1"/>
  <c r="G156" i="34" s="1"/>
  <c r="G150" i="12" s="1"/>
  <c r="F150" i="39" s="1"/>
  <c r="H237" i="11"/>
  <c r="O237" i="11" s="1"/>
  <c r="G243" i="34" s="1"/>
  <c r="G237" i="12" s="1"/>
  <c r="F237" i="39" s="1"/>
  <c r="H290" i="11"/>
  <c r="O290" i="11" s="1"/>
  <c r="G296" i="34" s="1"/>
  <c r="G290" i="12" s="1"/>
  <c r="F290" i="39" s="1"/>
  <c r="H21" i="11"/>
  <c r="O21" i="11" s="1"/>
  <c r="G27" i="34" s="1"/>
  <c r="G21" i="12" s="1"/>
  <c r="F21" i="39" s="1"/>
  <c r="H50" i="11"/>
  <c r="O50" i="11" s="1"/>
  <c r="G56" i="34" s="1"/>
  <c r="G50" i="12" s="1"/>
  <c r="F50" i="39" s="1"/>
  <c r="H66" i="11"/>
  <c r="O66" i="11" s="1"/>
  <c r="G72" i="34" s="1"/>
  <c r="G66" i="12" s="1"/>
  <c r="F66" i="39" s="1"/>
  <c r="H173" i="11"/>
  <c r="O173" i="11" s="1"/>
  <c r="G179" i="34" s="1"/>
  <c r="G173" i="12" s="1"/>
  <c r="F173" i="39" s="1"/>
  <c r="H231" i="11"/>
  <c r="H264" i="11"/>
  <c r="O264" i="11" s="1"/>
  <c r="G270" i="34" s="1"/>
  <c r="G264" i="12" s="1"/>
  <c r="F264" i="39" s="1"/>
  <c r="H296" i="11"/>
  <c r="O296" i="11" s="1"/>
  <c r="G302" i="34" s="1"/>
  <c r="G296" i="12" s="1"/>
  <c r="F296" i="39" s="1"/>
  <c r="H234" i="11"/>
  <c r="O234" i="11" s="1"/>
  <c r="G240" i="34" s="1"/>
  <c r="G234" i="12" s="1"/>
  <c r="F234" i="39" s="1"/>
  <c r="H269" i="11"/>
  <c r="O269" i="11" s="1"/>
  <c r="G275" i="34" s="1"/>
  <c r="G269" i="12" s="1"/>
  <c r="F269" i="39" s="1"/>
  <c r="H301" i="11"/>
  <c r="O301" i="11" s="1"/>
  <c r="G307" i="34" s="1"/>
  <c r="G301" i="12" s="1"/>
  <c r="F301" i="39" s="1"/>
  <c r="H216" i="11"/>
  <c r="O216" i="11" s="1"/>
  <c r="G222" i="34" s="1"/>
  <c r="G216" i="12" s="1"/>
  <c r="F216" i="39" s="1"/>
  <c r="H248" i="11"/>
  <c r="O248" i="11" s="1"/>
  <c r="G254" i="34" s="1"/>
  <c r="G248" i="12" s="1"/>
  <c r="F248" i="39" s="1"/>
  <c r="H279" i="11"/>
  <c r="H31" i="11"/>
  <c r="O31" i="11" s="1"/>
  <c r="G37" i="34" s="1"/>
  <c r="G31" i="12" s="1"/>
  <c r="F31" i="39" s="1"/>
  <c r="H78" i="11"/>
  <c r="O78" i="11" s="1"/>
  <c r="G84" i="34" s="1"/>
  <c r="G78" i="12" s="1"/>
  <c r="F78" i="39" s="1"/>
  <c r="H298" i="11"/>
  <c r="O298" i="11" s="1"/>
  <c r="G304" i="34" s="1"/>
  <c r="G298" i="12" s="1"/>
  <c r="F298" i="39" s="1"/>
  <c r="H13" i="11"/>
  <c r="O13" i="11" s="1"/>
  <c r="G19" i="34" s="1"/>
  <c r="G13" i="12" s="1"/>
  <c r="F13" i="39" s="1"/>
  <c r="H260" i="11"/>
  <c r="O260" i="11" s="1"/>
  <c r="G266" i="34" s="1"/>
  <c r="G260" i="12" s="1"/>
  <c r="F260" i="39" s="1"/>
  <c r="H238" i="11"/>
  <c r="O238" i="11" s="1"/>
  <c r="G244" i="34" s="1"/>
  <c r="G238" i="12" s="1"/>
  <c r="F238" i="39" s="1"/>
  <c r="H305" i="11"/>
  <c r="O305" i="11" s="1"/>
  <c r="G311" i="34" s="1"/>
  <c r="G305" i="12" s="1"/>
  <c r="F305" i="39" s="1"/>
  <c r="H275" i="11"/>
  <c r="H143" i="11"/>
  <c r="O143" i="11" s="1"/>
  <c r="G149" i="34" s="1"/>
  <c r="G143" i="12" s="1"/>
  <c r="F143" i="39" s="1"/>
  <c r="H42" i="11"/>
  <c r="O42" i="11" s="1"/>
  <c r="G48" i="34" s="1"/>
  <c r="G42" i="12" s="1"/>
  <c r="F42" i="39" s="1"/>
  <c r="H61" i="11"/>
  <c r="O61" i="11" s="1"/>
  <c r="G67" i="34" s="1"/>
  <c r="G61" i="12" s="1"/>
  <c r="F61" i="39" s="1"/>
  <c r="H168" i="11"/>
  <c r="O168" i="11" s="1"/>
  <c r="G174" i="34" s="1"/>
  <c r="G168" i="12" s="1"/>
  <c r="F168" i="39" s="1"/>
  <c r="H262" i="11"/>
  <c r="O262" i="11" s="1"/>
  <c r="G268" i="34" s="1"/>
  <c r="G262" i="12" s="1"/>
  <c r="F262" i="39" s="1"/>
  <c r="H294" i="11"/>
  <c r="O294" i="11" s="1"/>
  <c r="G300" i="34" s="1"/>
  <c r="G294" i="12" s="1"/>
  <c r="F294" i="39" s="1"/>
  <c r="H158" i="11"/>
  <c r="O158" i="11" s="1"/>
  <c r="G164" i="34" s="1"/>
  <c r="G158" i="12" s="1"/>
  <c r="F158" i="39" s="1"/>
  <c r="H37" i="11"/>
  <c r="H239" i="11"/>
  <c r="O239" i="11" s="1"/>
  <c r="G245" i="34" s="1"/>
  <c r="G239" i="12" s="1"/>
  <c r="F239" i="39" s="1"/>
  <c r="H277" i="11"/>
  <c r="O277" i="11" s="1"/>
  <c r="G283" i="34" s="1"/>
  <c r="G277" i="12" s="1"/>
  <c r="F277" i="39" s="1"/>
  <c r="O267" i="11"/>
  <c r="G273" i="34" s="1"/>
  <c r="G267" i="12" s="1"/>
  <c r="F267" i="39" s="1"/>
  <c r="O287" i="11"/>
  <c r="G293" i="34" s="1"/>
  <c r="G287" i="12" s="1"/>
  <c r="F287" i="39" s="1"/>
  <c r="O29" i="11"/>
  <c r="G35" i="34" s="1"/>
  <c r="G29" i="12" s="1"/>
  <c r="F29" i="39" s="1"/>
  <c r="O275" i="11"/>
  <c r="G281" i="34" s="1"/>
  <c r="G275" i="12" s="1"/>
  <c r="F275" i="39" s="1"/>
  <c r="O110" i="11"/>
  <c r="G116" i="34" s="1"/>
  <c r="G110" i="12" s="1"/>
  <c r="F110" i="39" s="1"/>
  <c r="O64" i="11"/>
  <c r="G70" i="34" s="1"/>
  <c r="G64" i="12" s="1"/>
  <c r="F64" i="39" s="1"/>
  <c r="O91" i="11"/>
  <c r="G97" i="34" s="1"/>
  <c r="G91" i="12" s="1"/>
  <c r="F91" i="39" s="1"/>
  <c r="O133" i="11"/>
  <c r="G139" i="34" s="1"/>
  <c r="G133" i="12" s="1"/>
  <c r="F133" i="39" s="1"/>
  <c r="O96" i="11"/>
  <c r="G102" i="34" s="1"/>
  <c r="G96" i="12" s="1"/>
  <c r="F96" i="39" s="1"/>
  <c r="O120" i="11"/>
  <c r="G126" i="34" s="1"/>
  <c r="G120" i="12" s="1"/>
  <c r="F120" i="39" s="1"/>
  <c r="O279" i="11"/>
  <c r="G285" i="34" s="1"/>
  <c r="G279" i="12" s="1"/>
  <c r="F279" i="39" s="1"/>
  <c r="O15" i="11"/>
  <c r="G21" i="34" s="1"/>
  <c r="G15" i="12" s="1"/>
  <c r="F15" i="39" s="1"/>
  <c r="O286" i="11"/>
  <c r="G292" i="34" s="1"/>
  <c r="G286" i="12" s="1"/>
  <c r="F286" i="39" s="1"/>
  <c r="O38" i="11"/>
  <c r="G44" i="34" s="1"/>
  <c r="G38" i="12" s="1"/>
  <c r="F38" i="39" s="1"/>
  <c r="O9" i="11"/>
  <c r="G15" i="34" s="1"/>
  <c r="G9" i="12" s="1"/>
  <c r="F9" i="39" s="1"/>
  <c r="O24" i="11"/>
  <c r="G30" i="34" s="1"/>
  <c r="G24" i="12" s="1"/>
  <c r="F24" i="39" s="1"/>
  <c r="O297" i="11"/>
  <c r="G303" i="34" s="1"/>
  <c r="G297" i="12" s="1"/>
  <c r="F297" i="39" s="1"/>
  <c r="O231" i="11"/>
  <c r="G237" i="34" s="1"/>
  <c r="G231" i="12" s="1"/>
  <c r="F231" i="39" s="1"/>
  <c r="O176" i="11"/>
  <c r="G182" i="34" s="1"/>
  <c r="G176" i="12" s="1"/>
  <c r="F176" i="39" s="1"/>
  <c r="O18" i="11"/>
  <c r="G24" i="34" s="1"/>
  <c r="G18" i="12" s="1"/>
  <c r="F18" i="39" s="1"/>
  <c r="O134" i="11"/>
  <c r="G140" i="34" s="1"/>
  <c r="G134" i="12" s="1"/>
  <c r="F134" i="39" s="1"/>
  <c r="O213" i="11"/>
  <c r="G219" i="34" s="1"/>
  <c r="G213" i="12" s="1"/>
  <c r="F213" i="39" s="1"/>
  <c r="O210" i="11"/>
  <c r="G216" i="34" s="1"/>
  <c r="G210" i="12" s="1"/>
  <c r="F210" i="39" s="1"/>
  <c r="O203" i="11"/>
  <c r="G209" i="34" s="1"/>
  <c r="G203" i="12" s="1"/>
  <c r="F203" i="39" s="1"/>
  <c r="O99" i="11"/>
  <c r="G105" i="34" s="1"/>
  <c r="G99" i="12" s="1"/>
  <c r="F99" i="39" s="1"/>
  <c r="O199" i="11"/>
  <c r="G205" i="34" s="1"/>
  <c r="G199" i="12" s="1"/>
  <c r="F199" i="39" s="1"/>
  <c r="O119" i="11"/>
  <c r="G125" i="34" s="1"/>
  <c r="G119" i="12" s="1"/>
  <c r="F119" i="39" s="1"/>
  <c r="O101" i="11"/>
  <c r="G107" i="34" s="1"/>
  <c r="G101" i="12" s="1"/>
  <c r="F101" i="39" s="1"/>
  <c r="O114" i="11"/>
  <c r="G120" i="34" s="1"/>
  <c r="G114" i="12" s="1"/>
  <c r="F114" i="39" s="1"/>
  <c r="O193" i="11"/>
  <c r="G199" i="34" s="1"/>
  <c r="G193" i="12" s="1"/>
  <c r="F193" i="39" s="1"/>
  <c r="O204" i="11"/>
  <c r="G210" i="34" s="1"/>
  <c r="G204" i="12" s="1"/>
  <c r="F204" i="39" s="1"/>
  <c r="O162" i="11"/>
  <c r="G168" i="34" s="1"/>
  <c r="G162" i="12" s="1"/>
  <c r="F162" i="39" s="1"/>
  <c r="O300" i="11"/>
  <c r="G306" i="34" s="1"/>
  <c r="G300" i="12" s="1"/>
  <c r="F300" i="39" s="1"/>
  <c r="O47" i="11"/>
  <c r="G53" i="34" s="1"/>
  <c r="G47" i="12" s="1"/>
  <c r="F47" i="39" s="1"/>
  <c r="O224" i="11"/>
  <c r="G230" i="34" s="1"/>
  <c r="G224" i="12" s="1"/>
  <c r="F224" i="39" s="1"/>
  <c r="O34" i="11"/>
  <c r="G40" i="34" s="1"/>
  <c r="G34" i="12" s="1"/>
  <c r="F34" i="39" s="1"/>
  <c r="O149" i="11"/>
  <c r="G155" i="34" s="1"/>
  <c r="G149" i="12" s="1"/>
  <c r="F149" i="39" s="1"/>
  <c r="O266" i="11"/>
  <c r="G272" i="34" s="1"/>
  <c r="G266" i="12" s="1"/>
  <c r="F266" i="39" s="1"/>
  <c r="O25" i="11"/>
  <c r="G31" i="34" s="1"/>
  <c r="G25" i="12" s="1"/>
  <c r="F25" i="39" s="1"/>
  <c r="O255" i="11"/>
  <c r="G261" i="34" s="1"/>
  <c r="G255" i="12" s="1"/>
  <c r="F255" i="39" s="1"/>
  <c r="O241" i="11"/>
  <c r="G247" i="34" s="1"/>
  <c r="G241" i="12" s="1"/>
  <c r="F241" i="39" s="1"/>
  <c r="O8" i="11"/>
  <c r="G14" i="34" s="1"/>
  <c r="G8" i="12" s="1"/>
  <c r="F8" i="39" s="1"/>
  <c r="O189" i="11"/>
  <c r="G195" i="34" s="1"/>
  <c r="G189" i="12" s="1"/>
  <c r="F189" i="39" s="1"/>
  <c r="O182" i="11"/>
  <c r="G188" i="34" s="1"/>
  <c r="G182" i="12" s="1"/>
  <c r="F182" i="39" s="1"/>
  <c r="O53" i="11"/>
  <c r="G59" i="34" s="1"/>
  <c r="G53" i="12" s="1"/>
  <c r="F53" i="39" s="1"/>
  <c r="O211" i="11"/>
  <c r="G217" i="34" s="1"/>
  <c r="G211" i="12" s="1"/>
  <c r="F211" i="39" s="1"/>
  <c r="O207" i="11"/>
  <c r="G213" i="34" s="1"/>
  <c r="G207" i="12" s="1"/>
  <c r="F207" i="39" s="1"/>
  <c r="O109" i="11"/>
  <c r="G115" i="34" s="1"/>
  <c r="G109" i="12" s="1"/>
  <c r="F109" i="39" s="1"/>
  <c r="O112" i="11"/>
  <c r="G118" i="34" s="1"/>
  <c r="G112" i="12" s="1"/>
  <c r="F112" i="39" s="1"/>
  <c r="O46" i="11"/>
  <c r="G52" i="34" s="1"/>
  <c r="G46" i="12" s="1"/>
  <c r="F46" i="39" s="1"/>
  <c r="O232" i="11"/>
  <c r="G238" i="34" s="1"/>
  <c r="G232" i="12" s="1"/>
  <c r="F232" i="39" s="1"/>
  <c r="O7" i="11"/>
  <c r="G13" i="34" s="1"/>
  <c r="G7" i="12" s="1"/>
  <c r="F7" i="39" s="1"/>
  <c r="O17" i="11"/>
  <c r="G23" i="34" s="1"/>
  <c r="G17" i="12" s="1"/>
  <c r="F17" i="39" s="1"/>
  <c r="O125" i="11"/>
  <c r="G131" i="34" s="1"/>
  <c r="G125" i="12" s="1"/>
  <c r="F125" i="39" s="1"/>
  <c r="O190" i="11"/>
  <c r="G196" i="34" s="1"/>
  <c r="G190" i="12" s="1"/>
  <c r="F190" i="39" s="1"/>
  <c r="O121" i="11"/>
  <c r="G127" i="34" s="1"/>
  <c r="G121" i="12" s="1"/>
  <c r="F121" i="39" s="1"/>
  <c r="O95" i="11"/>
  <c r="G101" i="34" s="1"/>
  <c r="G95" i="12" s="1"/>
  <c r="F95" i="39" s="1"/>
  <c r="O68" i="11"/>
  <c r="G74" i="34" s="1"/>
  <c r="G68" i="12" s="1"/>
  <c r="F68" i="39" s="1"/>
  <c r="O254" i="11"/>
  <c r="G260" i="34" s="1"/>
  <c r="G254" i="12" s="1"/>
  <c r="F254" i="39" s="1"/>
  <c r="O32" i="11"/>
  <c r="G38" i="34" s="1"/>
  <c r="G32" i="12" s="1"/>
  <c r="F32" i="39" s="1"/>
  <c r="O227" i="11"/>
  <c r="G233" i="34" s="1"/>
  <c r="G227" i="12" s="1"/>
  <c r="F227" i="39" s="1"/>
  <c r="O37" i="11"/>
  <c r="G43" i="34" s="1"/>
  <c r="G37" i="12" s="1"/>
  <c r="F37" i="39" s="1"/>
  <c r="O179" i="11"/>
  <c r="G185" i="34" s="1"/>
  <c r="G179" i="12" s="1"/>
  <c r="F179" i="39" s="1"/>
  <c r="O52" i="11"/>
  <c r="G58" i="34" s="1"/>
  <c r="G52" i="12" s="1"/>
  <c r="F52" i="39" s="1"/>
  <c r="O139" i="11"/>
  <c r="G145" i="34" s="1"/>
  <c r="G139" i="12" s="1"/>
  <c r="F139" i="39" s="1"/>
  <c r="O108" i="11"/>
  <c r="G114" i="34" s="1"/>
  <c r="G108" i="12" s="1"/>
  <c r="F108" i="39" s="1"/>
  <c r="O202" i="11"/>
  <c r="G208" i="34" s="1"/>
  <c r="G202" i="12" s="1"/>
  <c r="F202" i="39" s="1"/>
  <c r="O103" i="11"/>
  <c r="G109" i="34" s="1"/>
  <c r="G103" i="12" s="1"/>
  <c r="F103" i="39" s="1"/>
  <c r="O56" i="11"/>
  <c r="G62" i="34" s="1"/>
  <c r="G56" i="12" s="1"/>
  <c r="F56" i="39" s="1"/>
  <c r="O85" i="11"/>
  <c r="G91" i="34" s="1"/>
  <c r="G85" i="12" s="1"/>
  <c r="F85" i="39" s="1"/>
  <c r="O49" i="11"/>
  <c r="G55" i="34" s="1"/>
  <c r="G49" i="12" s="1"/>
  <c r="F49" i="39" s="1"/>
  <c r="O98" i="11"/>
  <c r="G104" i="34" s="1"/>
  <c r="G98" i="12" s="1"/>
  <c r="F98" i="39" s="1"/>
  <c r="O209" i="11"/>
  <c r="G215" i="34" s="1"/>
  <c r="G209" i="12" s="1"/>
  <c r="F209" i="39" s="1"/>
  <c r="O196" i="11"/>
  <c r="G202" i="34" s="1"/>
  <c r="G196" i="12" s="1"/>
  <c r="F196" i="39" s="1"/>
  <c r="H6" i="11"/>
  <c r="O6" i="11" s="1"/>
  <c r="G12" i="34" s="1"/>
  <c r="F306" i="12"/>
  <c r="F11" i="34"/>
  <c r="M306" i="11"/>
  <c r="H11" i="9"/>
  <c r="B21" i="48" s="1"/>
  <c r="O111" i="11" l="1"/>
  <c r="G117" i="34" s="1"/>
  <c r="G111" i="12" s="1"/>
  <c r="F111" i="39" s="1"/>
  <c r="E33" i="48"/>
  <c r="F34" i="48" s="1"/>
  <c r="F169" i="39"/>
  <c r="F253" i="39"/>
  <c r="H14" i="9"/>
  <c r="I14" i="9" s="1"/>
  <c r="H18" i="9"/>
  <c r="I18" i="9" s="1"/>
  <c r="H22" i="9"/>
  <c r="I22" i="9" s="1"/>
  <c r="H26" i="9"/>
  <c r="I26" i="9" s="1"/>
  <c r="H30" i="9"/>
  <c r="I30" i="9" s="1"/>
  <c r="H34" i="9"/>
  <c r="I34" i="9" s="1"/>
  <c r="H38" i="9"/>
  <c r="I38" i="9" s="1"/>
  <c r="H42" i="9"/>
  <c r="I42" i="9" s="1"/>
  <c r="H46" i="9"/>
  <c r="I46" i="9" s="1"/>
  <c r="H50" i="9"/>
  <c r="I50" i="9" s="1"/>
  <c r="H54" i="9"/>
  <c r="I54" i="9" s="1"/>
  <c r="H58" i="9"/>
  <c r="I58" i="9" s="1"/>
  <c r="H62" i="9"/>
  <c r="I62" i="9" s="1"/>
  <c r="H66" i="9"/>
  <c r="I66" i="9" s="1"/>
  <c r="H70" i="9"/>
  <c r="I70" i="9" s="1"/>
  <c r="H74" i="9"/>
  <c r="I74" i="9" s="1"/>
  <c r="H78" i="9"/>
  <c r="I78" i="9" s="1"/>
  <c r="H82" i="9"/>
  <c r="I82" i="9" s="1"/>
  <c r="H86" i="9"/>
  <c r="I86" i="9" s="1"/>
  <c r="H90" i="9"/>
  <c r="I90" i="9" s="1"/>
  <c r="H15" i="9"/>
  <c r="I15" i="9" s="1"/>
  <c r="H19" i="9"/>
  <c r="I19" i="9" s="1"/>
  <c r="H23" i="9"/>
  <c r="I23" i="9" s="1"/>
  <c r="H27" i="9"/>
  <c r="I27" i="9" s="1"/>
  <c r="H31" i="9"/>
  <c r="I31" i="9" s="1"/>
  <c r="H35" i="9"/>
  <c r="I35" i="9" s="1"/>
  <c r="H39" i="9"/>
  <c r="I39" i="9" s="1"/>
  <c r="H43" i="9"/>
  <c r="I43" i="9" s="1"/>
  <c r="H47" i="9"/>
  <c r="I47" i="9" s="1"/>
  <c r="H51" i="9"/>
  <c r="I51" i="9" s="1"/>
  <c r="H55" i="9"/>
  <c r="I55" i="9" s="1"/>
  <c r="H59" i="9"/>
  <c r="I59" i="9" s="1"/>
  <c r="H63" i="9"/>
  <c r="I63" i="9" s="1"/>
  <c r="H67" i="9"/>
  <c r="I67" i="9" s="1"/>
  <c r="H71" i="9"/>
  <c r="I71" i="9" s="1"/>
  <c r="H75" i="9"/>
  <c r="I75" i="9" s="1"/>
  <c r="H79" i="9"/>
  <c r="I79" i="9" s="1"/>
  <c r="H83" i="9"/>
  <c r="I83" i="9" s="1"/>
  <c r="H87" i="9"/>
  <c r="I87" i="9" s="1"/>
  <c r="H91" i="9"/>
  <c r="I91" i="9" s="1"/>
  <c r="H95" i="9"/>
  <c r="I95" i="9" s="1"/>
  <c r="H99" i="9"/>
  <c r="I99" i="9" s="1"/>
  <c r="H103" i="9"/>
  <c r="I103" i="9" s="1"/>
  <c r="H107" i="9"/>
  <c r="I107" i="9" s="1"/>
  <c r="H111" i="9"/>
  <c r="I111" i="9" s="1"/>
  <c r="H115" i="9"/>
  <c r="I115" i="9" s="1"/>
  <c r="H119" i="9"/>
  <c r="I119" i="9" s="1"/>
  <c r="H123" i="9"/>
  <c r="I123" i="9" s="1"/>
  <c r="H16" i="9"/>
  <c r="I16" i="9" s="1"/>
  <c r="H20" i="9"/>
  <c r="I20" i="9" s="1"/>
  <c r="H24" i="9"/>
  <c r="I24" i="9" s="1"/>
  <c r="H28" i="9"/>
  <c r="I28" i="9" s="1"/>
  <c r="H32" i="9"/>
  <c r="I32" i="9" s="1"/>
  <c r="H36" i="9"/>
  <c r="I36" i="9" s="1"/>
  <c r="H40" i="9"/>
  <c r="I40" i="9" s="1"/>
  <c r="H44" i="9"/>
  <c r="I44" i="9" s="1"/>
  <c r="H48" i="9"/>
  <c r="I48" i="9" s="1"/>
  <c r="H52" i="9"/>
  <c r="I52" i="9" s="1"/>
  <c r="H56" i="9"/>
  <c r="I56" i="9" s="1"/>
  <c r="H60" i="9"/>
  <c r="I60" i="9" s="1"/>
  <c r="H64" i="9"/>
  <c r="I64" i="9" s="1"/>
  <c r="H68" i="9"/>
  <c r="I68" i="9" s="1"/>
  <c r="H72" i="9"/>
  <c r="I72" i="9" s="1"/>
  <c r="H76" i="9"/>
  <c r="I76" i="9" s="1"/>
  <c r="H80" i="9"/>
  <c r="I80" i="9" s="1"/>
  <c r="H84" i="9"/>
  <c r="I84" i="9" s="1"/>
  <c r="H88" i="9"/>
  <c r="I88" i="9" s="1"/>
  <c r="H92" i="9"/>
  <c r="I92" i="9" s="1"/>
  <c r="H96" i="9"/>
  <c r="I96" i="9" s="1"/>
  <c r="H100" i="9"/>
  <c r="I100" i="9" s="1"/>
  <c r="H104" i="9"/>
  <c r="I104" i="9" s="1"/>
  <c r="H108" i="9"/>
  <c r="I108" i="9" s="1"/>
  <c r="H112" i="9"/>
  <c r="I112" i="9" s="1"/>
  <c r="H116" i="9"/>
  <c r="I116" i="9" s="1"/>
  <c r="H120" i="9"/>
  <c r="I120" i="9" s="1"/>
  <c r="H124" i="9"/>
  <c r="I124" i="9" s="1"/>
  <c r="H13" i="9"/>
  <c r="I13" i="9" s="1"/>
  <c r="H17" i="9"/>
  <c r="I17" i="9" s="1"/>
  <c r="H25" i="9"/>
  <c r="I25" i="9" s="1"/>
  <c r="H41" i="9"/>
  <c r="I41" i="9" s="1"/>
  <c r="H57" i="9"/>
  <c r="I57" i="9" s="1"/>
  <c r="H73" i="9"/>
  <c r="I73" i="9" s="1"/>
  <c r="H89" i="9"/>
  <c r="I89" i="9" s="1"/>
  <c r="H127" i="9"/>
  <c r="I127" i="9" s="1"/>
  <c r="H131" i="9"/>
  <c r="I131" i="9" s="1"/>
  <c r="H135" i="9"/>
  <c r="I135" i="9" s="1"/>
  <c r="H139" i="9"/>
  <c r="I139" i="9" s="1"/>
  <c r="H143" i="9"/>
  <c r="I143" i="9" s="1"/>
  <c r="H147" i="9"/>
  <c r="I147" i="9" s="1"/>
  <c r="H151" i="9"/>
  <c r="I151" i="9" s="1"/>
  <c r="H155" i="9"/>
  <c r="I155" i="9" s="1"/>
  <c r="H159" i="9"/>
  <c r="I159" i="9" s="1"/>
  <c r="H163" i="9"/>
  <c r="I163" i="9" s="1"/>
  <c r="H167" i="9"/>
  <c r="I167" i="9" s="1"/>
  <c r="H171" i="9"/>
  <c r="I171" i="9" s="1"/>
  <c r="H175" i="9"/>
  <c r="I175" i="9" s="1"/>
  <c r="H21" i="9"/>
  <c r="I21" i="9" s="1"/>
  <c r="H37" i="9"/>
  <c r="I37" i="9" s="1"/>
  <c r="H53" i="9"/>
  <c r="I53" i="9" s="1"/>
  <c r="H69" i="9"/>
  <c r="I69" i="9" s="1"/>
  <c r="H85" i="9"/>
  <c r="I85" i="9" s="1"/>
  <c r="H97" i="9"/>
  <c r="I97" i="9" s="1"/>
  <c r="H98" i="9"/>
  <c r="I98" i="9" s="1"/>
  <c r="H105" i="9"/>
  <c r="I105" i="9" s="1"/>
  <c r="H106" i="9"/>
  <c r="I106" i="9" s="1"/>
  <c r="H113" i="9"/>
  <c r="I113" i="9" s="1"/>
  <c r="H114" i="9"/>
  <c r="I114" i="9" s="1"/>
  <c r="H121" i="9"/>
  <c r="I121" i="9" s="1"/>
  <c r="H122" i="9"/>
  <c r="I122" i="9" s="1"/>
  <c r="H128" i="9"/>
  <c r="I128" i="9" s="1"/>
  <c r="H132" i="9"/>
  <c r="I132" i="9" s="1"/>
  <c r="H136" i="9"/>
  <c r="I136" i="9" s="1"/>
  <c r="H140" i="9"/>
  <c r="I140" i="9" s="1"/>
  <c r="H144" i="9"/>
  <c r="I144" i="9" s="1"/>
  <c r="H148" i="9"/>
  <c r="I148" i="9" s="1"/>
  <c r="H152" i="9"/>
  <c r="I152" i="9" s="1"/>
  <c r="H156" i="9"/>
  <c r="I156" i="9" s="1"/>
  <c r="H33" i="9"/>
  <c r="I33" i="9" s="1"/>
  <c r="H49" i="9"/>
  <c r="I49" i="9" s="1"/>
  <c r="H65" i="9"/>
  <c r="I65" i="9" s="1"/>
  <c r="H81" i="9"/>
  <c r="I81" i="9" s="1"/>
  <c r="H129" i="9"/>
  <c r="I129" i="9" s="1"/>
  <c r="H133" i="9"/>
  <c r="I133" i="9" s="1"/>
  <c r="H137" i="9"/>
  <c r="I137" i="9" s="1"/>
  <c r="H141" i="9"/>
  <c r="I141" i="9" s="1"/>
  <c r="H145" i="9"/>
  <c r="I145" i="9" s="1"/>
  <c r="H149" i="9"/>
  <c r="I149" i="9" s="1"/>
  <c r="H153" i="9"/>
  <c r="I153" i="9" s="1"/>
  <c r="H157" i="9"/>
  <c r="I157" i="9" s="1"/>
  <c r="H161" i="9"/>
  <c r="I161" i="9" s="1"/>
  <c r="H165" i="9"/>
  <c r="I165" i="9" s="1"/>
  <c r="H169" i="9"/>
  <c r="I169" i="9" s="1"/>
  <c r="H173" i="9"/>
  <c r="I173" i="9" s="1"/>
  <c r="H45" i="9"/>
  <c r="I45" i="9" s="1"/>
  <c r="H77" i="9"/>
  <c r="I77" i="9" s="1"/>
  <c r="H130" i="9"/>
  <c r="I130" i="9" s="1"/>
  <c r="H146" i="9"/>
  <c r="I146" i="9" s="1"/>
  <c r="H160" i="9"/>
  <c r="I160" i="9" s="1"/>
  <c r="H168" i="9"/>
  <c r="I168" i="9" s="1"/>
  <c r="H176" i="9"/>
  <c r="I176" i="9" s="1"/>
  <c r="H180" i="9"/>
  <c r="I180" i="9" s="1"/>
  <c r="H184" i="9"/>
  <c r="I184" i="9" s="1"/>
  <c r="H188" i="9"/>
  <c r="I188" i="9" s="1"/>
  <c r="H192" i="9"/>
  <c r="I192" i="9" s="1"/>
  <c r="H196" i="9"/>
  <c r="I196" i="9" s="1"/>
  <c r="H200" i="9"/>
  <c r="I200" i="9" s="1"/>
  <c r="H204" i="9"/>
  <c r="I204" i="9" s="1"/>
  <c r="H208" i="9"/>
  <c r="I208" i="9" s="1"/>
  <c r="H212" i="9"/>
  <c r="I212" i="9" s="1"/>
  <c r="H216" i="9"/>
  <c r="I216" i="9" s="1"/>
  <c r="H220" i="9"/>
  <c r="I220" i="9" s="1"/>
  <c r="H224" i="9"/>
  <c r="I224" i="9" s="1"/>
  <c r="H228" i="9"/>
  <c r="I228" i="9" s="1"/>
  <c r="H232" i="9"/>
  <c r="I232" i="9" s="1"/>
  <c r="H236" i="9"/>
  <c r="I236" i="9" s="1"/>
  <c r="H240" i="9"/>
  <c r="I240" i="9" s="1"/>
  <c r="H244" i="9"/>
  <c r="I244" i="9" s="1"/>
  <c r="H248" i="9"/>
  <c r="I248" i="9" s="1"/>
  <c r="H252" i="9"/>
  <c r="I252" i="9" s="1"/>
  <c r="H256" i="9"/>
  <c r="I256" i="9" s="1"/>
  <c r="H260" i="9"/>
  <c r="I260" i="9" s="1"/>
  <c r="H264" i="9"/>
  <c r="I264" i="9" s="1"/>
  <c r="H268" i="9"/>
  <c r="I268" i="9" s="1"/>
  <c r="H272" i="9"/>
  <c r="I272" i="9" s="1"/>
  <c r="H94" i="9"/>
  <c r="I94" i="9" s="1"/>
  <c r="H102" i="9"/>
  <c r="I102" i="9" s="1"/>
  <c r="H110" i="9"/>
  <c r="I110" i="9" s="1"/>
  <c r="H118" i="9"/>
  <c r="I118" i="9" s="1"/>
  <c r="H126" i="9"/>
  <c r="I126" i="9" s="1"/>
  <c r="H142" i="9"/>
  <c r="I142" i="9" s="1"/>
  <c r="H158" i="9"/>
  <c r="I158" i="9" s="1"/>
  <c r="H166" i="9"/>
  <c r="I166" i="9" s="1"/>
  <c r="H174" i="9"/>
  <c r="I174" i="9" s="1"/>
  <c r="H177" i="9"/>
  <c r="I177" i="9" s="1"/>
  <c r="H181" i="9"/>
  <c r="I181" i="9" s="1"/>
  <c r="H185" i="9"/>
  <c r="I185" i="9" s="1"/>
  <c r="H189" i="9"/>
  <c r="I189" i="9" s="1"/>
  <c r="H193" i="9"/>
  <c r="I193" i="9" s="1"/>
  <c r="H197" i="9"/>
  <c r="I197" i="9" s="1"/>
  <c r="H201" i="9"/>
  <c r="I201" i="9" s="1"/>
  <c r="H205" i="9"/>
  <c r="I205" i="9" s="1"/>
  <c r="H209" i="9"/>
  <c r="I209" i="9" s="1"/>
  <c r="H213" i="9"/>
  <c r="I213" i="9" s="1"/>
  <c r="H217" i="9"/>
  <c r="I217" i="9" s="1"/>
  <c r="H221" i="9"/>
  <c r="I221" i="9" s="1"/>
  <c r="H225" i="9"/>
  <c r="I225" i="9" s="1"/>
  <c r="H229" i="9"/>
  <c r="I229" i="9" s="1"/>
  <c r="H233" i="9"/>
  <c r="I233" i="9" s="1"/>
  <c r="H237" i="9"/>
  <c r="I237" i="9" s="1"/>
  <c r="H241" i="9"/>
  <c r="I241" i="9" s="1"/>
  <c r="H245" i="9"/>
  <c r="I245" i="9" s="1"/>
  <c r="H249" i="9"/>
  <c r="I249" i="9" s="1"/>
  <c r="H29" i="9"/>
  <c r="I29" i="9" s="1"/>
  <c r="H61" i="9"/>
  <c r="I61" i="9" s="1"/>
  <c r="H93" i="9"/>
  <c r="I93" i="9" s="1"/>
  <c r="H101" i="9"/>
  <c r="I101" i="9" s="1"/>
  <c r="H109" i="9"/>
  <c r="I109" i="9" s="1"/>
  <c r="H117" i="9"/>
  <c r="H125" i="9"/>
  <c r="I125" i="9" s="1"/>
  <c r="H138" i="9"/>
  <c r="I138" i="9" s="1"/>
  <c r="H154" i="9"/>
  <c r="I154" i="9" s="1"/>
  <c r="H164" i="9"/>
  <c r="I164" i="9" s="1"/>
  <c r="H172" i="9"/>
  <c r="I172" i="9" s="1"/>
  <c r="H178" i="9"/>
  <c r="I178" i="9" s="1"/>
  <c r="H182" i="9"/>
  <c r="I182" i="9" s="1"/>
  <c r="H186" i="9"/>
  <c r="I186" i="9" s="1"/>
  <c r="H190" i="9"/>
  <c r="I190" i="9" s="1"/>
  <c r="H194" i="9"/>
  <c r="I194" i="9" s="1"/>
  <c r="H198" i="9"/>
  <c r="I198" i="9" s="1"/>
  <c r="H202" i="9"/>
  <c r="I202" i="9" s="1"/>
  <c r="H206" i="9"/>
  <c r="I206" i="9" s="1"/>
  <c r="H210" i="9"/>
  <c r="I210" i="9" s="1"/>
  <c r="H214" i="9"/>
  <c r="I214" i="9" s="1"/>
  <c r="H218" i="9"/>
  <c r="I218" i="9" s="1"/>
  <c r="H222" i="9"/>
  <c r="I222" i="9" s="1"/>
  <c r="H226" i="9"/>
  <c r="I226" i="9" s="1"/>
  <c r="H230" i="9"/>
  <c r="I230" i="9" s="1"/>
  <c r="H234" i="9"/>
  <c r="I234" i="9" s="1"/>
  <c r="H238" i="9"/>
  <c r="I238" i="9" s="1"/>
  <c r="H242" i="9"/>
  <c r="I242" i="9" s="1"/>
  <c r="H150" i="9"/>
  <c r="I150" i="9" s="1"/>
  <c r="H183" i="9"/>
  <c r="I183" i="9" s="1"/>
  <c r="H199" i="9"/>
  <c r="I199" i="9" s="1"/>
  <c r="H215" i="9"/>
  <c r="I215" i="9" s="1"/>
  <c r="H231" i="9"/>
  <c r="I231" i="9" s="1"/>
  <c r="H235" i="9"/>
  <c r="I235" i="9" s="1"/>
  <c r="H239" i="9"/>
  <c r="I239" i="9" s="1"/>
  <c r="H243" i="9"/>
  <c r="I243" i="9" s="1"/>
  <c r="H250" i="9"/>
  <c r="I250" i="9" s="1"/>
  <c r="H251" i="9"/>
  <c r="I251" i="9" s="1"/>
  <c r="H255" i="9"/>
  <c r="I255" i="9" s="1"/>
  <c r="H257" i="9"/>
  <c r="I257" i="9" s="1"/>
  <c r="H258" i="9"/>
  <c r="I258" i="9" s="1"/>
  <c r="H271" i="9"/>
  <c r="I271" i="9" s="1"/>
  <c r="H273" i="9"/>
  <c r="I273" i="9" s="1"/>
  <c r="H277" i="9"/>
  <c r="I277" i="9" s="1"/>
  <c r="H281" i="9"/>
  <c r="I281" i="9" s="1"/>
  <c r="H285" i="9"/>
  <c r="I285" i="9" s="1"/>
  <c r="H289" i="9"/>
  <c r="I289" i="9" s="1"/>
  <c r="H293" i="9"/>
  <c r="I293" i="9" s="1"/>
  <c r="H297" i="9"/>
  <c r="I297" i="9" s="1"/>
  <c r="H301" i="9"/>
  <c r="I301" i="9" s="1"/>
  <c r="H305" i="9"/>
  <c r="I305" i="9" s="1"/>
  <c r="H309" i="9"/>
  <c r="I309" i="9" s="1"/>
  <c r="H179" i="9"/>
  <c r="I179" i="9" s="1"/>
  <c r="H195" i="9"/>
  <c r="I195" i="9" s="1"/>
  <c r="H211" i="9"/>
  <c r="I211" i="9" s="1"/>
  <c r="H227" i="9"/>
  <c r="I227" i="9" s="1"/>
  <c r="H259" i="9"/>
  <c r="I259" i="9" s="1"/>
  <c r="H261" i="9"/>
  <c r="I261" i="9" s="1"/>
  <c r="H262" i="9"/>
  <c r="I262" i="9" s="1"/>
  <c r="H274" i="9"/>
  <c r="I274" i="9" s="1"/>
  <c r="H278" i="9"/>
  <c r="I278" i="9" s="1"/>
  <c r="H282" i="9"/>
  <c r="I282" i="9" s="1"/>
  <c r="H286" i="9"/>
  <c r="I286" i="9" s="1"/>
  <c r="H290" i="9"/>
  <c r="I290" i="9" s="1"/>
  <c r="H294" i="9"/>
  <c r="I294" i="9" s="1"/>
  <c r="H298" i="9"/>
  <c r="I298" i="9" s="1"/>
  <c r="H302" i="9"/>
  <c r="I302" i="9" s="1"/>
  <c r="H306" i="9"/>
  <c r="I306" i="9" s="1"/>
  <c r="H310" i="9"/>
  <c r="I310" i="9" s="1"/>
  <c r="H134" i="9"/>
  <c r="I134" i="9" s="1"/>
  <c r="H162" i="9"/>
  <c r="I162" i="9" s="1"/>
  <c r="H170" i="9"/>
  <c r="I170" i="9" s="1"/>
  <c r="H191" i="9"/>
  <c r="I191" i="9" s="1"/>
  <c r="H207" i="9"/>
  <c r="I207" i="9" s="1"/>
  <c r="H223" i="9"/>
  <c r="I223" i="9" s="1"/>
  <c r="H246" i="9"/>
  <c r="I246" i="9" s="1"/>
  <c r="H247" i="9"/>
  <c r="I247" i="9" s="1"/>
  <c r="H263" i="9"/>
  <c r="I263" i="9" s="1"/>
  <c r="H265" i="9"/>
  <c r="I265" i="9" s="1"/>
  <c r="H266" i="9"/>
  <c r="I266" i="9" s="1"/>
  <c r="H275" i="9"/>
  <c r="I275" i="9" s="1"/>
  <c r="H279" i="9"/>
  <c r="I279" i="9" s="1"/>
  <c r="H283" i="9"/>
  <c r="I283" i="9" s="1"/>
  <c r="H287" i="9"/>
  <c r="I287" i="9" s="1"/>
  <c r="H291" i="9"/>
  <c r="I291" i="9" s="1"/>
  <c r="H295" i="9"/>
  <c r="I295" i="9" s="1"/>
  <c r="H299" i="9"/>
  <c r="I299" i="9" s="1"/>
  <c r="H303" i="9"/>
  <c r="I303" i="9" s="1"/>
  <c r="H307" i="9"/>
  <c r="I307" i="9" s="1"/>
  <c r="H311" i="9"/>
  <c r="I311" i="9" s="1"/>
  <c r="H187" i="9"/>
  <c r="I187" i="9" s="1"/>
  <c r="H203" i="9"/>
  <c r="I203" i="9" s="1"/>
  <c r="H219" i="9"/>
  <c r="I219" i="9" s="1"/>
  <c r="H253" i="9"/>
  <c r="I253" i="9" s="1"/>
  <c r="H254" i="9"/>
  <c r="I254" i="9" s="1"/>
  <c r="H267" i="9"/>
  <c r="I267" i="9" s="1"/>
  <c r="H269" i="9"/>
  <c r="I269" i="9" s="1"/>
  <c r="H270" i="9"/>
  <c r="I270" i="9" s="1"/>
  <c r="H276" i="9"/>
  <c r="I276" i="9" s="1"/>
  <c r="H280" i="9"/>
  <c r="I280" i="9" s="1"/>
  <c r="H284" i="9"/>
  <c r="I284" i="9" s="1"/>
  <c r="H288" i="9"/>
  <c r="I288" i="9" s="1"/>
  <c r="H292" i="9"/>
  <c r="I292" i="9" s="1"/>
  <c r="H296" i="9"/>
  <c r="I296" i="9" s="1"/>
  <c r="H300" i="9"/>
  <c r="I300" i="9" s="1"/>
  <c r="H304" i="9"/>
  <c r="I304" i="9" s="1"/>
  <c r="H308" i="9"/>
  <c r="I308" i="9" s="1"/>
  <c r="H12" i="9"/>
  <c r="G6" i="12"/>
  <c r="F6" i="39" s="1"/>
  <c r="H306" i="11"/>
  <c r="O306" i="11"/>
  <c r="I117" i="9" l="1"/>
  <c r="F22" i="48"/>
  <c r="G293" i="25"/>
  <c r="D294" i="12"/>
  <c r="E294" i="39"/>
  <c r="G262" i="25"/>
  <c r="C263" i="54" s="1"/>
  <c r="D263" i="12"/>
  <c r="E263" i="39"/>
  <c r="G300" i="25"/>
  <c r="E301" i="39"/>
  <c r="D301" i="12"/>
  <c r="G268" i="25"/>
  <c r="E269" i="39"/>
  <c r="D269" i="12"/>
  <c r="G184" i="25"/>
  <c r="C185" i="54" s="1"/>
  <c r="E185" i="39"/>
  <c r="D185" i="12"/>
  <c r="G289" i="25"/>
  <c r="C290" i="54" s="1"/>
  <c r="E290" i="39"/>
  <c r="D290" i="12"/>
  <c r="G273" i="25"/>
  <c r="C274" i="54" s="1"/>
  <c r="E274" i="39"/>
  <c r="D274" i="12"/>
  <c r="G260" i="25"/>
  <c r="C261" i="54" s="1"/>
  <c r="E261" i="39"/>
  <c r="D261" i="12"/>
  <c r="G196" i="25"/>
  <c r="E197" i="39"/>
  <c r="D197" i="12"/>
  <c r="G296" i="25"/>
  <c r="C297" i="54" s="1"/>
  <c r="E297" i="39"/>
  <c r="D297" i="12"/>
  <c r="G280" i="25"/>
  <c r="E281" i="39"/>
  <c r="D281" i="12"/>
  <c r="G259" i="25"/>
  <c r="E260" i="39"/>
  <c r="D260" i="12"/>
  <c r="G239" i="25"/>
  <c r="C240" i="54" s="1"/>
  <c r="E240" i="39"/>
  <c r="D240" i="12"/>
  <c r="G163" i="25"/>
  <c r="C164" i="54" s="1"/>
  <c r="E164" i="39"/>
  <c r="D164" i="12"/>
  <c r="G299" i="25"/>
  <c r="C300" i="54" s="1"/>
  <c r="E300" i="39"/>
  <c r="D300" i="12"/>
  <c r="G283" i="25"/>
  <c r="C284" i="54" s="1"/>
  <c r="E284" i="39"/>
  <c r="D284" i="12"/>
  <c r="G267" i="25"/>
  <c r="E268" i="39"/>
  <c r="D268" i="12"/>
  <c r="G220" i="25"/>
  <c r="C221" i="54" s="1"/>
  <c r="E221" i="39"/>
  <c r="D221" i="12"/>
  <c r="G302" i="25"/>
  <c r="C303" i="54" s="1"/>
  <c r="D303" i="12"/>
  <c r="E303" i="39"/>
  <c r="G286" i="25"/>
  <c r="D287" i="12"/>
  <c r="E287" i="39"/>
  <c r="G270" i="25"/>
  <c r="C271" i="54" s="1"/>
  <c r="D271" i="12"/>
  <c r="E271" i="39"/>
  <c r="G250" i="25"/>
  <c r="C251" i="54" s="1"/>
  <c r="D251" i="12"/>
  <c r="E251" i="39"/>
  <c r="G236" i="25"/>
  <c r="C237" i="54" s="1"/>
  <c r="E237" i="39"/>
  <c r="D237" i="12"/>
  <c r="G208" i="25"/>
  <c r="C209" i="54" s="1"/>
  <c r="E209" i="39"/>
  <c r="D209" i="12"/>
  <c r="G235" i="25"/>
  <c r="E236" i="39"/>
  <c r="D236" i="12"/>
  <c r="G219" i="25"/>
  <c r="C220" i="54" s="1"/>
  <c r="E220" i="39"/>
  <c r="D220" i="12"/>
  <c r="G203" i="25"/>
  <c r="C204" i="54" s="1"/>
  <c r="D204" i="12"/>
  <c r="E204" i="39"/>
  <c r="G187" i="25"/>
  <c r="E188" i="39"/>
  <c r="D188" i="12"/>
  <c r="G171" i="25"/>
  <c r="C172" i="54" s="1"/>
  <c r="D172" i="12"/>
  <c r="E172" i="39"/>
  <c r="G131" i="25"/>
  <c r="C132" i="54" s="1"/>
  <c r="D132" i="12"/>
  <c r="E132" i="39"/>
  <c r="G94" i="25"/>
  <c r="C95" i="54" s="1"/>
  <c r="D95" i="12"/>
  <c r="E95" i="39"/>
  <c r="G242" i="25"/>
  <c r="C243" i="54" s="1"/>
  <c r="D243" i="12"/>
  <c r="E243" i="39"/>
  <c r="G226" i="25"/>
  <c r="D227" i="12"/>
  <c r="E227" i="39"/>
  <c r="G210" i="25"/>
  <c r="C211" i="54" s="1"/>
  <c r="D211" i="12"/>
  <c r="E211" i="39"/>
  <c r="G194" i="25"/>
  <c r="C195" i="54" s="1"/>
  <c r="E195" i="39"/>
  <c r="D195" i="12"/>
  <c r="G178" i="25"/>
  <c r="E179" i="39"/>
  <c r="D179" i="12"/>
  <c r="G159" i="25"/>
  <c r="C160" i="54" s="1"/>
  <c r="D160" i="12"/>
  <c r="E160" i="39"/>
  <c r="G111" i="25"/>
  <c r="C112" i="54" s="1"/>
  <c r="D112" i="12"/>
  <c r="E112" i="39"/>
  <c r="G265" i="25"/>
  <c r="C266" i="54" s="1"/>
  <c r="D266" i="12"/>
  <c r="E266" i="39"/>
  <c r="G249" i="25"/>
  <c r="C250" i="54" s="1"/>
  <c r="D250" i="12"/>
  <c r="E250" i="39"/>
  <c r="G233" i="25"/>
  <c r="D234" i="12"/>
  <c r="E234" i="39"/>
  <c r="G217" i="25"/>
  <c r="C218" i="54" s="1"/>
  <c r="D218" i="12"/>
  <c r="E218" i="39"/>
  <c r="G201" i="25"/>
  <c r="C202" i="54" s="1"/>
  <c r="E202" i="39"/>
  <c r="D202" i="12"/>
  <c r="G185" i="25"/>
  <c r="E186" i="39"/>
  <c r="D186" i="12"/>
  <c r="G169" i="25"/>
  <c r="E170" i="39"/>
  <c r="D170" i="12"/>
  <c r="G123" i="25"/>
  <c r="C124" i="54" s="1"/>
  <c r="D124" i="12"/>
  <c r="E124" i="39"/>
  <c r="G162" i="25"/>
  <c r="C163" i="54" s="1"/>
  <c r="D163" i="12"/>
  <c r="E163" i="39"/>
  <c r="G146" i="25"/>
  <c r="C147" i="54" s="1"/>
  <c r="D147" i="12"/>
  <c r="E147" i="39"/>
  <c r="G130" i="25"/>
  <c r="D131" i="12"/>
  <c r="E131" i="39"/>
  <c r="G58" i="25"/>
  <c r="C59" i="54" s="1"/>
  <c r="E59" i="39"/>
  <c r="D59" i="12"/>
  <c r="G145" i="25"/>
  <c r="C146" i="54" s="1"/>
  <c r="E146" i="39"/>
  <c r="D146" i="12"/>
  <c r="G129" i="25"/>
  <c r="E130" i="39"/>
  <c r="D130" i="12"/>
  <c r="G114" i="25"/>
  <c r="C115" i="54" s="1"/>
  <c r="D115" i="12"/>
  <c r="E115" i="39"/>
  <c r="G98" i="25"/>
  <c r="C99" i="54" s="1"/>
  <c r="D99" i="12"/>
  <c r="E99" i="39"/>
  <c r="G62" i="25"/>
  <c r="C63" i="54" s="1"/>
  <c r="E63" i="39"/>
  <c r="D63" i="12"/>
  <c r="G168" i="25"/>
  <c r="C169" i="54" s="1"/>
  <c r="E169" i="39"/>
  <c r="D169" i="12"/>
  <c r="G152" i="25"/>
  <c r="D153" i="12"/>
  <c r="E153" i="39"/>
  <c r="G136" i="25"/>
  <c r="C137" i="54" s="1"/>
  <c r="D137" i="12"/>
  <c r="E137" i="39"/>
  <c r="G120" i="25"/>
  <c r="C121" i="54" s="1"/>
  <c r="E121" i="39"/>
  <c r="D121" i="12"/>
  <c r="G34" i="25"/>
  <c r="D35" i="12"/>
  <c r="E35" i="39"/>
  <c r="G117" i="25"/>
  <c r="C118" i="54" s="1"/>
  <c r="E118" i="39"/>
  <c r="D118" i="12"/>
  <c r="G101" i="25"/>
  <c r="C102" i="54" s="1"/>
  <c r="E102" i="39"/>
  <c r="D102" i="12"/>
  <c r="G85" i="25"/>
  <c r="C86" i="54" s="1"/>
  <c r="E86" i="39"/>
  <c r="D86" i="12"/>
  <c r="G69" i="25"/>
  <c r="C70" i="54" s="1"/>
  <c r="E70" i="39"/>
  <c r="D70" i="12"/>
  <c r="G53" i="25"/>
  <c r="E54" i="39"/>
  <c r="D54" i="12"/>
  <c r="G37" i="25"/>
  <c r="C38" i="54" s="1"/>
  <c r="E38" i="39"/>
  <c r="D38" i="12"/>
  <c r="G21" i="25"/>
  <c r="C22" i="54" s="1"/>
  <c r="E22" i="39"/>
  <c r="D22" i="12"/>
  <c r="G116" i="25"/>
  <c r="C117" i="54" s="1"/>
  <c r="E117" i="39"/>
  <c r="D117" i="12"/>
  <c r="G100" i="25"/>
  <c r="C101" i="54" s="1"/>
  <c r="E101" i="39"/>
  <c r="D101" i="12"/>
  <c r="G84" i="25"/>
  <c r="C85" i="54" s="1"/>
  <c r="E85" i="39"/>
  <c r="D85" i="12"/>
  <c r="G68" i="25"/>
  <c r="C69" i="54" s="1"/>
  <c r="E69" i="39"/>
  <c r="D69" i="12"/>
  <c r="G52" i="25"/>
  <c r="C53" i="54" s="1"/>
  <c r="E53" i="39"/>
  <c r="D53" i="12"/>
  <c r="G36" i="25"/>
  <c r="E37" i="39"/>
  <c r="D37" i="12"/>
  <c r="G20" i="25"/>
  <c r="C21" i="54" s="1"/>
  <c r="E21" i="39"/>
  <c r="D21" i="12"/>
  <c r="G83" i="25"/>
  <c r="C84" i="54" s="1"/>
  <c r="D84" i="12"/>
  <c r="E84" i="39"/>
  <c r="G67" i="25"/>
  <c r="C68" i="54" s="1"/>
  <c r="D68" i="12"/>
  <c r="E68" i="39"/>
  <c r="G51" i="25"/>
  <c r="C52" i="54" s="1"/>
  <c r="D52" i="12"/>
  <c r="E52" i="39"/>
  <c r="G35" i="25"/>
  <c r="C36" i="54" s="1"/>
  <c r="D36" i="12"/>
  <c r="E36" i="39"/>
  <c r="G19" i="25"/>
  <c r="C20" i="54" s="1"/>
  <c r="D20" i="12"/>
  <c r="E20" i="39"/>
  <c r="G298" i="25"/>
  <c r="C299" i="54" s="1"/>
  <c r="D299" i="12"/>
  <c r="E299" i="39"/>
  <c r="G266" i="25"/>
  <c r="D267" i="12"/>
  <c r="E267" i="39"/>
  <c r="G232" i="25"/>
  <c r="C233" i="54" s="1"/>
  <c r="E233" i="39"/>
  <c r="D233" i="12"/>
  <c r="G231" i="25"/>
  <c r="C232" i="54" s="1"/>
  <c r="E232" i="39"/>
  <c r="D232" i="12"/>
  <c r="G199" i="25"/>
  <c r="C200" i="54" s="1"/>
  <c r="E200" i="39"/>
  <c r="D200" i="12"/>
  <c r="G118" i="25"/>
  <c r="C119" i="54" s="1"/>
  <c r="D119" i="12"/>
  <c r="E119" i="39"/>
  <c r="G238" i="25"/>
  <c r="C239" i="54" s="1"/>
  <c r="D239" i="12"/>
  <c r="E239" i="39"/>
  <c r="G206" i="25"/>
  <c r="C207" i="54" s="1"/>
  <c r="D207" i="12"/>
  <c r="E207" i="39"/>
  <c r="G151" i="25"/>
  <c r="C152" i="54" s="1"/>
  <c r="E152" i="39"/>
  <c r="D152" i="12"/>
  <c r="G261" i="25"/>
  <c r="C262" i="54" s="1"/>
  <c r="D262" i="12"/>
  <c r="E262" i="39"/>
  <c r="G213" i="25"/>
  <c r="C214" i="54" s="1"/>
  <c r="D214" i="12"/>
  <c r="E214" i="39"/>
  <c r="G197" i="25"/>
  <c r="D198" i="12"/>
  <c r="E198" i="39"/>
  <c r="G161" i="25"/>
  <c r="C162" i="54" s="1"/>
  <c r="E162" i="39"/>
  <c r="D162" i="12"/>
  <c r="G70" i="25"/>
  <c r="C71" i="54" s="1"/>
  <c r="D71" i="12"/>
  <c r="E71" i="39"/>
  <c r="G158" i="25"/>
  <c r="C159" i="54" s="1"/>
  <c r="E159" i="39"/>
  <c r="D159" i="12"/>
  <c r="G142" i="25"/>
  <c r="C143" i="54" s="1"/>
  <c r="E143" i="39"/>
  <c r="D143" i="12"/>
  <c r="G126" i="25"/>
  <c r="C127" i="54" s="1"/>
  <c r="D127" i="12"/>
  <c r="E127" i="39"/>
  <c r="G42" i="25"/>
  <c r="D43" i="12"/>
  <c r="E43" i="39"/>
  <c r="G141" i="25"/>
  <c r="C142" i="54" s="1"/>
  <c r="E142" i="39"/>
  <c r="D142" i="12"/>
  <c r="G125" i="25"/>
  <c r="C126" i="54" s="1"/>
  <c r="E126" i="39"/>
  <c r="D126" i="12"/>
  <c r="G107" i="25"/>
  <c r="D108" i="12"/>
  <c r="E108" i="39"/>
  <c r="G91" i="25"/>
  <c r="C92" i="54" s="1"/>
  <c r="D92" i="12"/>
  <c r="E92" i="39"/>
  <c r="G46" i="25"/>
  <c r="C47" i="54" s="1"/>
  <c r="E47" i="39"/>
  <c r="D47" i="12"/>
  <c r="G164" i="25"/>
  <c r="C165" i="54" s="1"/>
  <c r="E165" i="39"/>
  <c r="D165" i="12"/>
  <c r="G148" i="25"/>
  <c r="C149" i="54" s="1"/>
  <c r="E149" i="39"/>
  <c r="D149" i="12"/>
  <c r="G132" i="25"/>
  <c r="D133" i="12"/>
  <c r="E133" i="39"/>
  <c r="G82" i="25"/>
  <c r="C83" i="54" s="1"/>
  <c r="D83" i="12"/>
  <c r="E83" i="39"/>
  <c r="G18" i="25"/>
  <c r="C19" i="54" s="1"/>
  <c r="E19" i="39"/>
  <c r="D19" i="12"/>
  <c r="G113" i="25"/>
  <c r="C114" i="54" s="1"/>
  <c r="E114" i="39"/>
  <c r="D114" i="12"/>
  <c r="G97" i="25"/>
  <c r="C98" i="54" s="1"/>
  <c r="E98" i="39"/>
  <c r="D98" i="12"/>
  <c r="G81" i="25"/>
  <c r="E82" i="39"/>
  <c r="D82" i="12"/>
  <c r="G65" i="25"/>
  <c r="C66" i="54" s="1"/>
  <c r="E66" i="39"/>
  <c r="D66" i="12"/>
  <c r="G49" i="25"/>
  <c r="C50" i="54" s="1"/>
  <c r="E50" i="39"/>
  <c r="D50" i="12"/>
  <c r="G33" i="25"/>
  <c r="C34" i="54" s="1"/>
  <c r="E34" i="39"/>
  <c r="D34" i="12"/>
  <c r="G17" i="25"/>
  <c r="C18" i="54" s="1"/>
  <c r="E18" i="39"/>
  <c r="D18" i="12"/>
  <c r="G112" i="25"/>
  <c r="C113" i="54" s="1"/>
  <c r="E113" i="39"/>
  <c r="D113" i="12"/>
  <c r="G96" i="25"/>
  <c r="C97" i="54" s="1"/>
  <c r="E97" i="39"/>
  <c r="D97" i="12"/>
  <c r="G80" i="25"/>
  <c r="C81" i="54" s="1"/>
  <c r="E81" i="39"/>
  <c r="D81" i="12"/>
  <c r="G64" i="25"/>
  <c r="C65" i="54" s="1"/>
  <c r="E65" i="39"/>
  <c r="D65" i="12"/>
  <c r="G48" i="25"/>
  <c r="C49" i="54" s="1"/>
  <c r="E49" i="39"/>
  <c r="D49" i="12"/>
  <c r="G32" i="25"/>
  <c r="C33" i="54" s="1"/>
  <c r="E33" i="39"/>
  <c r="D33" i="12"/>
  <c r="G16" i="25"/>
  <c r="C17" i="54" s="1"/>
  <c r="E17" i="39"/>
  <c r="D17" i="12"/>
  <c r="G79" i="25"/>
  <c r="C80" i="54" s="1"/>
  <c r="D80" i="12"/>
  <c r="E80" i="39"/>
  <c r="G63" i="25"/>
  <c r="C64" i="54" s="1"/>
  <c r="D64" i="12"/>
  <c r="E64" i="39"/>
  <c r="G47" i="25"/>
  <c r="C48" i="54" s="1"/>
  <c r="D48" i="12"/>
  <c r="E48" i="39"/>
  <c r="G31" i="25"/>
  <c r="C32" i="54" s="1"/>
  <c r="D32" i="12"/>
  <c r="E32" i="39"/>
  <c r="G15" i="25"/>
  <c r="C16" i="54" s="1"/>
  <c r="D16" i="12"/>
  <c r="E16" i="39"/>
  <c r="G212" i="25"/>
  <c r="C213" i="54" s="1"/>
  <c r="E213" i="39"/>
  <c r="D213" i="12"/>
  <c r="G301" i="25"/>
  <c r="C302" i="54" s="1"/>
  <c r="D302" i="12"/>
  <c r="E302" i="39"/>
  <c r="G285" i="25"/>
  <c r="C286" i="54" s="1"/>
  <c r="D286" i="12"/>
  <c r="E286" i="39"/>
  <c r="G269" i="25"/>
  <c r="C270" i="54" s="1"/>
  <c r="D270" i="12"/>
  <c r="E270" i="39"/>
  <c r="G247" i="25"/>
  <c r="C248" i="54" s="1"/>
  <c r="E248" i="39"/>
  <c r="D248" i="12"/>
  <c r="G180" i="25"/>
  <c r="C181" i="54" s="1"/>
  <c r="E181" i="39"/>
  <c r="D181" i="12"/>
  <c r="G292" i="25"/>
  <c r="C293" i="54" s="1"/>
  <c r="E293" i="39"/>
  <c r="D293" i="12"/>
  <c r="G276" i="25"/>
  <c r="C277" i="54" s="1"/>
  <c r="E277" i="39"/>
  <c r="D277" i="12"/>
  <c r="G258" i="25"/>
  <c r="C259" i="54" s="1"/>
  <c r="D259" i="12"/>
  <c r="E259" i="39"/>
  <c r="G216" i="25"/>
  <c r="C217" i="54" s="1"/>
  <c r="E217" i="39"/>
  <c r="D217" i="12"/>
  <c r="G155" i="25"/>
  <c r="E156" i="39"/>
  <c r="D156" i="12"/>
  <c r="G295" i="25"/>
  <c r="C296" i="54" s="1"/>
  <c r="E296" i="39"/>
  <c r="D296" i="12"/>
  <c r="G279" i="25"/>
  <c r="C280" i="54" s="1"/>
  <c r="E280" i="39"/>
  <c r="D280" i="12"/>
  <c r="G255" i="25"/>
  <c r="E256" i="39"/>
  <c r="D256" i="12"/>
  <c r="G204" i="25"/>
  <c r="C205" i="54" s="1"/>
  <c r="E205" i="39"/>
  <c r="D205" i="12"/>
  <c r="G282" i="25"/>
  <c r="C283" i="54" s="1"/>
  <c r="D283" i="12"/>
  <c r="E283" i="39"/>
  <c r="G248" i="25"/>
  <c r="C249" i="54" s="1"/>
  <c r="E249" i="39"/>
  <c r="D249" i="12"/>
  <c r="G192" i="25"/>
  <c r="C193" i="54" s="1"/>
  <c r="E193" i="39"/>
  <c r="D193" i="12"/>
  <c r="G215" i="25"/>
  <c r="C216" i="54" s="1"/>
  <c r="E216" i="39"/>
  <c r="D216" i="12"/>
  <c r="G183" i="25"/>
  <c r="C184" i="54" s="1"/>
  <c r="D184" i="12"/>
  <c r="E184" i="39"/>
  <c r="G165" i="25"/>
  <c r="C166" i="54" s="1"/>
  <c r="D166" i="12"/>
  <c r="E166" i="39"/>
  <c r="G86" i="25"/>
  <c r="C87" i="54" s="1"/>
  <c r="D87" i="12"/>
  <c r="E87" i="39"/>
  <c r="G222" i="25"/>
  <c r="C223" i="54" s="1"/>
  <c r="D223" i="12"/>
  <c r="E223" i="39"/>
  <c r="G190" i="25"/>
  <c r="C191" i="54" s="1"/>
  <c r="E191" i="39"/>
  <c r="D191" i="12"/>
  <c r="G174" i="25"/>
  <c r="C175" i="54" s="1"/>
  <c r="E175" i="39"/>
  <c r="D175" i="12"/>
  <c r="G103" i="25"/>
  <c r="D104" i="12"/>
  <c r="E104" i="39"/>
  <c r="G245" i="25"/>
  <c r="D246" i="12"/>
  <c r="E246" i="39"/>
  <c r="G229" i="25"/>
  <c r="C230" i="54" s="1"/>
  <c r="D230" i="12"/>
  <c r="E230" i="39"/>
  <c r="G181" i="25"/>
  <c r="C182" i="54" s="1"/>
  <c r="D182" i="12"/>
  <c r="E182" i="39"/>
  <c r="G297" i="25"/>
  <c r="C298" i="54" s="1"/>
  <c r="D298" i="12"/>
  <c r="E298" i="39"/>
  <c r="G281" i="25"/>
  <c r="C282" i="54" s="1"/>
  <c r="E282" i="39"/>
  <c r="D282" i="12"/>
  <c r="G263" i="25"/>
  <c r="C264" i="54" s="1"/>
  <c r="E264" i="39"/>
  <c r="D264" i="12"/>
  <c r="G246" i="25"/>
  <c r="C247" i="54" s="1"/>
  <c r="D247" i="12"/>
  <c r="E247" i="39"/>
  <c r="G304" i="25"/>
  <c r="C305" i="54" s="1"/>
  <c r="E305" i="39"/>
  <c r="D305" i="12"/>
  <c r="G288" i="25"/>
  <c r="C289" i="54" s="1"/>
  <c r="E289" i="39"/>
  <c r="D289" i="12"/>
  <c r="G272" i="25"/>
  <c r="C273" i="54" s="1"/>
  <c r="E273" i="39"/>
  <c r="D273" i="12"/>
  <c r="G256" i="25"/>
  <c r="C257" i="54" s="1"/>
  <c r="E257" i="39"/>
  <c r="D257" i="12"/>
  <c r="G200" i="25"/>
  <c r="C201" i="54" s="1"/>
  <c r="E201" i="39"/>
  <c r="D201" i="12"/>
  <c r="G127" i="25"/>
  <c r="C128" i="54" s="1"/>
  <c r="D128" i="12"/>
  <c r="E128" i="39"/>
  <c r="G291" i="25"/>
  <c r="C292" i="54" s="1"/>
  <c r="E292" i="39"/>
  <c r="D292" i="12"/>
  <c r="G275" i="25"/>
  <c r="C276" i="54" s="1"/>
  <c r="E276" i="39"/>
  <c r="D276" i="12"/>
  <c r="G254" i="25"/>
  <c r="C255" i="54" s="1"/>
  <c r="D255" i="12"/>
  <c r="E255" i="39"/>
  <c r="G188" i="25"/>
  <c r="C189" i="54" s="1"/>
  <c r="E189" i="39"/>
  <c r="D189" i="12"/>
  <c r="G294" i="25"/>
  <c r="C295" i="54" s="1"/>
  <c r="D295" i="12"/>
  <c r="E295" i="39"/>
  <c r="G278" i="25"/>
  <c r="C279" i="54" s="1"/>
  <c r="D279" i="12"/>
  <c r="E279" i="39"/>
  <c r="G264" i="25"/>
  <c r="C265" i="54" s="1"/>
  <c r="E265" i="39"/>
  <c r="D265" i="12"/>
  <c r="G244" i="25"/>
  <c r="C245" i="54" s="1"/>
  <c r="E245" i="39"/>
  <c r="D245" i="12"/>
  <c r="G228" i="25"/>
  <c r="C229" i="54" s="1"/>
  <c r="E229" i="39"/>
  <c r="D229" i="12"/>
  <c r="G176" i="25"/>
  <c r="C177" i="54" s="1"/>
  <c r="E177" i="39"/>
  <c r="D177" i="12"/>
  <c r="G227" i="25"/>
  <c r="E228" i="39"/>
  <c r="D228" i="12"/>
  <c r="G211" i="25"/>
  <c r="C212" i="54" s="1"/>
  <c r="E212" i="39"/>
  <c r="D212" i="12"/>
  <c r="G195" i="25"/>
  <c r="C196" i="54" s="1"/>
  <c r="E196" i="39"/>
  <c r="D196" i="12"/>
  <c r="G179" i="25"/>
  <c r="C180" i="54" s="1"/>
  <c r="D180" i="12"/>
  <c r="E180" i="39"/>
  <c r="G157" i="25"/>
  <c r="C158" i="54" s="1"/>
  <c r="E158" i="39"/>
  <c r="D158" i="12"/>
  <c r="G110" i="25"/>
  <c r="C111" i="54" s="1"/>
  <c r="D111" i="12"/>
  <c r="E111" i="39"/>
  <c r="G54" i="25"/>
  <c r="C55" i="54" s="1"/>
  <c r="E55" i="39"/>
  <c r="D55" i="12"/>
  <c r="G234" i="25"/>
  <c r="C235" i="54" s="1"/>
  <c r="D235" i="12"/>
  <c r="E235" i="39"/>
  <c r="G218" i="25"/>
  <c r="C219" i="54" s="1"/>
  <c r="D219" i="12"/>
  <c r="E219" i="39"/>
  <c r="G202" i="25"/>
  <c r="C203" i="54" s="1"/>
  <c r="D203" i="12"/>
  <c r="E203" i="39"/>
  <c r="G186" i="25"/>
  <c r="C187" i="54" s="1"/>
  <c r="E187" i="39"/>
  <c r="D187" i="12"/>
  <c r="G170" i="25"/>
  <c r="C171" i="54" s="1"/>
  <c r="E171" i="39"/>
  <c r="D171" i="12"/>
  <c r="G135" i="25"/>
  <c r="C136" i="54" s="1"/>
  <c r="D136" i="12"/>
  <c r="E136" i="39"/>
  <c r="G95" i="25"/>
  <c r="C96" i="54" s="1"/>
  <c r="E96" i="39"/>
  <c r="D96" i="12"/>
  <c r="G257" i="25"/>
  <c r="C258" i="54" s="1"/>
  <c r="D258" i="12"/>
  <c r="E258" i="39"/>
  <c r="G241" i="25"/>
  <c r="C242" i="54" s="1"/>
  <c r="D242" i="12"/>
  <c r="E242" i="39"/>
  <c r="G225" i="25"/>
  <c r="C226" i="54" s="1"/>
  <c r="D226" i="12"/>
  <c r="E226" i="39"/>
  <c r="G209" i="25"/>
  <c r="C210" i="54" s="1"/>
  <c r="D210" i="12"/>
  <c r="E210" i="39"/>
  <c r="G193" i="25"/>
  <c r="C194" i="54" s="1"/>
  <c r="D194" i="12"/>
  <c r="E194" i="39"/>
  <c r="G177" i="25"/>
  <c r="C178" i="54" s="1"/>
  <c r="D178" i="12"/>
  <c r="E178" i="39"/>
  <c r="G153" i="25"/>
  <c r="C154" i="54" s="1"/>
  <c r="E154" i="39"/>
  <c r="D154" i="12"/>
  <c r="G38" i="25"/>
  <c r="C39" i="54" s="1"/>
  <c r="E39" i="39"/>
  <c r="D39" i="12"/>
  <c r="G154" i="25"/>
  <c r="C155" i="54" s="1"/>
  <c r="D155" i="12"/>
  <c r="E155" i="39"/>
  <c r="G138" i="25"/>
  <c r="C139" i="54" s="1"/>
  <c r="D139" i="12"/>
  <c r="E139" i="39"/>
  <c r="G122" i="25"/>
  <c r="C123" i="54" s="1"/>
  <c r="E123" i="39"/>
  <c r="D123" i="12"/>
  <c r="G26" i="25"/>
  <c r="E27" i="39"/>
  <c r="D27" i="12"/>
  <c r="G137" i="25"/>
  <c r="C138" i="54" s="1"/>
  <c r="E138" i="39"/>
  <c r="D138" i="12"/>
  <c r="G121" i="25"/>
  <c r="C122" i="54" s="1"/>
  <c r="E122" i="39"/>
  <c r="D122" i="12"/>
  <c r="G106" i="25"/>
  <c r="C107" i="54" s="1"/>
  <c r="D107" i="12"/>
  <c r="E107" i="39"/>
  <c r="G90" i="25"/>
  <c r="C91" i="54" s="1"/>
  <c r="D91" i="12"/>
  <c r="E91" i="39"/>
  <c r="G30" i="25"/>
  <c r="C31" i="54" s="1"/>
  <c r="D31" i="12"/>
  <c r="E31" i="39"/>
  <c r="G160" i="25"/>
  <c r="D161" i="12"/>
  <c r="E161" i="39"/>
  <c r="G144" i="25"/>
  <c r="C145" i="54" s="1"/>
  <c r="D145" i="12"/>
  <c r="E145" i="39"/>
  <c r="G128" i="25"/>
  <c r="E129" i="39"/>
  <c r="D129" i="12"/>
  <c r="G66" i="25"/>
  <c r="C67" i="54" s="1"/>
  <c r="D67" i="12"/>
  <c r="E67" i="39"/>
  <c r="G10" i="25"/>
  <c r="C11" i="54" s="1"/>
  <c r="E11" i="39"/>
  <c r="D11" i="12"/>
  <c r="G109" i="25"/>
  <c r="C110" i="54" s="1"/>
  <c r="E110" i="39"/>
  <c r="D110" i="12"/>
  <c r="G93" i="25"/>
  <c r="C94" i="54" s="1"/>
  <c r="D94" i="12"/>
  <c r="E94" i="39"/>
  <c r="G77" i="25"/>
  <c r="C78" i="54" s="1"/>
  <c r="E78" i="39"/>
  <c r="D78" i="12"/>
  <c r="G61" i="25"/>
  <c r="C62" i="54" s="1"/>
  <c r="E62" i="39"/>
  <c r="D62" i="12"/>
  <c r="G45" i="25"/>
  <c r="C46" i="54" s="1"/>
  <c r="E46" i="39"/>
  <c r="D46" i="12"/>
  <c r="G29" i="25"/>
  <c r="C30" i="54" s="1"/>
  <c r="E30" i="39"/>
  <c r="D30" i="12"/>
  <c r="G13" i="25"/>
  <c r="C14" i="54" s="1"/>
  <c r="E14" i="39"/>
  <c r="D14" i="12"/>
  <c r="G108" i="25"/>
  <c r="C109" i="54" s="1"/>
  <c r="E109" i="39"/>
  <c r="D109" i="12"/>
  <c r="G92" i="25"/>
  <c r="C93" i="54" s="1"/>
  <c r="E93" i="39"/>
  <c r="D93" i="12"/>
  <c r="G76" i="25"/>
  <c r="C77" i="54" s="1"/>
  <c r="E77" i="39"/>
  <c r="D77" i="12"/>
  <c r="G60" i="25"/>
  <c r="C61" i="54" s="1"/>
  <c r="E61" i="39"/>
  <c r="D61" i="12"/>
  <c r="G44" i="25"/>
  <c r="C45" i="54" s="1"/>
  <c r="E45" i="39"/>
  <c r="D45" i="12"/>
  <c r="G28" i="25"/>
  <c r="C29" i="54" s="1"/>
  <c r="E29" i="39"/>
  <c r="D29" i="12"/>
  <c r="G12" i="25"/>
  <c r="E13" i="39"/>
  <c r="D13" i="12"/>
  <c r="G75" i="25"/>
  <c r="C76" i="54" s="1"/>
  <c r="D76" i="12"/>
  <c r="E76" i="39"/>
  <c r="G59" i="25"/>
  <c r="C60" i="54" s="1"/>
  <c r="D60" i="12"/>
  <c r="E60" i="39"/>
  <c r="G43" i="25"/>
  <c r="C44" i="54" s="1"/>
  <c r="D44" i="12"/>
  <c r="E44" i="39"/>
  <c r="G27" i="25"/>
  <c r="C28" i="54" s="1"/>
  <c r="D28" i="12"/>
  <c r="E28" i="39"/>
  <c r="G11" i="25"/>
  <c r="C12" i="54" s="1"/>
  <c r="D12" i="12"/>
  <c r="E12" i="39"/>
  <c r="G277" i="25"/>
  <c r="C278" i="54" s="1"/>
  <c r="D278" i="12"/>
  <c r="E278" i="39"/>
  <c r="G284" i="25"/>
  <c r="C285" i="54" s="1"/>
  <c r="E285" i="39"/>
  <c r="D285" i="12"/>
  <c r="G240" i="25"/>
  <c r="C241" i="54" s="1"/>
  <c r="E241" i="39"/>
  <c r="D241" i="12"/>
  <c r="G303" i="25"/>
  <c r="C304" i="54" s="1"/>
  <c r="E304" i="39"/>
  <c r="D304" i="12"/>
  <c r="G287" i="25"/>
  <c r="C288" i="54" s="1"/>
  <c r="E288" i="39"/>
  <c r="D288" i="12"/>
  <c r="G271" i="25"/>
  <c r="E272" i="39"/>
  <c r="D272" i="12"/>
  <c r="G252" i="25"/>
  <c r="C253" i="54" s="1"/>
  <c r="E253" i="39"/>
  <c r="D253" i="12"/>
  <c r="G172" i="25"/>
  <c r="C173" i="54" s="1"/>
  <c r="E173" i="39"/>
  <c r="D173" i="12"/>
  <c r="G290" i="25"/>
  <c r="C291" i="54" s="1"/>
  <c r="D291" i="12"/>
  <c r="E291" i="39"/>
  <c r="G274" i="25"/>
  <c r="C275" i="54" s="1"/>
  <c r="D275" i="12"/>
  <c r="E275" i="39"/>
  <c r="G251" i="25"/>
  <c r="C252" i="54" s="1"/>
  <c r="E252" i="39"/>
  <c r="D252" i="12"/>
  <c r="G243" i="25"/>
  <c r="C244" i="54" s="1"/>
  <c r="E244" i="39"/>
  <c r="D244" i="12"/>
  <c r="G224" i="25"/>
  <c r="C225" i="54" s="1"/>
  <c r="E225" i="39"/>
  <c r="D225" i="12"/>
  <c r="G143" i="25"/>
  <c r="E144" i="39"/>
  <c r="D144" i="12"/>
  <c r="G223" i="25"/>
  <c r="C224" i="54" s="1"/>
  <c r="E224" i="39"/>
  <c r="D224" i="12"/>
  <c r="G207" i="25"/>
  <c r="C208" i="54" s="1"/>
  <c r="D208" i="12"/>
  <c r="E208" i="39"/>
  <c r="G191" i="25"/>
  <c r="C192" i="54" s="1"/>
  <c r="E192" i="39"/>
  <c r="D192" i="12"/>
  <c r="G175" i="25"/>
  <c r="C176" i="54" s="1"/>
  <c r="D176" i="12"/>
  <c r="E176" i="39"/>
  <c r="G147" i="25"/>
  <c r="C148" i="54" s="1"/>
  <c r="E148" i="39"/>
  <c r="D148" i="12"/>
  <c r="G102" i="25"/>
  <c r="C103" i="54" s="1"/>
  <c r="D103" i="12"/>
  <c r="E103" i="39"/>
  <c r="G22" i="25"/>
  <c r="C23" i="54" s="1"/>
  <c r="D23" i="12"/>
  <c r="E23" i="39"/>
  <c r="G230" i="25"/>
  <c r="C231" i="54" s="1"/>
  <c r="D231" i="12"/>
  <c r="E231" i="39"/>
  <c r="G214" i="25"/>
  <c r="C215" i="54" s="1"/>
  <c r="D215" i="12"/>
  <c r="E215" i="39"/>
  <c r="G198" i="25"/>
  <c r="C199" i="54" s="1"/>
  <c r="E199" i="39"/>
  <c r="D199" i="12"/>
  <c r="G182" i="25"/>
  <c r="E183" i="39"/>
  <c r="D183" i="12"/>
  <c r="G167" i="25"/>
  <c r="C168" i="54" s="1"/>
  <c r="E168" i="39"/>
  <c r="D168" i="12"/>
  <c r="G119" i="25"/>
  <c r="C120" i="54" s="1"/>
  <c r="D120" i="12"/>
  <c r="E120" i="39"/>
  <c r="G87" i="25"/>
  <c r="C88" i="54" s="1"/>
  <c r="D88" i="12"/>
  <c r="E88" i="39"/>
  <c r="G253" i="25"/>
  <c r="C254" i="54" s="1"/>
  <c r="D254" i="12"/>
  <c r="E254" i="39"/>
  <c r="G237" i="25"/>
  <c r="C238" i="54" s="1"/>
  <c r="D238" i="12"/>
  <c r="E238" i="39"/>
  <c r="G221" i="25"/>
  <c r="C222" i="54" s="1"/>
  <c r="D222" i="12"/>
  <c r="E222" i="39"/>
  <c r="G205" i="25"/>
  <c r="C206" i="54" s="1"/>
  <c r="E206" i="39"/>
  <c r="D206" i="12"/>
  <c r="G189" i="25"/>
  <c r="C190" i="54" s="1"/>
  <c r="E190" i="39"/>
  <c r="D190" i="12"/>
  <c r="G173" i="25"/>
  <c r="C174" i="54" s="1"/>
  <c r="E174" i="39"/>
  <c r="D174" i="12"/>
  <c r="G139" i="25"/>
  <c r="C140" i="54" s="1"/>
  <c r="D140" i="12"/>
  <c r="E140" i="39"/>
  <c r="G166" i="25"/>
  <c r="C167" i="54" s="1"/>
  <c r="E167" i="39"/>
  <c r="D167" i="12"/>
  <c r="G150" i="25"/>
  <c r="C151" i="54" s="1"/>
  <c r="E151" i="39"/>
  <c r="D151" i="12"/>
  <c r="G134" i="25"/>
  <c r="C135" i="54" s="1"/>
  <c r="D135" i="12"/>
  <c r="E135" i="39"/>
  <c r="G74" i="25"/>
  <c r="C75" i="54" s="1"/>
  <c r="D75" i="12"/>
  <c r="E75" i="39"/>
  <c r="G149" i="25"/>
  <c r="C150" i="54" s="1"/>
  <c r="E150" i="39"/>
  <c r="D150" i="12"/>
  <c r="G133" i="25"/>
  <c r="C134" i="54" s="1"/>
  <c r="E134" i="39"/>
  <c r="D134" i="12"/>
  <c r="G115" i="25"/>
  <c r="C116" i="54" s="1"/>
  <c r="D116" i="12"/>
  <c r="E116" i="39"/>
  <c r="G99" i="25"/>
  <c r="C100" i="54" s="1"/>
  <c r="D100" i="12"/>
  <c r="E100" i="39"/>
  <c r="G78" i="25"/>
  <c r="C79" i="54" s="1"/>
  <c r="D79" i="12"/>
  <c r="E79" i="39"/>
  <c r="G14" i="25"/>
  <c r="C15" i="54" s="1"/>
  <c r="D15" i="12"/>
  <c r="E15" i="39"/>
  <c r="G156" i="25"/>
  <c r="C157" i="54" s="1"/>
  <c r="E157" i="39"/>
  <c r="D157" i="12"/>
  <c r="G140" i="25"/>
  <c r="C141" i="54" s="1"/>
  <c r="E141" i="39"/>
  <c r="D141" i="12"/>
  <c r="G124" i="25"/>
  <c r="C125" i="54" s="1"/>
  <c r="E125" i="39"/>
  <c r="D125" i="12"/>
  <c r="G50" i="25"/>
  <c r="C51" i="54" s="1"/>
  <c r="E51" i="39"/>
  <c r="D51" i="12"/>
  <c r="G6" i="25"/>
  <c r="C7" i="54" s="1"/>
  <c r="E7" i="39"/>
  <c r="D7" i="12"/>
  <c r="G105" i="25"/>
  <c r="C106" i="54" s="1"/>
  <c r="E106" i="39"/>
  <c r="D106" i="12"/>
  <c r="G89" i="25"/>
  <c r="C90" i="54" s="1"/>
  <c r="E90" i="39"/>
  <c r="D90" i="12"/>
  <c r="G73" i="25"/>
  <c r="C74" i="54" s="1"/>
  <c r="E74" i="39"/>
  <c r="D74" i="12"/>
  <c r="G57" i="25"/>
  <c r="C58" i="54" s="1"/>
  <c r="E58" i="39"/>
  <c r="D58" i="12"/>
  <c r="G41" i="25"/>
  <c r="C42" i="54" s="1"/>
  <c r="E42" i="39"/>
  <c r="D42" i="12"/>
  <c r="G25" i="25"/>
  <c r="C26" i="54" s="1"/>
  <c r="E26" i="39"/>
  <c r="D26" i="12"/>
  <c r="G9" i="25"/>
  <c r="C10" i="54" s="1"/>
  <c r="E10" i="39"/>
  <c r="D10" i="12"/>
  <c r="G104" i="25"/>
  <c r="C105" i="54" s="1"/>
  <c r="E105" i="39"/>
  <c r="D105" i="12"/>
  <c r="G88" i="25"/>
  <c r="C89" i="54" s="1"/>
  <c r="E89" i="39"/>
  <c r="D89" i="12"/>
  <c r="G72" i="25"/>
  <c r="C73" i="54" s="1"/>
  <c r="E73" i="39"/>
  <c r="D73" i="12"/>
  <c r="G56" i="25"/>
  <c r="C57" i="54" s="1"/>
  <c r="E57" i="39"/>
  <c r="D57" i="12"/>
  <c r="G40" i="25"/>
  <c r="C41" i="54" s="1"/>
  <c r="E41" i="39"/>
  <c r="D41" i="12"/>
  <c r="G24" i="25"/>
  <c r="C25" i="54" s="1"/>
  <c r="E25" i="39"/>
  <c r="D25" i="12"/>
  <c r="G8" i="25"/>
  <c r="C9" i="54" s="1"/>
  <c r="E9" i="39"/>
  <c r="D9" i="12"/>
  <c r="G71" i="25"/>
  <c r="C72" i="54" s="1"/>
  <c r="D72" i="12"/>
  <c r="E72" i="39"/>
  <c r="G55" i="25"/>
  <c r="C56" i="54" s="1"/>
  <c r="D56" i="12"/>
  <c r="E56" i="39"/>
  <c r="G39" i="25"/>
  <c r="D40" i="12"/>
  <c r="E40" i="39"/>
  <c r="G23" i="25"/>
  <c r="C24" i="54" s="1"/>
  <c r="E24" i="39"/>
  <c r="D24" i="12"/>
  <c r="G7" i="25"/>
  <c r="C8" i="54" s="1"/>
  <c r="D8" i="12"/>
  <c r="E8" i="39"/>
  <c r="C287" i="54"/>
  <c r="C260" i="54"/>
  <c r="C236" i="54"/>
  <c r="C188" i="54"/>
  <c r="C170" i="54"/>
  <c r="C129" i="54"/>
  <c r="C82" i="54"/>
  <c r="C268" i="54"/>
  <c r="C267" i="54"/>
  <c r="C294" i="54"/>
  <c r="C183" i="54"/>
  <c r="C131" i="54"/>
  <c r="C13" i="54"/>
  <c r="C246" i="54"/>
  <c r="C130" i="54"/>
  <c r="C43" i="54"/>
  <c r="C197" i="54"/>
  <c r="C301" i="54"/>
  <c r="C234" i="54"/>
  <c r="C35" i="54"/>
  <c r="C179" i="54"/>
  <c r="C186" i="54"/>
  <c r="C269" i="54"/>
  <c r="C161" i="54"/>
  <c r="C227" i="54"/>
  <c r="C198" i="54"/>
  <c r="C281" i="54"/>
  <c r="C153" i="54"/>
  <c r="C133" i="54"/>
  <c r="C27" i="54"/>
  <c r="C156" i="54"/>
  <c r="C54" i="54"/>
  <c r="C37" i="54"/>
  <c r="G312" i="34"/>
  <c r="C5" i="34" s="1"/>
  <c r="C8" i="34" s="1"/>
  <c r="I12" i="9"/>
  <c r="H312" i="9"/>
  <c r="F24" i="48" l="1"/>
  <c r="C256" i="54"/>
  <c r="C40" i="54"/>
  <c r="C104" i="54"/>
  <c r="C144" i="54"/>
  <c r="C228" i="54"/>
  <c r="C108" i="54"/>
  <c r="C272" i="54"/>
  <c r="D6" i="12"/>
  <c r="E6" i="39"/>
  <c r="G5" i="25"/>
  <c r="G11" i="34"/>
  <c r="G306" i="12"/>
  <c r="I312" i="9"/>
  <c r="D306" i="12" s="1"/>
  <c r="G305" i="25" l="1"/>
  <c r="C6" i="54"/>
  <c r="C306" i="54" l="1"/>
  <c r="D59" i="48"/>
  <c r="D5" i="34"/>
  <c r="D6" i="34" l="1"/>
  <c r="D8" i="34" s="1"/>
  <c r="J11" i="34" s="1"/>
  <c r="J91" i="34" l="1"/>
  <c r="H85" i="12" s="1"/>
  <c r="I85" i="12" s="1"/>
  <c r="J95" i="34"/>
  <c r="H89" i="12" s="1"/>
  <c r="I89" i="12" s="1"/>
  <c r="J15" i="34"/>
  <c r="H9" i="12" s="1"/>
  <c r="I9" i="12" s="1"/>
  <c r="J19" i="34"/>
  <c r="H13" i="12" s="1"/>
  <c r="I13" i="12" s="1"/>
  <c r="J23" i="34"/>
  <c r="H17" i="12" s="1"/>
  <c r="I17" i="12" s="1"/>
  <c r="J27" i="34"/>
  <c r="H21" i="12" s="1"/>
  <c r="I21" i="12" s="1"/>
  <c r="J31" i="34"/>
  <c r="H25" i="12" s="1"/>
  <c r="I25" i="12" s="1"/>
  <c r="J35" i="34"/>
  <c r="H29" i="12" s="1"/>
  <c r="I29" i="12" s="1"/>
  <c r="J39" i="34"/>
  <c r="H33" i="12" s="1"/>
  <c r="I33" i="12" s="1"/>
  <c r="J43" i="34"/>
  <c r="H37" i="12" s="1"/>
  <c r="I37" i="12" s="1"/>
  <c r="J47" i="34"/>
  <c r="H41" i="12" s="1"/>
  <c r="I41" i="12" s="1"/>
  <c r="J51" i="34"/>
  <c r="H45" i="12" s="1"/>
  <c r="I45" i="12" s="1"/>
  <c r="J55" i="34"/>
  <c r="H49" i="12" s="1"/>
  <c r="I49" i="12" s="1"/>
  <c r="J59" i="34"/>
  <c r="H53" i="12" s="1"/>
  <c r="I53" i="12" s="1"/>
  <c r="J63" i="34"/>
  <c r="H57" i="12" s="1"/>
  <c r="I57" i="12" s="1"/>
  <c r="J67" i="34"/>
  <c r="H61" i="12" s="1"/>
  <c r="I61" i="12" s="1"/>
  <c r="J71" i="34"/>
  <c r="H65" i="12" s="1"/>
  <c r="I65" i="12" s="1"/>
  <c r="J75" i="34"/>
  <c r="H69" i="12" s="1"/>
  <c r="I69" i="12" s="1"/>
  <c r="J79" i="34"/>
  <c r="H73" i="12" s="1"/>
  <c r="I73" i="12" s="1"/>
  <c r="J83" i="34"/>
  <c r="H77" i="12" s="1"/>
  <c r="I77" i="12" s="1"/>
  <c r="J87" i="34"/>
  <c r="H81" i="12" s="1"/>
  <c r="I81" i="12" s="1"/>
  <c r="J99" i="34"/>
  <c r="H93" i="12" s="1"/>
  <c r="I93" i="12" s="1"/>
  <c r="J103" i="34"/>
  <c r="H97" i="12" s="1"/>
  <c r="I97" i="12" s="1"/>
  <c r="J107" i="34"/>
  <c r="H101" i="12" s="1"/>
  <c r="I101" i="12" s="1"/>
  <c r="J111" i="34"/>
  <c r="H105" i="12" s="1"/>
  <c r="I105" i="12" s="1"/>
  <c r="J115" i="34"/>
  <c r="H109" i="12" s="1"/>
  <c r="I109" i="12" s="1"/>
  <c r="J108" i="34"/>
  <c r="H102" i="12" s="1"/>
  <c r="I102" i="12" s="1"/>
  <c r="J116" i="34"/>
  <c r="H110" i="12" s="1"/>
  <c r="I110" i="12" s="1"/>
  <c r="J119" i="34"/>
  <c r="H113" i="12" s="1"/>
  <c r="I113" i="12" s="1"/>
  <c r="J123" i="34"/>
  <c r="H117" i="12" s="1"/>
  <c r="I117" i="12" s="1"/>
  <c r="J127" i="34"/>
  <c r="H121" i="12" s="1"/>
  <c r="I121" i="12" s="1"/>
  <c r="J131" i="34"/>
  <c r="H125" i="12" s="1"/>
  <c r="I125" i="12" s="1"/>
  <c r="J135" i="34"/>
  <c r="H129" i="12" s="1"/>
  <c r="I129" i="12" s="1"/>
  <c r="J139" i="34"/>
  <c r="H133" i="12" s="1"/>
  <c r="I133" i="12" s="1"/>
  <c r="J143" i="34"/>
  <c r="H137" i="12" s="1"/>
  <c r="I137" i="12" s="1"/>
  <c r="J147" i="34"/>
  <c r="H141" i="12" s="1"/>
  <c r="I141" i="12" s="1"/>
  <c r="J151" i="34"/>
  <c r="H145" i="12" s="1"/>
  <c r="I145" i="12" s="1"/>
  <c r="J155" i="34"/>
  <c r="H149" i="12" s="1"/>
  <c r="I149" i="12" s="1"/>
  <c r="J159" i="34"/>
  <c r="H153" i="12" s="1"/>
  <c r="I153" i="12" s="1"/>
  <c r="J164" i="34"/>
  <c r="H158" i="12" s="1"/>
  <c r="I158" i="12" s="1"/>
  <c r="J168" i="34"/>
  <c r="H162" i="12" s="1"/>
  <c r="I162" i="12" s="1"/>
  <c r="J172" i="34"/>
  <c r="H166" i="12" s="1"/>
  <c r="I166" i="12" s="1"/>
  <c r="J176" i="34"/>
  <c r="H170" i="12" s="1"/>
  <c r="I170" i="12" s="1"/>
  <c r="J180" i="34"/>
  <c r="H174" i="12" s="1"/>
  <c r="I174" i="12" s="1"/>
  <c r="J184" i="34"/>
  <c r="H178" i="12" s="1"/>
  <c r="I178" i="12" s="1"/>
  <c r="J188" i="34"/>
  <c r="H182" i="12" s="1"/>
  <c r="I182" i="12" s="1"/>
  <c r="J192" i="34"/>
  <c r="H186" i="12" s="1"/>
  <c r="I186" i="12" s="1"/>
  <c r="J196" i="34"/>
  <c r="H190" i="12" s="1"/>
  <c r="I190" i="12" s="1"/>
  <c r="J200" i="34"/>
  <c r="H194" i="12" s="1"/>
  <c r="I194" i="12" s="1"/>
  <c r="J204" i="34"/>
  <c r="H198" i="12" s="1"/>
  <c r="I198" i="12" s="1"/>
  <c r="J208" i="34"/>
  <c r="H202" i="12" s="1"/>
  <c r="I202" i="12" s="1"/>
  <c r="J212" i="34"/>
  <c r="H206" i="12" s="1"/>
  <c r="I206" i="12" s="1"/>
  <c r="J216" i="34"/>
  <c r="H210" i="12" s="1"/>
  <c r="I210" i="12" s="1"/>
  <c r="J220" i="34"/>
  <c r="H214" i="12" s="1"/>
  <c r="I214" i="12" s="1"/>
  <c r="J224" i="34"/>
  <c r="H218" i="12" s="1"/>
  <c r="I218" i="12" s="1"/>
  <c r="J228" i="34"/>
  <c r="H222" i="12" s="1"/>
  <c r="I222" i="12" s="1"/>
  <c r="J232" i="34"/>
  <c r="H226" i="12" s="1"/>
  <c r="I226" i="12" s="1"/>
  <c r="J236" i="34"/>
  <c r="H230" i="12" s="1"/>
  <c r="I230" i="12" s="1"/>
  <c r="J240" i="34"/>
  <c r="H234" i="12" s="1"/>
  <c r="I234" i="12" s="1"/>
  <c r="J244" i="34"/>
  <c r="H238" i="12" s="1"/>
  <c r="I238" i="12" s="1"/>
  <c r="J248" i="34"/>
  <c r="H242" i="12" s="1"/>
  <c r="I242" i="12" s="1"/>
  <c r="J252" i="34"/>
  <c r="H246" i="12" s="1"/>
  <c r="I246" i="12" s="1"/>
  <c r="J256" i="34"/>
  <c r="H250" i="12" s="1"/>
  <c r="I250" i="12" s="1"/>
  <c r="J260" i="34"/>
  <c r="H254" i="12" s="1"/>
  <c r="I254" i="12" s="1"/>
  <c r="J264" i="34"/>
  <c r="H258" i="12" s="1"/>
  <c r="I258" i="12" s="1"/>
  <c r="J268" i="34"/>
  <c r="H262" i="12" s="1"/>
  <c r="I262" i="12" s="1"/>
  <c r="J272" i="34"/>
  <c r="H266" i="12" s="1"/>
  <c r="I266" i="12" s="1"/>
  <c r="J276" i="34"/>
  <c r="H270" i="12" s="1"/>
  <c r="I270" i="12" s="1"/>
  <c r="J280" i="34"/>
  <c r="H274" i="12" s="1"/>
  <c r="I274" i="12" s="1"/>
  <c r="J284" i="34"/>
  <c r="H278" i="12" s="1"/>
  <c r="I278" i="12" s="1"/>
  <c r="J163" i="34"/>
  <c r="H157" i="12" s="1"/>
  <c r="I157" i="12" s="1"/>
  <c r="J112" i="34"/>
  <c r="H106" i="12" s="1"/>
  <c r="I106" i="12" s="1"/>
  <c r="J292" i="34"/>
  <c r="H286" i="12" s="1"/>
  <c r="I286" i="12" s="1"/>
  <c r="J296" i="34"/>
  <c r="H290" i="12" s="1"/>
  <c r="I290" i="12" s="1"/>
  <c r="J300" i="34"/>
  <c r="H294" i="12" s="1"/>
  <c r="I294" i="12" s="1"/>
  <c r="J304" i="34"/>
  <c r="H298" i="12" s="1"/>
  <c r="I298" i="12" s="1"/>
  <c r="J308" i="34"/>
  <c r="H302" i="12" s="1"/>
  <c r="I302" i="12" s="1"/>
  <c r="J104" i="34"/>
  <c r="H98" i="12" s="1"/>
  <c r="I98" i="12" s="1"/>
  <c r="J288" i="34"/>
  <c r="H282" i="12" s="1"/>
  <c r="I282" i="12" s="1"/>
  <c r="J169" i="34"/>
  <c r="H163" i="12" s="1"/>
  <c r="I163" i="12" s="1"/>
  <c r="J170" i="34"/>
  <c r="H164" i="12" s="1"/>
  <c r="I164" i="12" s="1"/>
  <c r="J177" i="34"/>
  <c r="H171" i="12" s="1"/>
  <c r="I171" i="12" s="1"/>
  <c r="J178" i="34"/>
  <c r="H172" i="12" s="1"/>
  <c r="I172" i="12" s="1"/>
  <c r="J185" i="34"/>
  <c r="H179" i="12" s="1"/>
  <c r="I179" i="12" s="1"/>
  <c r="J186" i="34"/>
  <c r="H180" i="12" s="1"/>
  <c r="I180" i="12" s="1"/>
  <c r="J193" i="34"/>
  <c r="H187" i="12" s="1"/>
  <c r="I187" i="12" s="1"/>
  <c r="J194" i="34"/>
  <c r="H188" i="12" s="1"/>
  <c r="I188" i="12" s="1"/>
  <c r="J201" i="34"/>
  <c r="H195" i="12" s="1"/>
  <c r="I195" i="12" s="1"/>
  <c r="J202" i="34"/>
  <c r="H196" i="12" s="1"/>
  <c r="I196" i="12" s="1"/>
  <c r="J209" i="34"/>
  <c r="H203" i="12" s="1"/>
  <c r="I203" i="12" s="1"/>
  <c r="J210" i="34"/>
  <c r="H204" i="12" s="1"/>
  <c r="I204" i="12" s="1"/>
  <c r="J217" i="34"/>
  <c r="H211" i="12" s="1"/>
  <c r="I211" i="12" s="1"/>
  <c r="J218" i="34"/>
  <c r="H212" i="12" s="1"/>
  <c r="I212" i="12" s="1"/>
  <c r="J225" i="34"/>
  <c r="H219" i="12" s="1"/>
  <c r="I219" i="12" s="1"/>
  <c r="J226" i="34"/>
  <c r="H220" i="12" s="1"/>
  <c r="I220" i="12" s="1"/>
  <c r="J233" i="34"/>
  <c r="H227" i="12" s="1"/>
  <c r="I227" i="12" s="1"/>
  <c r="J234" i="34"/>
  <c r="H228" i="12" s="1"/>
  <c r="I228" i="12" s="1"/>
  <c r="J241" i="34"/>
  <c r="H235" i="12" s="1"/>
  <c r="I235" i="12" s="1"/>
  <c r="J242" i="34"/>
  <c r="H236" i="12" s="1"/>
  <c r="I236" i="12" s="1"/>
  <c r="J249" i="34"/>
  <c r="H243" i="12" s="1"/>
  <c r="I243" i="12" s="1"/>
  <c r="J250" i="34"/>
  <c r="H244" i="12" s="1"/>
  <c r="I244" i="12" s="1"/>
  <c r="J257" i="34"/>
  <c r="H251" i="12" s="1"/>
  <c r="I251" i="12" s="1"/>
  <c r="J258" i="34"/>
  <c r="H252" i="12" s="1"/>
  <c r="I252" i="12" s="1"/>
  <c r="J265" i="34"/>
  <c r="H259" i="12" s="1"/>
  <c r="I259" i="12" s="1"/>
  <c r="J266" i="34"/>
  <c r="H260" i="12" s="1"/>
  <c r="I260" i="12" s="1"/>
  <c r="J273" i="34"/>
  <c r="H267" i="12" s="1"/>
  <c r="I267" i="12" s="1"/>
  <c r="J274" i="34"/>
  <c r="H268" i="12" s="1"/>
  <c r="I268" i="12" s="1"/>
  <c r="J281" i="34"/>
  <c r="H275" i="12" s="1"/>
  <c r="I275" i="12" s="1"/>
  <c r="J282" i="34"/>
  <c r="H276" i="12" s="1"/>
  <c r="I276" i="12" s="1"/>
  <c r="J289" i="34"/>
  <c r="H283" i="12" s="1"/>
  <c r="I283" i="12" s="1"/>
  <c r="J293" i="34"/>
  <c r="H287" i="12" s="1"/>
  <c r="I287" i="12" s="1"/>
  <c r="J297" i="34"/>
  <c r="H291" i="12" s="1"/>
  <c r="I291" i="12" s="1"/>
  <c r="J301" i="34"/>
  <c r="H295" i="12" s="1"/>
  <c r="I295" i="12" s="1"/>
  <c r="J305" i="34"/>
  <c r="H299" i="12" s="1"/>
  <c r="I299" i="12" s="1"/>
  <c r="J309" i="34"/>
  <c r="H303" i="12" s="1"/>
  <c r="I303" i="12" s="1"/>
  <c r="J92" i="34"/>
  <c r="H86" i="12" s="1"/>
  <c r="I86" i="12" s="1"/>
  <c r="J96" i="34"/>
  <c r="H90" i="12" s="1"/>
  <c r="I90" i="12" s="1"/>
  <c r="J97" i="34"/>
  <c r="H91" i="12" s="1"/>
  <c r="I91" i="12" s="1"/>
  <c r="J101" i="34"/>
  <c r="H95" i="12" s="1"/>
  <c r="I95" i="12" s="1"/>
  <c r="J93" i="34"/>
  <c r="H87" i="12" s="1"/>
  <c r="I87" i="12" s="1"/>
  <c r="J165" i="34"/>
  <c r="H159" i="12" s="1"/>
  <c r="I159" i="12" s="1"/>
  <c r="J166" i="34"/>
  <c r="H160" i="12" s="1"/>
  <c r="I160" i="12" s="1"/>
  <c r="J173" i="34"/>
  <c r="H167" i="12" s="1"/>
  <c r="I167" i="12" s="1"/>
  <c r="J174" i="34"/>
  <c r="H168" i="12" s="1"/>
  <c r="I168" i="12" s="1"/>
  <c r="J181" i="34"/>
  <c r="H175" i="12" s="1"/>
  <c r="I175" i="12" s="1"/>
  <c r="J182" i="34"/>
  <c r="H176" i="12" s="1"/>
  <c r="I176" i="12" s="1"/>
  <c r="J189" i="34"/>
  <c r="H183" i="12" s="1"/>
  <c r="I183" i="12" s="1"/>
  <c r="J190" i="34"/>
  <c r="H184" i="12" s="1"/>
  <c r="I184" i="12" s="1"/>
  <c r="J197" i="34"/>
  <c r="H191" i="12" s="1"/>
  <c r="I191" i="12" s="1"/>
  <c r="J198" i="34"/>
  <c r="H192" i="12" s="1"/>
  <c r="I192" i="12" s="1"/>
  <c r="J205" i="34"/>
  <c r="H199" i="12" s="1"/>
  <c r="I199" i="12" s="1"/>
  <c r="J206" i="34"/>
  <c r="H200" i="12" s="1"/>
  <c r="I200" i="12" s="1"/>
  <c r="J213" i="34"/>
  <c r="H207" i="12" s="1"/>
  <c r="I207" i="12" s="1"/>
  <c r="J214" i="34"/>
  <c r="H208" i="12" s="1"/>
  <c r="I208" i="12" s="1"/>
  <c r="J221" i="34"/>
  <c r="H215" i="12" s="1"/>
  <c r="I215" i="12" s="1"/>
  <c r="J222" i="34"/>
  <c r="H216" i="12" s="1"/>
  <c r="I216" i="12" s="1"/>
  <c r="J229" i="34"/>
  <c r="H223" i="12" s="1"/>
  <c r="I223" i="12" s="1"/>
  <c r="J230" i="34"/>
  <c r="H224" i="12" s="1"/>
  <c r="I224" i="12" s="1"/>
  <c r="J237" i="34"/>
  <c r="H231" i="12" s="1"/>
  <c r="I231" i="12" s="1"/>
  <c r="J238" i="34"/>
  <c r="H232" i="12" s="1"/>
  <c r="I232" i="12" s="1"/>
  <c r="J245" i="34"/>
  <c r="H239" i="12" s="1"/>
  <c r="I239" i="12" s="1"/>
  <c r="J246" i="34"/>
  <c r="H240" i="12" s="1"/>
  <c r="I240" i="12" s="1"/>
  <c r="J253" i="34"/>
  <c r="H247" i="12" s="1"/>
  <c r="I247" i="12" s="1"/>
  <c r="J254" i="34"/>
  <c r="H248" i="12" s="1"/>
  <c r="I248" i="12" s="1"/>
  <c r="J261" i="34"/>
  <c r="H255" i="12" s="1"/>
  <c r="I255" i="12" s="1"/>
  <c r="J262" i="34"/>
  <c r="H256" i="12" s="1"/>
  <c r="I256" i="12" s="1"/>
  <c r="J269" i="34"/>
  <c r="H263" i="12" s="1"/>
  <c r="I263" i="12" s="1"/>
  <c r="J270" i="34"/>
  <c r="H264" i="12" s="1"/>
  <c r="I264" i="12" s="1"/>
  <c r="J277" i="34"/>
  <c r="H271" i="12" s="1"/>
  <c r="I271" i="12" s="1"/>
  <c r="J278" i="34"/>
  <c r="H272" i="12" s="1"/>
  <c r="I272" i="12" s="1"/>
  <c r="J285" i="34"/>
  <c r="H279" i="12" s="1"/>
  <c r="I279" i="12" s="1"/>
  <c r="J156" i="34"/>
  <c r="H150" i="12" s="1"/>
  <c r="I150" i="12" s="1"/>
  <c r="J124" i="34"/>
  <c r="H118" i="12" s="1"/>
  <c r="I118" i="12" s="1"/>
  <c r="J243" i="34"/>
  <c r="H237" i="12" s="1"/>
  <c r="I237" i="12" s="1"/>
  <c r="J179" i="34"/>
  <c r="H173" i="12" s="1"/>
  <c r="I173" i="12" s="1"/>
  <c r="J263" i="34"/>
  <c r="H257" i="12" s="1"/>
  <c r="I257" i="12" s="1"/>
  <c r="J231" i="34"/>
  <c r="H225" i="12" s="1"/>
  <c r="I225" i="12" s="1"/>
  <c r="J199" i="34"/>
  <c r="H193" i="12" s="1"/>
  <c r="I193" i="12" s="1"/>
  <c r="J167" i="34"/>
  <c r="H161" i="12" s="1"/>
  <c r="I161" i="12" s="1"/>
  <c r="J307" i="34"/>
  <c r="H301" i="12" s="1"/>
  <c r="I301" i="12" s="1"/>
  <c r="J299" i="34"/>
  <c r="H293" i="12" s="1"/>
  <c r="I293" i="12" s="1"/>
  <c r="J291" i="34"/>
  <c r="H285" i="12" s="1"/>
  <c r="I285" i="12" s="1"/>
  <c r="J219" i="34"/>
  <c r="H213" i="12" s="1"/>
  <c r="I213" i="12" s="1"/>
  <c r="J195" i="34"/>
  <c r="H189" i="12" s="1"/>
  <c r="I189" i="12" s="1"/>
  <c r="J160" i="34"/>
  <c r="H154" i="12" s="1"/>
  <c r="I154" i="12" s="1"/>
  <c r="J128" i="34"/>
  <c r="H122" i="12" s="1"/>
  <c r="I122" i="12" s="1"/>
  <c r="J98" i="34"/>
  <c r="H92" i="12" s="1"/>
  <c r="I92" i="12" s="1"/>
  <c r="J86" i="34"/>
  <c r="H80" i="12" s="1"/>
  <c r="I80" i="12" s="1"/>
  <c r="J78" i="34"/>
  <c r="H72" i="12" s="1"/>
  <c r="I72" i="12" s="1"/>
  <c r="J70" i="34"/>
  <c r="H64" i="12" s="1"/>
  <c r="I64" i="12" s="1"/>
  <c r="J62" i="34"/>
  <c r="H56" i="12" s="1"/>
  <c r="I56" i="12" s="1"/>
  <c r="J54" i="34"/>
  <c r="H48" i="12" s="1"/>
  <c r="I48" i="12" s="1"/>
  <c r="J46" i="34"/>
  <c r="H40" i="12" s="1"/>
  <c r="I40" i="12" s="1"/>
  <c r="J38" i="34"/>
  <c r="H32" i="12" s="1"/>
  <c r="I32" i="12" s="1"/>
  <c r="J30" i="34"/>
  <c r="H24" i="12" s="1"/>
  <c r="I24" i="12" s="1"/>
  <c r="J22" i="34"/>
  <c r="H16" i="12" s="1"/>
  <c r="I16" i="12" s="1"/>
  <c r="J14" i="34"/>
  <c r="H8" i="12" s="1"/>
  <c r="I8" i="12" s="1"/>
  <c r="J162" i="34"/>
  <c r="H156" i="12" s="1"/>
  <c r="I156" i="12" s="1"/>
  <c r="J146" i="34"/>
  <c r="H140" i="12" s="1"/>
  <c r="I140" i="12" s="1"/>
  <c r="J130" i="34"/>
  <c r="H124" i="12" s="1"/>
  <c r="I124" i="12" s="1"/>
  <c r="J161" i="34"/>
  <c r="H155" i="12" s="1"/>
  <c r="I155" i="12" s="1"/>
  <c r="J145" i="34"/>
  <c r="H139" i="12" s="1"/>
  <c r="I139" i="12" s="1"/>
  <c r="J129" i="34"/>
  <c r="H123" i="12" s="1"/>
  <c r="I123" i="12" s="1"/>
  <c r="J89" i="34"/>
  <c r="H83" i="12" s="1"/>
  <c r="I83" i="12" s="1"/>
  <c r="J73" i="34"/>
  <c r="H67" i="12" s="1"/>
  <c r="I67" i="12" s="1"/>
  <c r="J57" i="34"/>
  <c r="H51" i="12" s="1"/>
  <c r="I51" i="12" s="1"/>
  <c r="J41" i="34"/>
  <c r="H35" i="12" s="1"/>
  <c r="I35" i="12" s="1"/>
  <c r="J25" i="34"/>
  <c r="H19" i="12" s="1"/>
  <c r="I19" i="12" s="1"/>
  <c r="J16" i="34"/>
  <c r="H10" i="12" s="1"/>
  <c r="I10" i="12" s="1"/>
  <c r="J149" i="34"/>
  <c r="H143" i="12" s="1"/>
  <c r="I143" i="12" s="1"/>
  <c r="J106" i="34"/>
  <c r="H100" i="12" s="1"/>
  <c r="I100" i="12" s="1"/>
  <c r="J61" i="34"/>
  <c r="H55" i="12" s="1"/>
  <c r="I55" i="12" s="1"/>
  <c r="J13" i="34"/>
  <c r="H7" i="12" s="1"/>
  <c r="I7" i="12" s="1"/>
  <c r="J148" i="34"/>
  <c r="H142" i="12" s="1"/>
  <c r="I142" i="12" s="1"/>
  <c r="J283" i="34"/>
  <c r="H277" i="12" s="1"/>
  <c r="I277" i="12" s="1"/>
  <c r="J259" i="34"/>
  <c r="H253" i="12" s="1"/>
  <c r="I253" i="12" s="1"/>
  <c r="J171" i="34"/>
  <c r="H165" i="12" s="1"/>
  <c r="I165" i="12" s="1"/>
  <c r="J271" i="34"/>
  <c r="H265" i="12" s="1"/>
  <c r="I265" i="12" s="1"/>
  <c r="J239" i="34"/>
  <c r="H233" i="12" s="1"/>
  <c r="I233" i="12" s="1"/>
  <c r="J207" i="34"/>
  <c r="H201" i="12" s="1"/>
  <c r="I201" i="12" s="1"/>
  <c r="J175" i="34"/>
  <c r="H169" i="12" s="1"/>
  <c r="I169" i="12" s="1"/>
  <c r="J306" i="34"/>
  <c r="H300" i="12" s="1"/>
  <c r="I300" i="12" s="1"/>
  <c r="J290" i="34"/>
  <c r="H284" i="12" s="1"/>
  <c r="I284" i="12" s="1"/>
  <c r="J275" i="34"/>
  <c r="H269" i="12" s="1"/>
  <c r="I269" i="12" s="1"/>
  <c r="J235" i="34"/>
  <c r="H229" i="12" s="1"/>
  <c r="I229" i="12" s="1"/>
  <c r="J211" i="34"/>
  <c r="H205" i="12" s="1"/>
  <c r="I205" i="12" s="1"/>
  <c r="J152" i="34"/>
  <c r="H146" i="12" s="1"/>
  <c r="I146" i="12" s="1"/>
  <c r="J120" i="34"/>
  <c r="H114" i="12" s="1"/>
  <c r="I114" i="12" s="1"/>
  <c r="J94" i="34"/>
  <c r="H88" i="12" s="1"/>
  <c r="I88" i="12" s="1"/>
  <c r="J84" i="34"/>
  <c r="H78" i="12" s="1"/>
  <c r="I78" i="12" s="1"/>
  <c r="J76" i="34"/>
  <c r="H70" i="12" s="1"/>
  <c r="I70" i="12" s="1"/>
  <c r="J68" i="34"/>
  <c r="H62" i="12" s="1"/>
  <c r="I62" i="12" s="1"/>
  <c r="J60" i="34"/>
  <c r="H54" i="12" s="1"/>
  <c r="I54" i="12" s="1"/>
  <c r="J52" i="34"/>
  <c r="H46" i="12" s="1"/>
  <c r="I46" i="12" s="1"/>
  <c r="J44" i="34"/>
  <c r="H38" i="12" s="1"/>
  <c r="I38" i="12" s="1"/>
  <c r="J36" i="34"/>
  <c r="H30" i="12" s="1"/>
  <c r="I30" i="12" s="1"/>
  <c r="J28" i="34"/>
  <c r="H22" i="12" s="1"/>
  <c r="I22" i="12" s="1"/>
  <c r="J20" i="34"/>
  <c r="H14" i="12" s="1"/>
  <c r="I14" i="12" s="1"/>
  <c r="J287" i="34"/>
  <c r="H281" i="12" s="1"/>
  <c r="I281" i="12" s="1"/>
  <c r="J158" i="34"/>
  <c r="H152" i="12" s="1"/>
  <c r="I152" i="12" s="1"/>
  <c r="J142" i="34"/>
  <c r="H136" i="12" s="1"/>
  <c r="I136" i="12" s="1"/>
  <c r="J126" i="34"/>
  <c r="H120" i="12" s="1"/>
  <c r="I120" i="12" s="1"/>
  <c r="J157" i="34"/>
  <c r="H151" i="12" s="1"/>
  <c r="I151" i="12" s="1"/>
  <c r="J141" i="34"/>
  <c r="H135" i="12" s="1"/>
  <c r="I135" i="12" s="1"/>
  <c r="J125" i="34"/>
  <c r="H119" i="12" s="1"/>
  <c r="I119" i="12" s="1"/>
  <c r="J109" i="34"/>
  <c r="H103" i="12" s="1"/>
  <c r="I103" i="12" s="1"/>
  <c r="J114" i="34"/>
  <c r="H108" i="12" s="1"/>
  <c r="I108" i="12" s="1"/>
  <c r="J100" i="34"/>
  <c r="H94" i="12" s="1"/>
  <c r="I94" i="12" s="1"/>
  <c r="J85" i="34"/>
  <c r="H79" i="12" s="1"/>
  <c r="I79" i="12" s="1"/>
  <c r="J69" i="34"/>
  <c r="H63" i="12" s="1"/>
  <c r="I63" i="12" s="1"/>
  <c r="J53" i="34"/>
  <c r="H47" i="12" s="1"/>
  <c r="I47" i="12" s="1"/>
  <c r="J37" i="34"/>
  <c r="H31" i="12" s="1"/>
  <c r="I31" i="12" s="1"/>
  <c r="J21" i="34"/>
  <c r="H15" i="12" s="1"/>
  <c r="I15" i="12" s="1"/>
  <c r="J286" i="34"/>
  <c r="H280" i="12" s="1"/>
  <c r="I280" i="12" s="1"/>
  <c r="J223" i="34"/>
  <c r="H217" i="12" s="1"/>
  <c r="I217" i="12" s="1"/>
  <c r="J310" i="34"/>
  <c r="H304" i="12" s="1"/>
  <c r="I304" i="12" s="1"/>
  <c r="J294" i="34"/>
  <c r="H288" i="12" s="1"/>
  <c r="I288" i="12" s="1"/>
  <c r="J136" i="34"/>
  <c r="H130" i="12" s="1"/>
  <c r="I130" i="12" s="1"/>
  <c r="J88" i="34"/>
  <c r="H82" i="12" s="1"/>
  <c r="I82" i="12" s="1"/>
  <c r="J72" i="34"/>
  <c r="H66" i="12" s="1"/>
  <c r="I66" i="12" s="1"/>
  <c r="J56" i="34"/>
  <c r="H50" i="12" s="1"/>
  <c r="I50" i="12" s="1"/>
  <c r="J40" i="34"/>
  <c r="H34" i="12" s="1"/>
  <c r="I34" i="12" s="1"/>
  <c r="J24" i="34"/>
  <c r="H18" i="12" s="1"/>
  <c r="I18" i="12" s="1"/>
  <c r="J150" i="34"/>
  <c r="H144" i="12" s="1"/>
  <c r="I144" i="12" s="1"/>
  <c r="J118" i="34"/>
  <c r="H112" i="12" s="1"/>
  <c r="I112" i="12" s="1"/>
  <c r="J133" i="34"/>
  <c r="H127" i="12" s="1"/>
  <c r="I127" i="12" s="1"/>
  <c r="J77" i="34"/>
  <c r="H71" i="12" s="1"/>
  <c r="I71" i="12" s="1"/>
  <c r="J45" i="34"/>
  <c r="H39" i="12" s="1"/>
  <c r="I39" i="12" s="1"/>
  <c r="J140" i="34"/>
  <c r="H134" i="12" s="1"/>
  <c r="I134" i="12" s="1"/>
  <c r="J298" i="34"/>
  <c r="H292" i="12" s="1"/>
  <c r="I292" i="12" s="1"/>
  <c r="J279" i="34"/>
  <c r="H273" i="12" s="1"/>
  <c r="I273" i="12" s="1"/>
  <c r="J247" i="34"/>
  <c r="H241" i="12" s="1"/>
  <c r="I241" i="12" s="1"/>
  <c r="J215" i="34"/>
  <c r="H209" i="12" s="1"/>
  <c r="I209" i="12" s="1"/>
  <c r="J183" i="34"/>
  <c r="H177" i="12" s="1"/>
  <c r="I177" i="12" s="1"/>
  <c r="J311" i="34"/>
  <c r="H305" i="12" s="1"/>
  <c r="I305" i="12" s="1"/>
  <c r="J303" i="34"/>
  <c r="H297" i="12" s="1"/>
  <c r="I297" i="12" s="1"/>
  <c r="J295" i="34"/>
  <c r="H289" i="12" s="1"/>
  <c r="I289" i="12" s="1"/>
  <c r="J267" i="34"/>
  <c r="H261" i="12" s="1"/>
  <c r="I261" i="12" s="1"/>
  <c r="J251" i="34"/>
  <c r="H245" i="12" s="1"/>
  <c r="I245" i="12" s="1"/>
  <c r="J227" i="34"/>
  <c r="H221" i="12" s="1"/>
  <c r="I221" i="12" s="1"/>
  <c r="J187" i="34"/>
  <c r="H181" i="12" s="1"/>
  <c r="I181" i="12" s="1"/>
  <c r="J144" i="34"/>
  <c r="H138" i="12" s="1"/>
  <c r="I138" i="12" s="1"/>
  <c r="J105" i="34"/>
  <c r="H99" i="12" s="1"/>
  <c r="I99" i="12" s="1"/>
  <c r="J90" i="34"/>
  <c r="H84" i="12" s="1"/>
  <c r="I84" i="12" s="1"/>
  <c r="J82" i="34"/>
  <c r="H76" i="12" s="1"/>
  <c r="I76" i="12" s="1"/>
  <c r="J74" i="34"/>
  <c r="H68" i="12" s="1"/>
  <c r="I68" i="12" s="1"/>
  <c r="J66" i="34"/>
  <c r="H60" i="12" s="1"/>
  <c r="I60" i="12" s="1"/>
  <c r="J58" i="34"/>
  <c r="H52" i="12" s="1"/>
  <c r="I52" i="12" s="1"/>
  <c r="J50" i="34"/>
  <c r="H44" i="12" s="1"/>
  <c r="I44" i="12" s="1"/>
  <c r="J42" i="34"/>
  <c r="H36" i="12" s="1"/>
  <c r="I36" i="12" s="1"/>
  <c r="J34" i="34"/>
  <c r="H28" i="12" s="1"/>
  <c r="I28" i="12" s="1"/>
  <c r="J26" i="34"/>
  <c r="H20" i="12" s="1"/>
  <c r="I20" i="12" s="1"/>
  <c r="J18" i="34"/>
  <c r="H12" i="12" s="1"/>
  <c r="I12" i="12" s="1"/>
  <c r="J154" i="34"/>
  <c r="H148" i="12" s="1"/>
  <c r="I148" i="12" s="1"/>
  <c r="J138" i="34"/>
  <c r="H132" i="12" s="1"/>
  <c r="I132" i="12" s="1"/>
  <c r="J122" i="34"/>
  <c r="H116" i="12" s="1"/>
  <c r="I116" i="12" s="1"/>
  <c r="J153" i="34"/>
  <c r="H147" i="12" s="1"/>
  <c r="I147" i="12" s="1"/>
  <c r="J137" i="34"/>
  <c r="H131" i="12" s="1"/>
  <c r="I131" i="12" s="1"/>
  <c r="J121" i="34"/>
  <c r="H115" i="12" s="1"/>
  <c r="I115" i="12" s="1"/>
  <c r="J110" i="34"/>
  <c r="H104" i="12" s="1"/>
  <c r="I104" i="12" s="1"/>
  <c r="J81" i="34"/>
  <c r="H75" i="12" s="1"/>
  <c r="I75" i="12" s="1"/>
  <c r="J65" i="34"/>
  <c r="H59" i="12" s="1"/>
  <c r="I59" i="12" s="1"/>
  <c r="J49" i="34"/>
  <c r="H43" i="12" s="1"/>
  <c r="I43" i="12" s="1"/>
  <c r="J33" i="34"/>
  <c r="H27" i="12" s="1"/>
  <c r="I27" i="12" s="1"/>
  <c r="J17" i="34"/>
  <c r="H11" i="12" s="1"/>
  <c r="I11" i="12" s="1"/>
  <c r="J132" i="34"/>
  <c r="H126" i="12" s="1"/>
  <c r="I126" i="12" s="1"/>
  <c r="J255" i="34"/>
  <c r="H249" i="12" s="1"/>
  <c r="I249" i="12" s="1"/>
  <c r="J191" i="34"/>
  <c r="H185" i="12" s="1"/>
  <c r="I185" i="12" s="1"/>
  <c r="J302" i="34"/>
  <c r="H296" i="12" s="1"/>
  <c r="I296" i="12" s="1"/>
  <c r="J203" i="34"/>
  <c r="H197" i="12" s="1"/>
  <c r="I197" i="12" s="1"/>
  <c r="J102" i="34"/>
  <c r="H96" i="12" s="1"/>
  <c r="I96" i="12" s="1"/>
  <c r="J80" i="34"/>
  <c r="H74" i="12" s="1"/>
  <c r="I74" i="12" s="1"/>
  <c r="J64" i="34"/>
  <c r="H58" i="12" s="1"/>
  <c r="I58" i="12" s="1"/>
  <c r="J48" i="34"/>
  <c r="H42" i="12" s="1"/>
  <c r="I42" i="12" s="1"/>
  <c r="J32" i="34"/>
  <c r="H26" i="12" s="1"/>
  <c r="I26" i="12" s="1"/>
  <c r="J113" i="34"/>
  <c r="H107" i="12" s="1"/>
  <c r="I107" i="12" s="1"/>
  <c r="J134" i="34"/>
  <c r="H128" i="12" s="1"/>
  <c r="I128" i="12" s="1"/>
  <c r="J117" i="34"/>
  <c r="J29" i="34"/>
  <c r="H23" i="12" s="1"/>
  <c r="I23" i="12" s="1"/>
  <c r="J312" i="34"/>
  <c r="H306" i="12" s="1"/>
  <c r="I306" i="12" s="1"/>
  <c r="J12" i="34"/>
  <c r="H111" i="12" l="1"/>
  <c r="I111" i="12" s="1"/>
  <c r="F41" i="48"/>
  <c r="J152" i="12"/>
  <c r="K152" i="12" s="1"/>
  <c r="D152" i="39"/>
  <c r="G152" i="39" s="1"/>
  <c r="H152" i="39" s="1"/>
  <c r="I152" i="39" s="1"/>
  <c r="J30" i="12"/>
  <c r="K30" i="12" s="1"/>
  <c r="D30" i="39"/>
  <c r="G30" i="39" s="1"/>
  <c r="H30" i="39" s="1"/>
  <c r="I30" i="39" s="1"/>
  <c r="J62" i="12"/>
  <c r="K62" i="12" s="1"/>
  <c r="D62" i="39"/>
  <c r="G62" i="39" s="1"/>
  <c r="H62" i="39" s="1"/>
  <c r="I62" i="39" s="1"/>
  <c r="J114" i="12"/>
  <c r="K114" i="12" s="1"/>
  <c r="D114" i="39"/>
  <c r="G114" i="39" s="1"/>
  <c r="H114" i="39" s="1"/>
  <c r="I114" i="39" s="1"/>
  <c r="J269" i="12"/>
  <c r="K269" i="12" s="1"/>
  <c r="D269" i="39"/>
  <c r="G269" i="39" s="1"/>
  <c r="H269" i="39" s="1"/>
  <c r="I269" i="39" s="1"/>
  <c r="J201" i="12"/>
  <c r="K201" i="12" s="1"/>
  <c r="D201" i="39"/>
  <c r="G201" i="39" s="1"/>
  <c r="H201" i="39" s="1"/>
  <c r="I201" i="39" s="1"/>
  <c r="J253" i="12"/>
  <c r="K253" i="12" s="1"/>
  <c r="D253" i="39"/>
  <c r="G253" i="39" s="1"/>
  <c r="H253" i="39" s="1"/>
  <c r="I253" i="39" s="1"/>
  <c r="J55" i="12"/>
  <c r="K55" i="12" s="1"/>
  <c r="D55" i="39"/>
  <c r="G55" i="39" s="1"/>
  <c r="H55" i="39" s="1"/>
  <c r="I55" i="39" s="1"/>
  <c r="J19" i="12"/>
  <c r="K19" i="12" s="1"/>
  <c r="D19" i="39"/>
  <c r="G19" i="39" s="1"/>
  <c r="H19" i="39" s="1"/>
  <c r="I19" i="39" s="1"/>
  <c r="J83" i="12"/>
  <c r="K83" i="12" s="1"/>
  <c r="D83" i="39"/>
  <c r="G83" i="39" s="1"/>
  <c r="H83" i="39" s="1"/>
  <c r="I83" i="39" s="1"/>
  <c r="J124" i="12"/>
  <c r="K124" i="12" s="1"/>
  <c r="D124" i="39"/>
  <c r="G124" i="39" s="1"/>
  <c r="H124" i="39" s="1"/>
  <c r="I124" i="39" s="1"/>
  <c r="J16" i="12"/>
  <c r="K16" i="12" s="1"/>
  <c r="D16" i="39"/>
  <c r="G16" i="39" s="1"/>
  <c r="H16" i="39" s="1"/>
  <c r="I16" i="39" s="1"/>
  <c r="J48" i="12"/>
  <c r="K48" i="12" s="1"/>
  <c r="D48" i="39"/>
  <c r="G48" i="39" s="1"/>
  <c r="H48" i="39" s="1"/>
  <c r="I48" i="39" s="1"/>
  <c r="J80" i="12"/>
  <c r="K80" i="12" s="1"/>
  <c r="D80" i="39"/>
  <c r="G80" i="39" s="1"/>
  <c r="H80" i="39" s="1"/>
  <c r="I80" i="39" s="1"/>
  <c r="J189" i="12"/>
  <c r="K189" i="12" s="1"/>
  <c r="D189" i="39"/>
  <c r="G189" i="39" s="1"/>
  <c r="H189" i="39" s="1"/>
  <c r="I189" i="39" s="1"/>
  <c r="J301" i="12"/>
  <c r="K301" i="12" s="1"/>
  <c r="D301" i="39"/>
  <c r="G301" i="39" s="1"/>
  <c r="H301" i="39" s="1"/>
  <c r="I301" i="39" s="1"/>
  <c r="J257" i="12"/>
  <c r="K257" i="12" s="1"/>
  <c r="D257" i="39"/>
  <c r="G257" i="39" s="1"/>
  <c r="H257" i="39" s="1"/>
  <c r="I257" i="39" s="1"/>
  <c r="J150" i="12"/>
  <c r="K150" i="12" s="1"/>
  <c r="D150" i="39"/>
  <c r="G150" i="39" s="1"/>
  <c r="H150" i="39" s="1"/>
  <c r="I150" i="39" s="1"/>
  <c r="J264" i="12"/>
  <c r="K264" i="12" s="1"/>
  <c r="D264" i="39"/>
  <c r="G264" i="39" s="1"/>
  <c r="H264" i="39" s="1"/>
  <c r="I264" i="39" s="1"/>
  <c r="J248" i="12"/>
  <c r="K248" i="12" s="1"/>
  <c r="D248" i="39"/>
  <c r="G248" i="39" s="1"/>
  <c r="H248" i="39" s="1"/>
  <c r="I248" i="39" s="1"/>
  <c r="J232" i="12"/>
  <c r="K232" i="12" s="1"/>
  <c r="D232" i="39"/>
  <c r="G232" i="39" s="1"/>
  <c r="H232" i="39" s="1"/>
  <c r="I232" i="39" s="1"/>
  <c r="J216" i="12"/>
  <c r="K216" i="12" s="1"/>
  <c r="D216" i="39"/>
  <c r="G216" i="39" s="1"/>
  <c r="H216" i="39" s="1"/>
  <c r="I216" i="39" s="1"/>
  <c r="J200" i="12"/>
  <c r="K200" i="12" s="1"/>
  <c r="D200" i="39"/>
  <c r="G200" i="39" s="1"/>
  <c r="H200" i="39" s="1"/>
  <c r="I200" i="39" s="1"/>
  <c r="D184" i="39"/>
  <c r="G184" i="39" s="1"/>
  <c r="H184" i="39" s="1"/>
  <c r="I184" i="39" s="1"/>
  <c r="J184" i="12"/>
  <c r="K184" i="12" s="1"/>
  <c r="J168" i="12"/>
  <c r="K168" i="12" s="1"/>
  <c r="D168" i="39"/>
  <c r="G168" i="39" s="1"/>
  <c r="H168" i="39" s="1"/>
  <c r="I168" i="39" s="1"/>
  <c r="J87" i="12"/>
  <c r="K87" i="12" s="1"/>
  <c r="D87" i="39"/>
  <c r="G87" i="39" s="1"/>
  <c r="H87" i="39" s="1"/>
  <c r="I87" i="39" s="1"/>
  <c r="J86" i="12"/>
  <c r="K86" i="12" s="1"/>
  <c r="D86" i="39"/>
  <c r="G86" i="39" s="1"/>
  <c r="H86" i="39" s="1"/>
  <c r="I86" i="39" s="1"/>
  <c r="J291" i="12"/>
  <c r="K291" i="12" s="1"/>
  <c r="D291" i="39"/>
  <c r="G291" i="39" s="1"/>
  <c r="H291" i="39" s="1"/>
  <c r="I291" i="39" s="1"/>
  <c r="J275" i="12"/>
  <c r="K275" i="12" s="1"/>
  <c r="D275" i="39"/>
  <c r="G275" i="39" s="1"/>
  <c r="H275" i="39" s="1"/>
  <c r="I275" i="39" s="1"/>
  <c r="J259" i="12"/>
  <c r="K259" i="12" s="1"/>
  <c r="D259" i="39"/>
  <c r="G259" i="39" s="1"/>
  <c r="H259" i="39" s="1"/>
  <c r="I259" i="39" s="1"/>
  <c r="J243" i="12"/>
  <c r="K243" i="12" s="1"/>
  <c r="D243" i="39"/>
  <c r="G243" i="39" s="1"/>
  <c r="H243" i="39" s="1"/>
  <c r="I243" i="39" s="1"/>
  <c r="J227" i="12"/>
  <c r="K227" i="12" s="1"/>
  <c r="D227" i="39"/>
  <c r="G227" i="39" s="1"/>
  <c r="H227" i="39" s="1"/>
  <c r="I227" i="39" s="1"/>
  <c r="J211" i="12"/>
  <c r="K211" i="12" s="1"/>
  <c r="D211" i="39"/>
  <c r="G211" i="39" s="1"/>
  <c r="H211" i="39" s="1"/>
  <c r="I211" i="39" s="1"/>
  <c r="J195" i="12"/>
  <c r="K195" i="12" s="1"/>
  <c r="D195" i="39"/>
  <c r="G195" i="39" s="1"/>
  <c r="H195" i="39" s="1"/>
  <c r="I195" i="39" s="1"/>
  <c r="J179" i="12"/>
  <c r="K179" i="12" s="1"/>
  <c r="D179" i="39"/>
  <c r="G179" i="39" s="1"/>
  <c r="H179" i="39" s="1"/>
  <c r="I179" i="39" s="1"/>
  <c r="J163" i="12"/>
  <c r="K163" i="12" s="1"/>
  <c r="D163" i="39"/>
  <c r="G163" i="39" s="1"/>
  <c r="H163" i="39" s="1"/>
  <c r="I163" i="39" s="1"/>
  <c r="J298" i="12"/>
  <c r="K298" i="12" s="1"/>
  <c r="D298" i="39"/>
  <c r="G298" i="39" s="1"/>
  <c r="H298" i="39" s="1"/>
  <c r="I298" i="39" s="1"/>
  <c r="J106" i="12"/>
  <c r="K106" i="12" s="1"/>
  <c r="D106" i="39"/>
  <c r="G106" i="39" s="1"/>
  <c r="H106" i="39" s="1"/>
  <c r="I106" i="39" s="1"/>
  <c r="J270" i="12"/>
  <c r="K270" i="12" s="1"/>
  <c r="D270" i="39"/>
  <c r="G270" i="39" s="1"/>
  <c r="H270" i="39" s="1"/>
  <c r="I270" i="39" s="1"/>
  <c r="J254" i="12"/>
  <c r="K254" i="12" s="1"/>
  <c r="D254" i="39"/>
  <c r="G254" i="39" s="1"/>
  <c r="H254" i="39" s="1"/>
  <c r="I254" i="39" s="1"/>
  <c r="J238" i="12"/>
  <c r="K238" i="12" s="1"/>
  <c r="D238" i="39"/>
  <c r="G238" i="39" s="1"/>
  <c r="H238" i="39" s="1"/>
  <c r="I238" i="39" s="1"/>
  <c r="J222" i="12"/>
  <c r="K222" i="12" s="1"/>
  <c r="D222" i="39"/>
  <c r="G222" i="39" s="1"/>
  <c r="H222" i="39" s="1"/>
  <c r="I222" i="39" s="1"/>
  <c r="J206" i="12"/>
  <c r="K206" i="12" s="1"/>
  <c r="D206" i="39"/>
  <c r="G206" i="39" s="1"/>
  <c r="H206" i="39" s="1"/>
  <c r="I206" i="39" s="1"/>
  <c r="J190" i="12"/>
  <c r="K190" i="12" s="1"/>
  <c r="D190" i="39"/>
  <c r="G190" i="39" s="1"/>
  <c r="H190" i="39" s="1"/>
  <c r="I190" i="39" s="1"/>
  <c r="J174" i="12"/>
  <c r="K174" i="12" s="1"/>
  <c r="D174" i="39"/>
  <c r="G174" i="39" s="1"/>
  <c r="H174" i="39" s="1"/>
  <c r="I174" i="39" s="1"/>
  <c r="J158" i="12"/>
  <c r="K158" i="12" s="1"/>
  <c r="D158" i="39"/>
  <c r="G158" i="39" s="1"/>
  <c r="H158" i="39" s="1"/>
  <c r="I158" i="39" s="1"/>
  <c r="J141" i="12"/>
  <c r="K141" i="12" s="1"/>
  <c r="D141" i="39"/>
  <c r="G141" i="39" s="1"/>
  <c r="H141" i="39" s="1"/>
  <c r="I141" i="39" s="1"/>
  <c r="J125" i="12"/>
  <c r="K125" i="12" s="1"/>
  <c r="D125" i="39"/>
  <c r="G125" i="39" s="1"/>
  <c r="H125" i="39" s="1"/>
  <c r="I125" i="39" s="1"/>
  <c r="J110" i="12"/>
  <c r="K110" i="12" s="1"/>
  <c r="D110" i="39"/>
  <c r="G110" i="39" s="1"/>
  <c r="H110" i="39" s="1"/>
  <c r="I110" i="39" s="1"/>
  <c r="J101" i="12"/>
  <c r="K101" i="12" s="1"/>
  <c r="D101" i="39"/>
  <c r="G101" i="39" s="1"/>
  <c r="H101" i="39" s="1"/>
  <c r="I101" i="39" s="1"/>
  <c r="J77" i="12"/>
  <c r="K77" i="12" s="1"/>
  <c r="D77" i="39"/>
  <c r="G77" i="39" s="1"/>
  <c r="H77" i="39" s="1"/>
  <c r="I77" i="39" s="1"/>
  <c r="J61" i="12"/>
  <c r="K61" i="12" s="1"/>
  <c r="D61" i="39"/>
  <c r="G61" i="39" s="1"/>
  <c r="H61" i="39" s="1"/>
  <c r="I61" i="39" s="1"/>
  <c r="J45" i="12"/>
  <c r="K45" i="12" s="1"/>
  <c r="D45" i="39"/>
  <c r="G45" i="39" s="1"/>
  <c r="H45" i="39" s="1"/>
  <c r="I45" i="39" s="1"/>
  <c r="J29" i="12"/>
  <c r="K29" i="12" s="1"/>
  <c r="D29" i="39"/>
  <c r="G29" i="39" s="1"/>
  <c r="H29" i="39" s="1"/>
  <c r="I29" i="39" s="1"/>
  <c r="J13" i="12"/>
  <c r="K13" i="12" s="1"/>
  <c r="D13" i="39"/>
  <c r="G13" i="39" s="1"/>
  <c r="H13" i="39" s="1"/>
  <c r="I13" i="39" s="1"/>
  <c r="J74" i="12"/>
  <c r="K74" i="12" s="1"/>
  <c r="D74" i="39"/>
  <c r="G74" i="39" s="1"/>
  <c r="H74" i="39" s="1"/>
  <c r="I74" i="39" s="1"/>
  <c r="J104" i="12"/>
  <c r="K104" i="12" s="1"/>
  <c r="D104" i="39"/>
  <c r="G104" i="39" s="1"/>
  <c r="H104" i="39" s="1"/>
  <c r="I104" i="39" s="1"/>
  <c r="J52" i="12"/>
  <c r="K52" i="12" s="1"/>
  <c r="D52" i="39"/>
  <c r="G52" i="39" s="1"/>
  <c r="H52" i="39" s="1"/>
  <c r="I52" i="39" s="1"/>
  <c r="J221" i="12"/>
  <c r="K221" i="12" s="1"/>
  <c r="D221" i="39"/>
  <c r="G221" i="39" s="1"/>
  <c r="H221" i="39" s="1"/>
  <c r="I221" i="39" s="1"/>
  <c r="J241" i="12"/>
  <c r="K241" i="12" s="1"/>
  <c r="D241" i="39"/>
  <c r="G241" i="39" s="1"/>
  <c r="H241" i="39" s="1"/>
  <c r="I241" i="39" s="1"/>
  <c r="J144" i="12"/>
  <c r="K144" i="12" s="1"/>
  <c r="D144" i="39"/>
  <c r="G144" i="39" s="1"/>
  <c r="H144" i="39" s="1"/>
  <c r="I144" i="39" s="1"/>
  <c r="J31" i="12"/>
  <c r="K31" i="12" s="1"/>
  <c r="D31" i="39"/>
  <c r="G31" i="39" s="1"/>
  <c r="H31" i="39" s="1"/>
  <c r="I31" i="39" s="1"/>
  <c r="J135" i="12"/>
  <c r="K135" i="12" s="1"/>
  <c r="D135" i="39"/>
  <c r="G135" i="39" s="1"/>
  <c r="H135" i="39" s="1"/>
  <c r="I135" i="39" s="1"/>
  <c r="J23" i="12"/>
  <c r="K23" i="12" s="1"/>
  <c r="D23" i="39"/>
  <c r="G23" i="39" s="1"/>
  <c r="H23" i="39" s="1"/>
  <c r="I23" i="39" s="1"/>
  <c r="J26" i="12"/>
  <c r="K26" i="12" s="1"/>
  <c r="D26" i="39"/>
  <c r="G26" i="39" s="1"/>
  <c r="H26" i="39" s="1"/>
  <c r="I26" i="39" s="1"/>
  <c r="J96" i="12"/>
  <c r="K96" i="12" s="1"/>
  <c r="D96" i="39"/>
  <c r="G96" i="39" s="1"/>
  <c r="H96" i="39" s="1"/>
  <c r="I96" i="39" s="1"/>
  <c r="J249" i="12"/>
  <c r="K249" i="12" s="1"/>
  <c r="D249" i="39"/>
  <c r="G249" i="39" s="1"/>
  <c r="H249" i="39" s="1"/>
  <c r="I249" i="39" s="1"/>
  <c r="J43" i="12"/>
  <c r="K43" i="12" s="1"/>
  <c r="D43" i="39"/>
  <c r="G43" i="39" s="1"/>
  <c r="H43" i="39" s="1"/>
  <c r="I43" i="39" s="1"/>
  <c r="J115" i="12"/>
  <c r="K115" i="12" s="1"/>
  <c r="D115" i="39"/>
  <c r="G115" i="39" s="1"/>
  <c r="H115" i="39" s="1"/>
  <c r="I115" i="39" s="1"/>
  <c r="J132" i="12"/>
  <c r="K132" i="12" s="1"/>
  <c r="D132" i="39"/>
  <c r="G132" i="39" s="1"/>
  <c r="H132" i="39" s="1"/>
  <c r="I132" i="39" s="1"/>
  <c r="J28" i="12"/>
  <c r="K28" i="12" s="1"/>
  <c r="D28" i="39"/>
  <c r="G28" i="39" s="1"/>
  <c r="H28" i="39" s="1"/>
  <c r="I28" i="39" s="1"/>
  <c r="J60" i="12"/>
  <c r="K60" i="12" s="1"/>
  <c r="D60" i="39"/>
  <c r="G60" i="39" s="1"/>
  <c r="H60" i="39" s="1"/>
  <c r="I60" i="39" s="1"/>
  <c r="J99" i="12"/>
  <c r="K99" i="12" s="1"/>
  <c r="D99" i="39"/>
  <c r="G99" i="39" s="1"/>
  <c r="H99" i="39" s="1"/>
  <c r="I99" i="39" s="1"/>
  <c r="J245" i="12"/>
  <c r="K245" i="12" s="1"/>
  <c r="D245" i="39"/>
  <c r="G245" i="39" s="1"/>
  <c r="H245" i="39" s="1"/>
  <c r="I245" i="39" s="1"/>
  <c r="J305" i="12"/>
  <c r="K305" i="12" s="1"/>
  <c r="D305" i="39"/>
  <c r="G305" i="39" s="1"/>
  <c r="H305" i="39" s="1"/>
  <c r="I305" i="39" s="1"/>
  <c r="J273" i="12"/>
  <c r="K273" i="12" s="1"/>
  <c r="D273" i="39"/>
  <c r="G273" i="39" s="1"/>
  <c r="H273" i="39" s="1"/>
  <c r="I273" i="39" s="1"/>
  <c r="J71" i="12"/>
  <c r="K71" i="12" s="1"/>
  <c r="D71" i="39"/>
  <c r="G71" i="39" s="1"/>
  <c r="H71" i="39" s="1"/>
  <c r="I71" i="39" s="1"/>
  <c r="J18" i="12"/>
  <c r="K18" i="12" s="1"/>
  <c r="D18" i="39"/>
  <c r="G18" i="39" s="1"/>
  <c r="H18" i="39" s="1"/>
  <c r="I18" i="39" s="1"/>
  <c r="J82" i="12"/>
  <c r="K82" i="12" s="1"/>
  <c r="D82" i="39"/>
  <c r="G82" i="39" s="1"/>
  <c r="H82" i="39" s="1"/>
  <c r="I82" i="39" s="1"/>
  <c r="J217" i="12"/>
  <c r="K217" i="12" s="1"/>
  <c r="D217" i="39"/>
  <c r="G217" i="39" s="1"/>
  <c r="H217" i="39" s="1"/>
  <c r="I217" i="39" s="1"/>
  <c r="J47" i="12"/>
  <c r="K47" i="12" s="1"/>
  <c r="D47" i="39"/>
  <c r="G47" i="39" s="1"/>
  <c r="H47" i="39" s="1"/>
  <c r="I47" i="39" s="1"/>
  <c r="J108" i="12"/>
  <c r="K108" i="12" s="1"/>
  <c r="D108" i="39"/>
  <c r="G108" i="39" s="1"/>
  <c r="H108" i="39" s="1"/>
  <c r="I108" i="39" s="1"/>
  <c r="J151" i="12"/>
  <c r="K151" i="12" s="1"/>
  <c r="D151" i="39"/>
  <c r="G151" i="39" s="1"/>
  <c r="H151" i="39" s="1"/>
  <c r="I151" i="39" s="1"/>
  <c r="J281" i="12"/>
  <c r="K281" i="12" s="1"/>
  <c r="D281" i="39"/>
  <c r="G281" i="39" s="1"/>
  <c r="H281" i="39" s="1"/>
  <c r="I281" i="39" s="1"/>
  <c r="J38" i="12"/>
  <c r="K38" i="12" s="1"/>
  <c r="D38" i="39"/>
  <c r="G38" i="39" s="1"/>
  <c r="H38" i="39" s="1"/>
  <c r="I38" i="39" s="1"/>
  <c r="J70" i="12"/>
  <c r="K70" i="12" s="1"/>
  <c r="D70" i="39"/>
  <c r="G70" i="39" s="1"/>
  <c r="H70" i="39" s="1"/>
  <c r="I70" i="39" s="1"/>
  <c r="J146" i="12"/>
  <c r="K146" i="12" s="1"/>
  <c r="D146" i="39"/>
  <c r="G146" i="39" s="1"/>
  <c r="H146" i="39" s="1"/>
  <c r="I146" i="39" s="1"/>
  <c r="J284" i="12"/>
  <c r="K284" i="12" s="1"/>
  <c r="D284" i="39"/>
  <c r="G284" i="39" s="1"/>
  <c r="H284" i="39" s="1"/>
  <c r="I284" i="39" s="1"/>
  <c r="J233" i="12"/>
  <c r="K233" i="12" s="1"/>
  <c r="D233" i="39"/>
  <c r="G233" i="39" s="1"/>
  <c r="H233" i="39" s="1"/>
  <c r="I233" i="39" s="1"/>
  <c r="J277" i="12"/>
  <c r="K277" i="12" s="1"/>
  <c r="D277" i="39"/>
  <c r="G277" i="39" s="1"/>
  <c r="H277" i="39" s="1"/>
  <c r="I277" i="39" s="1"/>
  <c r="J100" i="12"/>
  <c r="K100" i="12" s="1"/>
  <c r="D100" i="39"/>
  <c r="G100" i="39" s="1"/>
  <c r="H100" i="39" s="1"/>
  <c r="I100" i="39" s="1"/>
  <c r="J35" i="12"/>
  <c r="K35" i="12" s="1"/>
  <c r="D35" i="39"/>
  <c r="G35" i="39" s="1"/>
  <c r="H35" i="39" s="1"/>
  <c r="I35" i="39" s="1"/>
  <c r="J123" i="12"/>
  <c r="K123" i="12" s="1"/>
  <c r="D123" i="39"/>
  <c r="G123" i="39" s="1"/>
  <c r="H123" i="39" s="1"/>
  <c r="I123" i="39" s="1"/>
  <c r="J140" i="12"/>
  <c r="K140" i="12" s="1"/>
  <c r="D140" i="39"/>
  <c r="G140" i="39" s="1"/>
  <c r="H140" i="39" s="1"/>
  <c r="I140" i="39" s="1"/>
  <c r="J24" i="12"/>
  <c r="K24" i="12" s="1"/>
  <c r="D24" i="39"/>
  <c r="G24" i="39" s="1"/>
  <c r="H24" i="39" s="1"/>
  <c r="I24" i="39" s="1"/>
  <c r="J56" i="12"/>
  <c r="K56" i="12" s="1"/>
  <c r="D56" i="39"/>
  <c r="G56" i="39" s="1"/>
  <c r="H56" i="39" s="1"/>
  <c r="I56" i="39" s="1"/>
  <c r="J92" i="12"/>
  <c r="K92" i="12" s="1"/>
  <c r="D92" i="39"/>
  <c r="G92" i="39" s="1"/>
  <c r="H92" i="39" s="1"/>
  <c r="I92" i="39" s="1"/>
  <c r="J213" i="12"/>
  <c r="K213" i="12" s="1"/>
  <c r="D213" i="39"/>
  <c r="G213" i="39" s="1"/>
  <c r="H213" i="39" s="1"/>
  <c r="I213" i="39" s="1"/>
  <c r="J161" i="12"/>
  <c r="K161" i="12" s="1"/>
  <c r="D161" i="39"/>
  <c r="G161" i="39" s="1"/>
  <c r="H161" i="39" s="1"/>
  <c r="I161" i="39" s="1"/>
  <c r="J173" i="12"/>
  <c r="K173" i="12" s="1"/>
  <c r="D173" i="39"/>
  <c r="G173" i="39" s="1"/>
  <c r="H173" i="39" s="1"/>
  <c r="I173" i="39" s="1"/>
  <c r="J279" i="12"/>
  <c r="K279" i="12" s="1"/>
  <c r="D279" i="39"/>
  <c r="G279" i="39" s="1"/>
  <c r="H279" i="39" s="1"/>
  <c r="I279" i="39" s="1"/>
  <c r="J263" i="12"/>
  <c r="K263" i="12" s="1"/>
  <c r="D263" i="39"/>
  <c r="G263" i="39" s="1"/>
  <c r="H263" i="39" s="1"/>
  <c r="I263" i="39" s="1"/>
  <c r="J247" i="12"/>
  <c r="K247" i="12" s="1"/>
  <c r="D247" i="39"/>
  <c r="G247" i="39" s="1"/>
  <c r="H247" i="39" s="1"/>
  <c r="I247" i="39" s="1"/>
  <c r="J231" i="12"/>
  <c r="K231" i="12" s="1"/>
  <c r="D231" i="39"/>
  <c r="G231" i="39" s="1"/>
  <c r="H231" i="39" s="1"/>
  <c r="I231" i="39" s="1"/>
  <c r="J215" i="12"/>
  <c r="K215" i="12" s="1"/>
  <c r="D215" i="39"/>
  <c r="G215" i="39" s="1"/>
  <c r="H215" i="39" s="1"/>
  <c r="I215" i="39" s="1"/>
  <c r="J199" i="12"/>
  <c r="K199" i="12" s="1"/>
  <c r="D199" i="39"/>
  <c r="G199" i="39" s="1"/>
  <c r="H199" i="39" s="1"/>
  <c r="I199" i="39" s="1"/>
  <c r="J183" i="12"/>
  <c r="K183" i="12" s="1"/>
  <c r="D183" i="39"/>
  <c r="G183" i="39" s="1"/>
  <c r="H183" i="39" s="1"/>
  <c r="I183" i="39" s="1"/>
  <c r="J167" i="12"/>
  <c r="K167" i="12" s="1"/>
  <c r="D167" i="39"/>
  <c r="G167" i="39" s="1"/>
  <c r="H167" i="39" s="1"/>
  <c r="I167" i="39" s="1"/>
  <c r="J95" i="12"/>
  <c r="K95" i="12" s="1"/>
  <c r="D95" i="39"/>
  <c r="G95" i="39" s="1"/>
  <c r="H95" i="39" s="1"/>
  <c r="I95" i="39" s="1"/>
  <c r="J303" i="12"/>
  <c r="K303" i="12" s="1"/>
  <c r="D303" i="39"/>
  <c r="G303" i="39" s="1"/>
  <c r="H303" i="39" s="1"/>
  <c r="I303" i="39" s="1"/>
  <c r="J287" i="12"/>
  <c r="K287" i="12" s="1"/>
  <c r="D287" i="39"/>
  <c r="G287" i="39" s="1"/>
  <c r="H287" i="39" s="1"/>
  <c r="I287" i="39" s="1"/>
  <c r="J268" i="12"/>
  <c r="K268" i="12" s="1"/>
  <c r="D268" i="39"/>
  <c r="G268" i="39" s="1"/>
  <c r="H268" i="39" s="1"/>
  <c r="I268" i="39" s="1"/>
  <c r="J252" i="12"/>
  <c r="K252" i="12" s="1"/>
  <c r="D252" i="39"/>
  <c r="G252" i="39" s="1"/>
  <c r="H252" i="39" s="1"/>
  <c r="I252" i="39" s="1"/>
  <c r="J236" i="12"/>
  <c r="K236" i="12" s="1"/>
  <c r="D236" i="39"/>
  <c r="G236" i="39" s="1"/>
  <c r="H236" i="39" s="1"/>
  <c r="I236" i="39" s="1"/>
  <c r="J220" i="12"/>
  <c r="K220" i="12" s="1"/>
  <c r="D220" i="39"/>
  <c r="G220" i="39" s="1"/>
  <c r="H220" i="39" s="1"/>
  <c r="I220" i="39" s="1"/>
  <c r="J204" i="12"/>
  <c r="K204" i="12" s="1"/>
  <c r="D204" i="39"/>
  <c r="G204" i="39" s="1"/>
  <c r="H204" i="39" s="1"/>
  <c r="I204" i="39" s="1"/>
  <c r="J188" i="12"/>
  <c r="K188" i="12" s="1"/>
  <c r="D188" i="39"/>
  <c r="G188" i="39" s="1"/>
  <c r="H188" i="39" s="1"/>
  <c r="I188" i="39" s="1"/>
  <c r="J172" i="12"/>
  <c r="K172" i="12" s="1"/>
  <c r="D172" i="39"/>
  <c r="G172" i="39" s="1"/>
  <c r="H172" i="39" s="1"/>
  <c r="I172" i="39" s="1"/>
  <c r="J282" i="12"/>
  <c r="K282" i="12" s="1"/>
  <c r="D282" i="39"/>
  <c r="G282" i="39" s="1"/>
  <c r="H282" i="39" s="1"/>
  <c r="I282" i="39" s="1"/>
  <c r="J294" i="12"/>
  <c r="K294" i="12" s="1"/>
  <c r="D294" i="39"/>
  <c r="G294" i="39" s="1"/>
  <c r="H294" i="39" s="1"/>
  <c r="I294" i="39" s="1"/>
  <c r="J157" i="12"/>
  <c r="K157" i="12" s="1"/>
  <c r="D157" i="39"/>
  <c r="G157" i="39" s="1"/>
  <c r="H157" i="39" s="1"/>
  <c r="I157" i="39" s="1"/>
  <c r="J266" i="12"/>
  <c r="K266" i="12" s="1"/>
  <c r="D266" i="39"/>
  <c r="G266" i="39" s="1"/>
  <c r="H266" i="39" s="1"/>
  <c r="I266" i="39" s="1"/>
  <c r="J250" i="12"/>
  <c r="K250" i="12" s="1"/>
  <c r="D250" i="39"/>
  <c r="G250" i="39" s="1"/>
  <c r="H250" i="39" s="1"/>
  <c r="I250" i="39" s="1"/>
  <c r="J234" i="12"/>
  <c r="K234" i="12" s="1"/>
  <c r="D234" i="39"/>
  <c r="G234" i="39" s="1"/>
  <c r="H234" i="39" s="1"/>
  <c r="I234" i="39" s="1"/>
  <c r="J218" i="12"/>
  <c r="K218" i="12" s="1"/>
  <c r="D218" i="39"/>
  <c r="G218" i="39" s="1"/>
  <c r="H218" i="39" s="1"/>
  <c r="I218" i="39" s="1"/>
  <c r="J202" i="12"/>
  <c r="K202" i="12" s="1"/>
  <c r="D202" i="39"/>
  <c r="G202" i="39" s="1"/>
  <c r="H202" i="39" s="1"/>
  <c r="I202" i="39" s="1"/>
  <c r="J186" i="12"/>
  <c r="K186" i="12" s="1"/>
  <c r="D186" i="39"/>
  <c r="G186" i="39" s="1"/>
  <c r="H186" i="39" s="1"/>
  <c r="I186" i="39" s="1"/>
  <c r="J170" i="12"/>
  <c r="K170" i="12" s="1"/>
  <c r="D170" i="39"/>
  <c r="G170" i="39" s="1"/>
  <c r="H170" i="39" s="1"/>
  <c r="I170" i="39" s="1"/>
  <c r="J153" i="12"/>
  <c r="K153" i="12" s="1"/>
  <c r="D153" i="39"/>
  <c r="G153" i="39" s="1"/>
  <c r="H153" i="39" s="1"/>
  <c r="I153" i="39" s="1"/>
  <c r="J137" i="12"/>
  <c r="K137" i="12" s="1"/>
  <c r="D137" i="39"/>
  <c r="G137" i="39" s="1"/>
  <c r="H137" i="39" s="1"/>
  <c r="I137" i="39" s="1"/>
  <c r="J121" i="12"/>
  <c r="K121" i="12" s="1"/>
  <c r="D121" i="39"/>
  <c r="G121" i="39" s="1"/>
  <c r="H121" i="39" s="1"/>
  <c r="I121" i="39" s="1"/>
  <c r="J102" i="12"/>
  <c r="K102" i="12" s="1"/>
  <c r="D102" i="39"/>
  <c r="G102" i="39" s="1"/>
  <c r="H102" i="39" s="1"/>
  <c r="I102" i="39" s="1"/>
  <c r="J97" i="12"/>
  <c r="K97" i="12" s="1"/>
  <c r="D97" i="39"/>
  <c r="G97" i="39" s="1"/>
  <c r="H97" i="39" s="1"/>
  <c r="I97" i="39" s="1"/>
  <c r="J73" i="12"/>
  <c r="K73" i="12" s="1"/>
  <c r="D73" i="39"/>
  <c r="G73" i="39" s="1"/>
  <c r="H73" i="39" s="1"/>
  <c r="I73" i="39" s="1"/>
  <c r="J57" i="12"/>
  <c r="K57" i="12" s="1"/>
  <c r="D57" i="39"/>
  <c r="G57" i="39" s="1"/>
  <c r="H57" i="39" s="1"/>
  <c r="I57" i="39" s="1"/>
  <c r="J41" i="12"/>
  <c r="K41" i="12" s="1"/>
  <c r="D41" i="39"/>
  <c r="G41" i="39" s="1"/>
  <c r="H41" i="39" s="1"/>
  <c r="I41" i="39" s="1"/>
  <c r="J25" i="12"/>
  <c r="K25" i="12" s="1"/>
  <c r="D25" i="39"/>
  <c r="G25" i="39" s="1"/>
  <c r="H25" i="39" s="1"/>
  <c r="I25" i="39" s="1"/>
  <c r="J9" i="12"/>
  <c r="K9" i="12" s="1"/>
  <c r="D9" i="39"/>
  <c r="G9" i="39" s="1"/>
  <c r="H9" i="39" s="1"/>
  <c r="I9" i="39" s="1"/>
  <c r="J107" i="12"/>
  <c r="K107" i="12" s="1"/>
  <c r="D107" i="39"/>
  <c r="G107" i="39" s="1"/>
  <c r="H107" i="39" s="1"/>
  <c r="I107" i="39" s="1"/>
  <c r="J185" i="12"/>
  <c r="K185" i="12" s="1"/>
  <c r="D185" i="39"/>
  <c r="G185" i="39" s="1"/>
  <c r="H185" i="39" s="1"/>
  <c r="I185" i="39" s="1"/>
  <c r="J116" i="12"/>
  <c r="K116" i="12" s="1"/>
  <c r="D116" i="39"/>
  <c r="G116" i="39" s="1"/>
  <c r="H116" i="39" s="1"/>
  <c r="I116" i="39" s="1"/>
  <c r="J84" i="12"/>
  <c r="K84" i="12" s="1"/>
  <c r="D84" i="39"/>
  <c r="G84" i="39" s="1"/>
  <c r="H84" i="39" s="1"/>
  <c r="I84" i="39" s="1"/>
  <c r="J297" i="12"/>
  <c r="K297" i="12" s="1"/>
  <c r="D297" i="39"/>
  <c r="G297" i="39" s="1"/>
  <c r="H297" i="39" s="1"/>
  <c r="I297" i="39" s="1"/>
  <c r="J39" i="12"/>
  <c r="K39" i="12" s="1"/>
  <c r="D39" i="39"/>
  <c r="G39" i="39" s="1"/>
  <c r="H39" i="39" s="1"/>
  <c r="I39" i="39" s="1"/>
  <c r="J66" i="12"/>
  <c r="K66" i="12" s="1"/>
  <c r="D66" i="39"/>
  <c r="G66" i="39" s="1"/>
  <c r="H66" i="39" s="1"/>
  <c r="I66" i="39" s="1"/>
  <c r="J304" i="12"/>
  <c r="K304" i="12" s="1"/>
  <c r="D304" i="39"/>
  <c r="G304" i="39" s="1"/>
  <c r="H304" i="39" s="1"/>
  <c r="I304" i="39" s="1"/>
  <c r="J94" i="12"/>
  <c r="K94" i="12" s="1"/>
  <c r="D94" i="39"/>
  <c r="G94" i="39" s="1"/>
  <c r="H94" i="39" s="1"/>
  <c r="I94" i="39" s="1"/>
  <c r="J111" i="12"/>
  <c r="K111" i="12" s="1"/>
  <c r="D111" i="39"/>
  <c r="G111" i="39" s="1"/>
  <c r="H111" i="39" s="1"/>
  <c r="I111" i="39" s="1"/>
  <c r="J42" i="12"/>
  <c r="K42" i="12" s="1"/>
  <c r="D42" i="39"/>
  <c r="G42" i="39" s="1"/>
  <c r="H42" i="39" s="1"/>
  <c r="I42" i="39" s="1"/>
  <c r="J197" i="12"/>
  <c r="K197" i="12" s="1"/>
  <c r="D197" i="39"/>
  <c r="G197" i="39" s="1"/>
  <c r="H197" i="39" s="1"/>
  <c r="I197" i="39" s="1"/>
  <c r="J126" i="12"/>
  <c r="K126" i="12" s="1"/>
  <c r="D126" i="39"/>
  <c r="G126" i="39" s="1"/>
  <c r="H126" i="39" s="1"/>
  <c r="I126" i="39" s="1"/>
  <c r="J59" i="12"/>
  <c r="K59" i="12" s="1"/>
  <c r="D59" i="39"/>
  <c r="G59" i="39" s="1"/>
  <c r="H59" i="39" s="1"/>
  <c r="I59" i="39" s="1"/>
  <c r="J131" i="12"/>
  <c r="K131" i="12" s="1"/>
  <c r="D131" i="39"/>
  <c r="G131" i="39" s="1"/>
  <c r="H131" i="39" s="1"/>
  <c r="I131" i="39" s="1"/>
  <c r="J148" i="12"/>
  <c r="K148" i="12" s="1"/>
  <c r="D148" i="39"/>
  <c r="G148" i="39" s="1"/>
  <c r="H148" i="39" s="1"/>
  <c r="I148" i="39" s="1"/>
  <c r="J36" i="12"/>
  <c r="K36" i="12" s="1"/>
  <c r="D36" i="39"/>
  <c r="G36" i="39" s="1"/>
  <c r="H36" i="39" s="1"/>
  <c r="I36" i="39" s="1"/>
  <c r="J68" i="12"/>
  <c r="K68" i="12" s="1"/>
  <c r="D68" i="39"/>
  <c r="G68" i="39" s="1"/>
  <c r="H68" i="39" s="1"/>
  <c r="I68" i="39" s="1"/>
  <c r="J138" i="12"/>
  <c r="K138" i="12" s="1"/>
  <c r="D138" i="39"/>
  <c r="G138" i="39" s="1"/>
  <c r="H138" i="39" s="1"/>
  <c r="I138" i="39" s="1"/>
  <c r="J261" i="12"/>
  <c r="K261" i="12" s="1"/>
  <c r="D261" i="39"/>
  <c r="G261" i="39" s="1"/>
  <c r="H261" i="39" s="1"/>
  <c r="I261" i="39" s="1"/>
  <c r="J177" i="12"/>
  <c r="K177" i="12" s="1"/>
  <c r="D177" i="39"/>
  <c r="G177" i="39" s="1"/>
  <c r="H177" i="39" s="1"/>
  <c r="I177" i="39" s="1"/>
  <c r="J292" i="12"/>
  <c r="K292" i="12" s="1"/>
  <c r="D292" i="39"/>
  <c r="G292" i="39" s="1"/>
  <c r="H292" i="39" s="1"/>
  <c r="I292" i="39" s="1"/>
  <c r="J127" i="12"/>
  <c r="K127" i="12" s="1"/>
  <c r="D127" i="39"/>
  <c r="G127" i="39" s="1"/>
  <c r="H127" i="39" s="1"/>
  <c r="I127" i="39" s="1"/>
  <c r="J34" i="12"/>
  <c r="K34" i="12" s="1"/>
  <c r="D34" i="39"/>
  <c r="G34" i="39" s="1"/>
  <c r="H34" i="39" s="1"/>
  <c r="I34" i="39" s="1"/>
  <c r="J130" i="12"/>
  <c r="K130" i="12" s="1"/>
  <c r="D130" i="39"/>
  <c r="G130" i="39" s="1"/>
  <c r="H130" i="39" s="1"/>
  <c r="I130" i="39" s="1"/>
  <c r="J280" i="12"/>
  <c r="K280" i="12" s="1"/>
  <c r="D280" i="39"/>
  <c r="G280" i="39" s="1"/>
  <c r="H280" i="39" s="1"/>
  <c r="I280" i="39" s="1"/>
  <c r="J63" i="12"/>
  <c r="K63" i="12" s="1"/>
  <c r="D63" i="39"/>
  <c r="G63" i="39" s="1"/>
  <c r="H63" i="39" s="1"/>
  <c r="I63" i="39" s="1"/>
  <c r="J103" i="12"/>
  <c r="K103" i="12" s="1"/>
  <c r="D103" i="39"/>
  <c r="G103" i="39" s="1"/>
  <c r="H103" i="39" s="1"/>
  <c r="I103" i="39" s="1"/>
  <c r="J120" i="12"/>
  <c r="K120" i="12" s="1"/>
  <c r="D120" i="39"/>
  <c r="G120" i="39" s="1"/>
  <c r="H120" i="39" s="1"/>
  <c r="I120" i="39" s="1"/>
  <c r="J14" i="12"/>
  <c r="K14" i="12" s="1"/>
  <c r="D14" i="39"/>
  <c r="G14" i="39" s="1"/>
  <c r="H14" i="39" s="1"/>
  <c r="I14" i="39" s="1"/>
  <c r="J46" i="12"/>
  <c r="K46" i="12" s="1"/>
  <c r="D46" i="39"/>
  <c r="G46" i="39" s="1"/>
  <c r="H46" i="39" s="1"/>
  <c r="I46" i="39" s="1"/>
  <c r="J78" i="12"/>
  <c r="K78" i="12" s="1"/>
  <c r="D78" i="39"/>
  <c r="G78" i="39" s="1"/>
  <c r="H78" i="39" s="1"/>
  <c r="I78" i="39" s="1"/>
  <c r="J205" i="12"/>
  <c r="K205" i="12" s="1"/>
  <c r="D205" i="39"/>
  <c r="G205" i="39" s="1"/>
  <c r="H205" i="39" s="1"/>
  <c r="I205" i="39" s="1"/>
  <c r="J300" i="12"/>
  <c r="K300" i="12" s="1"/>
  <c r="D300" i="39"/>
  <c r="G300" i="39" s="1"/>
  <c r="H300" i="39" s="1"/>
  <c r="I300" i="39" s="1"/>
  <c r="J265" i="12"/>
  <c r="K265" i="12" s="1"/>
  <c r="D265" i="39"/>
  <c r="G265" i="39" s="1"/>
  <c r="H265" i="39" s="1"/>
  <c r="I265" i="39" s="1"/>
  <c r="J142" i="12"/>
  <c r="K142" i="12" s="1"/>
  <c r="D142" i="39"/>
  <c r="G142" i="39" s="1"/>
  <c r="H142" i="39" s="1"/>
  <c r="I142" i="39" s="1"/>
  <c r="J143" i="12"/>
  <c r="K143" i="12" s="1"/>
  <c r="D143" i="39"/>
  <c r="G143" i="39" s="1"/>
  <c r="H143" i="39" s="1"/>
  <c r="I143" i="39" s="1"/>
  <c r="J51" i="12"/>
  <c r="K51" i="12" s="1"/>
  <c r="D51" i="39"/>
  <c r="G51" i="39" s="1"/>
  <c r="H51" i="39" s="1"/>
  <c r="I51" i="39" s="1"/>
  <c r="J139" i="12"/>
  <c r="K139" i="12" s="1"/>
  <c r="D139" i="39"/>
  <c r="G139" i="39" s="1"/>
  <c r="H139" i="39" s="1"/>
  <c r="I139" i="39" s="1"/>
  <c r="J156" i="12"/>
  <c r="K156" i="12" s="1"/>
  <c r="D156" i="39"/>
  <c r="G156" i="39" s="1"/>
  <c r="H156" i="39" s="1"/>
  <c r="I156" i="39" s="1"/>
  <c r="J32" i="12"/>
  <c r="K32" i="12" s="1"/>
  <c r="D32" i="39"/>
  <c r="G32" i="39" s="1"/>
  <c r="H32" i="39" s="1"/>
  <c r="I32" i="39" s="1"/>
  <c r="J64" i="12"/>
  <c r="K64" i="12" s="1"/>
  <c r="D64" i="39"/>
  <c r="G64" i="39" s="1"/>
  <c r="H64" i="39" s="1"/>
  <c r="I64" i="39" s="1"/>
  <c r="J122" i="12"/>
  <c r="K122" i="12" s="1"/>
  <c r="D122" i="39"/>
  <c r="G122" i="39" s="1"/>
  <c r="H122" i="39" s="1"/>
  <c r="I122" i="39" s="1"/>
  <c r="J285" i="12"/>
  <c r="K285" i="12" s="1"/>
  <c r="D285" i="39"/>
  <c r="G285" i="39" s="1"/>
  <c r="H285" i="39" s="1"/>
  <c r="I285" i="39" s="1"/>
  <c r="J193" i="12"/>
  <c r="K193" i="12" s="1"/>
  <c r="D193" i="39"/>
  <c r="G193" i="39" s="1"/>
  <c r="H193" i="39" s="1"/>
  <c r="I193" i="39" s="1"/>
  <c r="J237" i="12"/>
  <c r="K237" i="12" s="1"/>
  <c r="D237" i="39"/>
  <c r="G237" i="39" s="1"/>
  <c r="H237" i="39" s="1"/>
  <c r="I237" i="39" s="1"/>
  <c r="J272" i="12"/>
  <c r="K272" i="12" s="1"/>
  <c r="D272" i="39"/>
  <c r="G272" i="39" s="1"/>
  <c r="H272" i="39" s="1"/>
  <c r="I272" i="39" s="1"/>
  <c r="J256" i="12"/>
  <c r="K256" i="12" s="1"/>
  <c r="D256" i="39"/>
  <c r="G256" i="39" s="1"/>
  <c r="H256" i="39" s="1"/>
  <c r="I256" i="39" s="1"/>
  <c r="J240" i="12"/>
  <c r="K240" i="12" s="1"/>
  <c r="D240" i="39"/>
  <c r="G240" i="39" s="1"/>
  <c r="H240" i="39" s="1"/>
  <c r="I240" i="39" s="1"/>
  <c r="J224" i="12"/>
  <c r="K224" i="12" s="1"/>
  <c r="D224" i="39"/>
  <c r="G224" i="39" s="1"/>
  <c r="H224" i="39" s="1"/>
  <c r="I224" i="39" s="1"/>
  <c r="J208" i="12"/>
  <c r="K208" i="12" s="1"/>
  <c r="D208" i="39"/>
  <c r="G208" i="39" s="1"/>
  <c r="H208" i="39" s="1"/>
  <c r="I208" i="39" s="1"/>
  <c r="J192" i="12"/>
  <c r="K192" i="12" s="1"/>
  <c r="D192" i="39"/>
  <c r="G192" i="39" s="1"/>
  <c r="H192" i="39" s="1"/>
  <c r="I192" i="39" s="1"/>
  <c r="D176" i="39"/>
  <c r="G176" i="39" s="1"/>
  <c r="H176" i="39" s="1"/>
  <c r="I176" i="39" s="1"/>
  <c r="J176" i="12"/>
  <c r="K176" i="12" s="1"/>
  <c r="J160" i="12"/>
  <c r="K160" i="12" s="1"/>
  <c r="D160" i="39"/>
  <c r="G160" i="39" s="1"/>
  <c r="H160" i="39" s="1"/>
  <c r="I160" i="39" s="1"/>
  <c r="J91" i="12"/>
  <c r="K91" i="12" s="1"/>
  <c r="D91" i="39"/>
  <c r="G91" i="39" s="1"/>
  <c r="H91" i="39" s="1"/>
  <c r="I91" i="39" s="1"/>
  <c r="J299" i="12"/>
  <c r="K299" i="12" s="1"/>
  <c r="D299" i="39"/>
  <c r="G299" i="39" s="1"/>
  <c r="H299" i="39" s="1"/>
  <c r="I299" i="39" s="1"/>
  <c r="J283" i="12"/>
  <c r="K283" i="12" s="1"/>
  <c r="D283" i="39"/>
  <c r="G283" i="39" s="1"/>
  <c r="H283" i="39" s="1"/>
  <c r="I283" i="39" s="1"/>
  <c r="J267" i="12"/>
  <c r="K267" i="12" s="1"/>
  <c r="D267" i="39"/>
  <c r="G267" i="39" s="1"/>
  <c r="H267" i="39" s="1"/>
  <c r="I267" i="39" s="1"/>
  <c r="J251" i="12"/>
  <c r="K251" i="12" s="1"/>
  <c r="D251" i="39"/>
  <c r="G251" i="39" s="1"/>
  <c r="H251" i="39" s="1"/>
  <c r="I251" i="39" s="1"/>
  <c r="J235" i="12"/>
  <c r="K235" i="12" s="1"/>
  <c r="D235" i="39"/>
  <c r="G235" i="39" s="1"/>
  <c r="H235" i="39" s="1"/>
  <c r="I235" i="39" s="1"/>
  <c r="J219" i="12"/>
  <c r="K219" i="12" s="1"/>
  <c r="D219" i="39"/>
  <c r="G219" i="39" s="1"/>
  <c r="H219" i="39" s="1"/>
  <c r="I219" i="39" s="1"/>
  <c r="J203" i="12"/>
  <c r="K203" i="12" s="1"/>
  <c r="D203" i="39"/>
  <c r="G203" i="39" s="1"/>
  <c r="H203" i="39" s="1"/>
  <c r="I203" i="39" s="1"/>
  <c r="J187" i="12"/>
  <c r="K187" i="12" s="1"/>
  <c r="D187" i="39"/>
  <c r="G187" i="39" s="1"/>
  <c r="H187" i="39" s="1"/>
  <c r="I187" i="39" s="1"/>
  <c r="J171" i="12"/>
  <c r="K171" i="12" s="1"/>
  <c r="D171" i="39"/>
  <c r="G171" i="39" s="1"/>
  <c r="H171" i="39" s="1"/>
  <c r="I171" i="39" s="1"/>
  <c r="J98" i="12"/>
  <c r="K98" i="12" s="1"/>
  <c r="D98" i="39"/>
  <c r="G98" i="39" s="1"/>
  <c r="H98" i="39" s="1"/>
  <c r="I98" i="39" s="1"/>
  <c r="J290" i="12"/>
  <c r="K290" i="12" s="1"/>
  <c r="D290" i="39"/>
  <c r="G290" i="39" s="1"/>
  <c r="H290" i="39" s="1"/>
  <c r="I290" i="39" s="1"/>
  <c r="J278" i="12"/>
  <c r="K278" i="12" s="1"/>
  <c r="D278" i="39"/>
  <c r="G278" i="39" s="1"/>
  <c r="H278" i="39" s="1"/>
  <c r="I278" i="39" s="1"/>
  <c r="J262" i="12"/>
  <c r="K262" i="12" s="1"/>
  <c r="D262" i="39"/>
  <c r="G262" i="39" s="1"/>
  <c r="H262" i="39" s="1"/>
  <c r="I262" i="39" s="1"/>
  <c r="J246" i="12"/>
  <c r="K246" i="12" s="1"/>
  <c r="D246" i="39"/>
  <c r="G246" i="39" s="1"/>
  <c r="H246" i="39" s="1"/>
  <c r="I246" i="39" s="1"/>
  <c r="J230" i="12"/>
  <c r="K230" i="12" s="1"/>
  <c r="D230" i="39"/>
  <c r="G230" i="39" s="1"/>
  <c r="H230" i="39" s="1"/>
  <c r="I230" i="39" s="1"/>
  <c r="J214" i="12"/>
  <c r="K214" i="12" s="1"/>
  <c r="D214" i="39"/>
  <c r="G214" i="39" s="1"/>
  <c r="H214" i="39" s="1"/>
  <c r="I214" i="39" s="1"/>
  <c r="J198" i="12"/>
  <c r="K198" i="12" s="1"/>
  <c r="D198" i="39"/>
  <c r="G198" i="39" s="1"/>
  <c r="H198" i="39" s="1"/>
  <c r="I198" i="39" s="1"/>
  <c r="J182" i="12"/>
  <c r="K182" i="12" s="1"/>
  <c r="D182" i="39"/>
  <c r="G182" i="39" s="1"/>
  <c r="H182" i="39" s="1"/>
  <c r="I182" i="39" s="1"/>
  <c r="J166" i="12"/>
  <c r="K166" i="12" s="1"/>
  <c r="D166" i="39"/>
  <c r="G166" i="39" s="1"/>
  <c r="H166" i="39" s="1"/>
  <c r="I166" i="39" s="1"/>
  <c r="J149" i="12"/>
  <c r="K149" i="12" s="1"/>
  <c r="D149" i="39"/>
  <c r="G149" i="39" s="1"/>
  <c r="H149" i="39" s="1"/>
  <c r="I149" i="39" s="1"/>
  <c r="J133" i="12"/>
  <c r="K133" i="12" s="1"/>
  <c r="D133" i="39"/>
  <c r="G133" i="39" s="1"/>
  <c r="H133" i="39" s="1"/>
  <c r="I133" i="39" s="1"/>
  <c r="J117" i="12"/>
  <c r="K117" i="12" s="1"/>
  <c r="D117" i="39"/>
  <c r="G117" i="39" s="1"/>
  <c r="H117" i="39" s="1"/>
  <c r="I117" i="39" s="1"/>
  <c r="J109" i="12"/>
  <c r="K109" i="12" s="1"/>
  <c r="D109" i="39"/>
  <c r="G109" i="39" s="1"/>
  <c r="H109" i="39" s="1"/>
  <c r="I109" i="39" s="1"/>
  <c r="J93" i="12"/>
  <c r="K93" i="12" s="1"/>
  <c r="D93" i="39"/>
  <c r="G93" i="39" s="1"/>
  <c r="H93" i="39" s="1"/>
  <c r="I93" i="39" s="1"/>
  <c r="J69" i="12"/>
  <c r="K69" i="12" s="1"/>
  <c r="D69" i="39"/>
  <c r="G69" i="39" s="1"/>
  <c r="H69" i="39" s="1"/>
  <c r="I69" i="39" s="1"/>
  <c r="J53" i="12"/>
  <c r="K53" i="12" s="1"/>
  <c r="D53" i="39"/>
  <c r="G53" i="39" s="1"/>
  <c r="H53" i="39" s="1"/>
  <c r="I53" i="39" s="1"/>
  <c r="J37" i="12"/>
  <c r="K37" i="12" s="1"/>
  <c r="D37" i="39"/>
  <c r="G37" i="39" s="1"/>
  <c r="H37" i="39" s="1"/>
  <c r="I37" i="39" s="1"/>
  <c r="J21" i="12"/>
  <c r="K21" i="12" s="1"/>
  <c r="D21" i="39"/>
  <c r="G21" i="39" s="1"/>
  <c r="H21" i="39" s="1"/>
  <c r="I21" i="39" s="1"/>
  <c r="J89" i="12"/>
  <c r="K89" i="12" s="1"/>
  <c r="D89" i="39"/>
  <c r="G89" i="39" s="1"/>
  <c r="H89" i="39" s="1"/>
  <c r="I89" i="39" s="1"/>
  <c r="J27" i="12"/>
  <c r="K27" i="12" s="1"/>
  <c r="D27" i="39"/>
  <c r="G27" i="39" s="1"/>
  <c r="H27" i="39" s="1"/>
  <c r="I27" i="39" s="1"/>
  <c r="J20" i="12"/>
  <c r="K20" i="12" s="1"/>
  <c r="D20" i="39"/>
  <c r="G20" i="39" s="1"/>
  <c r="H20" i="39" s="1"/>
  <c r="I20" i="39" s="1"/>
  <c r="J128" i="12"/>
  <c r="K128" i="12" s="1"/>
  <c r="D128" i="39"/>
  <c r="G128" i="39" s="1"/>
  <c r="H128" i="39" s="1"/>
  <c r="I128" i="39" s="1"/>
  <c r="J58" i="12"/>
  <c r="K58" i="12" s="1"/>
  <c r="D58" i="39"/>
  <c r="G58" i="39" s="1"/>
  <c r="H58" i="39" s="1"/>
  <c r="I58" i="39" s="1"/>
  <c r="J296" i="12"/>
  <c r="K296" i="12" s="1"/>
  <c r="D296" i="39"/>
  <c r="G296" i="39" s="1"/>
  <c r="H296" i="39" s="1"/>
  <c r="I296" i="39" s="1"/>
  <c r="J11" i="12"/>
  <c r="K11" i="12" s="1"/>
  <c r="D11" i="39"/>
  <c r="G11" i="39" s="1"/>
  <c r="H11" i="39" s="1"/>
  <c r="I11" i="39" s="1"/>
  <c r="J75" i="12"/>
  <c r="K75" i="12" s="1"/>
  <c r="D75" i="39"/>
  <c r="G75" i="39" s="1"/>
  <c r="H75" i="39" s="1"/>
  <c r="I75" i="39" s="1"/>
  <c r="J147" i="12"/>
  <c r="K147" i="12" s="1"/>
  <c r="D147" i="39"/>
  <c r="G147" i="39" s="1"/>
  <c r="H147" i="39" s="1"/>
  <c r="I147" i="39" s="1"/>
  <c r="J12" i="12"/>
  <c r="K12" i="12" s="1"/>
  <c r="D12" i="39"/>
  <c r="G12" i="39" s="1"/>
  <c r="H12" i="39" s="1"/>
  <c r="I12" i="39" s="1"/>
  <c r="J44" i="12"/>
  <c r="K44" i="12" s="1"/>
  <c r="D44" i="39"/>
  <c r="G44" i="39" s="1"/>
  <c r="H44" i="39" s="1"/>
  <c r="I44" i="39" s="1"/>
  <c r="J76" i="12"/>
  <c r="K76" i="12" s="1"/>
  <c r="D76" i="39"/>
  <c r="G76" i="39" s="1"/>
  <c r="H76" i="39" s="1"/>
  <c r="I76" i="39" s="1"/>
  <c r="J181" i="12"/>
  <c r="K181" i="12" s="1"/>
  <c r="D181" i="39"/>
  <c r="G181" i="39" s="1"/>
  <c r="H181" i="39" s="1"/>
  <c r="I181" i="39" s="1"/>
  <c r="J289" i="12"/>
  <c r="K289" i="12" s="1"/>
  <c r="D289" i="39"/>
  <c r="G289" i="39" s="1"/>
  <c r="H289" i="39" s="1"/>
  <c r="I289" i="39" s="1"/>
  <c r="J209" i="12"/>
  <c r="K209" i="12" s="1"/>
  <c r="D209" i="39"/>
  <c r="G209" i="39" s="1"/>
  <c r="H209" i="39" s="1"/>
  <c r="I209" i="39" s="1"/>
  <c r="J134" i="12"/>
  <c r="K134" i="12" s="1"/>
  <c r="D134" i="39"/>
  <c r="G134" i="39" s="1"/>
  <c r="H134" i="39" s="1"/>
  <c r="I134" i="39" s="1"/>
  <c r="J112" i="12"/>
  <c r="K112" i="12" s="1"/>
  <c r="D112" i="39"/>
  <c r="G112" i="39" s="1"/>
  <c r="H112" i="39" s="1"/>
  <c r="I112" i="39" s="1"/>
  <c r="J50" i="12"/>
  <c r="K50" i="12" s="1"/>
  <c r="D50" i="39"/>
  <c r="G50" i="39" s="1"/>
  <c r="H50" i="39" s="1"/>
  <c r="I50" i="39" s="1"/>
  <c r="J288" i="12"/>
  <c r="K288" i="12" s="1"/>
  <c r="D288" i="39"/>
  <c r="G288" i="39" s="1"/>
  <c r="H288" i="39" s="1"/>
  <c r="I288" i="39" s="1"/>
  <c r="J15" i="12"/>
  <c r="K15" i="12" s="1"/>
  <c r="D15" i="39"/>
  <c r="G15" i="39" s="1"/>
  <c r="H15" i="39" s="1"/>
  <c r="I15" i="39" s="1"/>
  <c r="J79" i="12"/>
  <c r="K79" i="12" s="1"/>
  <c r="D79" i="39"/>
  <c r="G79" i="39" s="1"/>
  <c r="H79" i="39" s="1"/>
  <c r="I79" i="39" s="1"/>
  <c r="J119" i="12"/>
  <c r="K119" i="12" s="1"/>
  <c r="D119" i="39"/>
  <c r="G119" i="39" s="1"/>
  <c r="H119" i="39" s="1"/>
  <c r="I119" i="39" s="1"/>
  <c r="J136" i="12"/>
  <c r="K136" i="12" s="1"/>
  <c r="D136" i="39"/>
  <c r="G136" i="39" s="1"/>
  <c r="H136" i="39" s="1"/>
  <c r="I136" i="39" s="1"/>
  <c r="J22" i="12"/>
  <c r="K22" i="12" s="1"/>
  <c r="D22" i="39"/>
  <c r="G22" i="39" s="1"/>
  <c r="H22" i="39" s="1"/>
  <c r="I22" i="39" s="1"/>
  <c r="J54" i="12"/>
  <c r="K54" i="12" s="1"/>
  <c r="D54" i="39"/>
  <c r="G54" i="39" s="1"/>
  <c r="H54" i="39" s="1"/>
  <c r="I54" i="39" s="1"/>
  <c r="J88" i="12"/>
  <c r="K88" i="12" s="1"/>
  <c r="D88" i="39"/>
  <c r="G88" i="39" s="1"/>
  <c r="H88" i="39" s="1"/>
  <c r="I88" i="39" s="1"/>
  <c r="J229" i="12"/>
  <c r="K229" i="12" s="1"/>
  <c r="D229" i="39"/>
  <c r="G229" i="39" s="1"/>
  <c r="H229" i="39" s="1"/>
  <c r="I229" i="39" s="1"/>
  <c r="J169" i="12"/>
  <c r="K169" i="12" s="1"/>
  <c r="D169" i="39"/>
  <c r="G169" i="39" s="1"/>
  <c r="H169" i="39" s="1"/>
  <c r="I169" i="39" s="1"/>
  <c r="J165" i="12"/>
  <c r="K165" i="12" s="1"/>
  <c r="D165" i="39"/>
  <c r="G165" i="39" s="1"/>
  <c r="H165" i="39" s="1"/>
  <c r="I165" i="39" s="1"/>
  <c r="J7" i="12"/>
  <c r="K7" i="12" s="1"/>
  <c r="D7" i="39"/>
  <c r="G7" i="39" s="1"/>
  <c r="H7" i="39" s="1"/>
  <c r="I7" i="39" s="1"/>
  <c r="J10" i="12"/>
  <c r="K10" i="12" s="1"/>
  <c r="D10" i="39"/>
  <c r="G10" i="39" s="1"/>
  <c r="H10" i="39" s="1"/>
  <c r="I10" i="39" s="1"/>
  <c r="J67" i="12"/>
  <c r="K67" i="12" s="1"/>
  <c r="D67" i="39"/>
  <c r="G67" i="39" s="1"/>
  <c r="H67" i="39" s="1"/>
  <c r="I67" i="39" s="1"/>
  <c r="J155" i="12"/>
  <c r="K155" i="12" s="1"/>
  <c r="D155" i="39"/>
  <c r="G155" i="39" s="1"/>
  <c r="H155" i="39" s="1"/>
  <c r="I155" i="39" s="1"/>
  <c r="J8" i="12"/>
  <c r="K8" i="12" s="1"/>
  <c r="D8" i="39"/>
  <c r="G8" i="39" s="1"/>
  <c r="H8" i="39" s="1"/>
  <c r="I8" i="39" s="1"/>
  <c r="J40" i="12"/>
  <c r="K40" i="12" s="1"/>
  <c r="D40" i="39"/>
  <c r="G40" i="39" s="1"/>
  <c r="H40" i="39" s="1"/>
  <c r="I40" i="39" s="1"/>
  <c r="J72" i="12"/>
  <c r="K72" i="12" s="1"/>
  <c r="D72" i="39"/>
  <c r="G72" i="39" s="1"/>
  <c r="H72" i="39" s="1"/>
  <c r="I72" i="39" s="1"/>
  <c r="J154" i="12"/>
  <c r="K154" i="12" s="1"/>
  <c r="D154" i="39"/>
  <c r="G154" i="39" s="1"/>
  <c r="H154" i="39" s="1"/>
  <c r="I154" i="39" s="1"/>
  <c r="J293" i="12"/>
  <c r="K293" i="12" s="1"/>
  <c r="D293" i="39"/>
  <c r="G293" i="39" s="1"/>
  <c r="H293" i="39" s="1"/>
  <c r="I293" i="39" s="1"/>
  <c r="J225" i="12"/>
  <c r="K225" i="12" s="1"/>
  <c r="D225" i="39"/>
  <c r="G225" i="39" s="1"/>
  <c r="H225" i="39" s="1"/>
  <c r="I225" i="39" s="1"/>
  <c r="J118" i="12"/>
  <c r="K118" i="12" s="1"/>
  <c r="D118" i="39"/>
  <c r="G118" i="39" s="1"/>
  <c r="H118" i="39" s="1"/>
  <c r="I118" i="39" s="1"/>
  <c r="J271" i="12"/>
  <c r="K271" i="12" s="1"/>
  <c r="D271" i="39"/>
  <c r="G271" i="39" s="1"/>
  <c r="H271" i="39" s="1"/>
  <c r="I271" i="39" s="1"/>
  <c r="J255" i="12"/>
  <c r="K255" i="12" s="1"/>
  <c r="D255" i="39"/>
  <c r="G255" i="39" s="1"/>
  <c r="H255" i="39" s="1"/>
  <c r="I255" i="39" s="1"/>
  <c r="J239" i="12"/>
  <c r="K239" i="12" s="1"/>
  <c r="D239" i="39"/>
  <c r="G239" i="39" s="1"/>
  <c r="H239" i="39" s="1"/>
  <c r="I239" i="39" s="1"/>
  <c r="J223" i="12"/>
  <c r="K223" i="12" s="1"/>
  <c r="D223" i="39"/>
  <c r="G223" i="39" s="1"/>
  <c r="H223" i="39" s="1"/>
  <c r="I223" i="39" s="1"/>
  <c r="J207" i="12"/>
  <c r="K207" i="12" s="1"/>
  <c r="D207" i="39"/>
  <c r="G207" i="39" s="1"/>
  <c r="H207" i="39" s="1"/>
  <c r="I207" i="39" s="1"/>
  <c r="J191" i="12"/>
  <c r="K191" i="12" s="1"/>
  <c r="D191" i="39"/>
  <c r="G191" i="39" s="1"/>
  <c r="H191" i="39" s="1"/>
  <c r="I191" i="39" s="1"/>
  <c r="J175" i="12"/>
  <c r="K175" i="12" s="1"/>
  <c r="D175" i="39"/>
  <c r="G175" i="39" s="1"/>
  <c r="H175" i="39" s="1"/>
  <c r="I175" i="39" s="1"/>
  <c r="J159" i="12"/>
  <c r="K159" i="12" s="1"/>
  <c r="D159" i="39"/>
  <c r="G159" i="39" s="1"/>
  <c r="H159" i="39" s="1"/>
  <c r="I159" i="39" s="1"/>
  <c r="J90" i="12"/>
  <c r="K90" i="12" s="1"/>
  <c r="D90" i="39"/>
  <c r="G90" i="39" s="1"/>
  <c r="H90" i="39" s="1"/>
  <c r="I90" i="39" s="1"/>
  <c r="J295" i="12"/>
  <c r="K295" i="12" s="1"/>
  <c r="D295" i="39"/>
  <c r="G295" i="39" s="1"/>
  <c r="H295" i="39" s="1"/>
  <c r="I295" i="39" s="1"/>
  <c r="J276" i="12"/>
  <c r="K276" i="12" s="1"/>
  <c r="D276" i="39"/>
  <c r="G276" i="39" s="1"/>
  <c r="H276" i="39" s="1"/>
  <c r="I276" i="39" s="1"/>
  <c r="J260" i="12"/>
  <c r="K260" i="12" s="1"/>
  <c r="D260" i="39"/>
  <c r="G260" i="39" s="1"/>
  <c r="H260" i="39" s="1"/>
  <c r="I260" i="39" s="1"/>
  <c r="J244" i="12"/>
  <c r="K244" i="12" s="1"/>
  <c r="D244" i="39"/>
  <c r="G244" i="39" s="1"/>
  <c r="H244" i="39" s="1"/>
  <c r="I244" i="39" s="1"/>
  <c r="J228" i="12"/>
  <c r="K228" i="12" s="1"/>
  <c r="D228" i="39"/>
  <c r="G228" i="39" s="1"/>
  <c r="H228" i="39" s="1"/>
  <c r="I228" i="39" s="1"/>
  <c r="J212" i="12"/>
  <c r="K212" i="12" s="1"/>
  <c r="D212" i="39"/>
  <c r="G212" i="39" s="1"/>
  <c r="H212" i="39" s="1"/>
  <c r="I212" i="39" s="1"/>
  <c r="J196" i="12"/>
  <c r="K196" i="12" s="1"/>
  <c r="D196" i="39"/>
  <c r="G196" i="39" s="1"/>
  <c r="H196" i="39" s="1"/>
  <c r="I196" i="39" s="1"/>
  <c r="J180" i="12"/>
  <c r="K180" i="12" s="1"/>
  <c r="D180" i="39"/>
  <c r="G180" i="39" s="1"/>
  <c r="H180" i="39" s="1"/>
  <c r="I180" i="39" s="1"/>
  <c r="J164" i="12"/>
  <c r="K164" i="12" s="1"/>
  <c r="D164" i="39"/>
  <c r="G164" i="39" s="1"/>
  <c r="H164" i="39" s="1"/>
  <c r="I164" i="39" s="1"/>
  <c r="J302" i="12"/>
  <c r="K302" i="12" s="1"/>
  <c r="D302" i="39"/>
  <c r="G302" i="39" s="1"/>
  <c r="H302" i="39" s="1"/>
  <c r="I302" i="39" s="1"/>
  <c r="J286" i="12"/>
  <c r="K286" i="12" s="1"/>
  <c r="D286" i="39"/>
  <c r="G286" i="39" s="1"/>
  <c r="H286" i="39" s="1"/>
  <c r="I286" i="39" s="1"/>
  <c r="J274" i="12"/>
  <c r="K274" i="12" s="1"/>
  <c r="D274" i="39"/>
  <c r="G274" i="39" s="1"/>
  <c r="H274" i="39" s="1"/>
  <c r="I274" i="39" s="1"/>
  <c r="J258" i="12"/>
  <c r="K258" i="12" s="1"/>
  <c r="D258" i="39"/>
  <c r="G258" i="39" s="1"/>
  <c r="H258" i="39" s="1"/>
  <c r="I258" i="39" s="1"/>
  <c r="J242" i="12"/>
  <c r="K242" i="12" s="1"/>
  <c r="D242" i="39"/>
  <c r="G242" i="39" s="1"/>
  <c r="H242" i="39" s="1"/>
  <c r="I242" i="39" s="1"/>
  <c r="J226" i="12"/>
  <c r="K226" i="12" s="1"/>
  <c r="D226" i="39"/>
  <c r="G226" i="39" s="1"/>
  <c r="H226" i="39" s="1"/>
  <c r="I226" i="39" s="1"/>
  <c r="J210" i="12"/>
  <c r="K210" i="12" s="1"/>
  <c r="D210" i="39"/>
  <c r="G210" i="39" s="1"/>
  <c r="H210" i="39" s="1"/>
  <c r="I210" i="39" s="1"/>
  <c r="J194" i="12"/>
  <c r="K194" i="12" s="1"/>
  <c r="D194" i="39"/>
  <c r="G194" i="39" s="1"/>
  <c r="H194" i="39" s="1"/>
  <c r="I194" i="39" s="1"/>
  <c r="J178" i="12"/>
  <c r="K178" i="12" s="1"/>
  <c r="D178" i="39"/>
  <c r="G178" i="39" s="1"/>
  <c r="H178" i="39" s="1"/>
  <c r="I178" i="39" s="1"/>
  <c r="J162" i="12"/>
  <c r="K162" i="12" s="1"/>
  <c r="D162" i="39"/>
  <c r="G162" i="39" s="1"/>
  <c r="H162" i="39" s="1"/>
  <c r="I162" i="39" s="1"/>
  <c r="J145" i="12"/>
  <c r="K145" i="12" s="1"/>
  <c r="D145" i="39"/>
  <c r="G145" i="39" s="1"/>
  <c r="H145" i="39" s="1"/>
  <c r="I145" i="39" s="1"/>
  <c r="J129" i="12"/>
  <c r="K129" i="12" s="1"/>
  <c r="D129" i="39"/>
  <c r="G129" i="39" s="1"/>
  <c r="H129" i="39" s="1"/>
  <c r="I129" i="39" s="1"/>
  <c r="J113" i="12"/>
  <c r="K113" i="12" s="1"/>
  <c r="D113" i="39"/>
  <c r="G113" i="39" s="1"/>
  <c r="H113" i="39" s="1"/>
  <c r="I113" i="39" s="1"/>
  <c r="J105" i="12"/>
  <c r="K105" i="12" s="1"/>
  <c r="D105" i="39"/>
  <c r="G105" i="39" s="1"/>
  <c r="H105" i="39" s="1"/>
  <c r="I105" i="39" s="1"/>
  <c r="J81" i="12"/>
  <c r="K81" i="12" s="1"/>
  <c r="D81" i="39"/>
  <c r="G81" i="39" s="1"/>
  <c r="H81" i="39" s="1"/>
  <c r="I81" i="39" s="1"/>
  <c r="J65" i="12"/>
  <c r="K65" i="12" s="1"/>
  <c r="D65" i="39"/>
  <c r="G65" i="39" s="1"/>
  <c r="H65" i="39" s="1"/>
  <c r="I65" i="39" s="1"/>
  <c r="J49" i="12"/>
  <c r="K49" i="12" s="1"/>
  <c r="D49" i="39"/>
  <c r="G49" i="39" s="1"/>
  <c r="H49" i="39" s="1"/>
  <c r="I49" i="39" s="1"/>
  <c r="J33" i="12"/>
  <c r="K33" i="12" s="1"/>
  <c r="D33" i="39"/>
  <c r="G33" i="39" s="1"/>
  <c r="H33" i="39" s="1"/>
  <c r="I33" i="39" s="1"/>
  <c r="J17" i="12"/>
  <c r="K17" i="12" s="1"/>
  <c r="D17" i="39"/>
  <c r="G17" i="39" s="1"/>
  <c r="H17" i="39" s="1"/>
  <c r="I17" i="39" s="1"/>
  <c r="J85" i="12"/>
  <c r="K85" i="12" s="1"/>
  <c r="D85" i="39"/>
  <c r="G85" i="39" s="1"/>
  <c r="H85" i="39" s="1"/>
  <c r="I85" i="39" s="1"/>
  <c r="H6" i="12"/>
  <c r="I6" i="12" s="1"/>
  <c r="D6" i="39" s="1"/>
  <c r="J306" i="12"/>
  <c r="G19" i="13" l="1"/>
  <c r="G269" i="13"/>
  <c r="G152" i="13"/>
  <c r="G43" i="13"/>
  <c r="G241" i="13"/>
  <c r="G74" i="13"/>
  <c r="G190" i="13"/>
  <c r="G291" i="13"/>
  <c r="G184" i="13"/>
  <c r="G16" i="13"/>
  <c r="G169" i="13"/>
  <c r="G122" i="13"/>
  <c r="G66" i="13"/>
  <c r="G153" i="13"/>
  <c r="G55" i="13"/>
  <c r="G114" i="13"/>
  <c r="G26" i="13"/>
  <c r="G106" i="13"/>
  <c r="G83" i="13"/>
  <c r="G30" i="13"/>
  <c r="G186" i="13"/>
  <c r="G183" i="13"/>
  <c r="G132" i="13"/>
  <c r="G31" i="13"/>
  <c r="G238" i="13"/>
  <c r="G234" i="13"/>
  <c r="G298" i="13"/>
  <c r="G267" i="13"/>
  <c r="G137" i="13"/>
  <c r="G294" i="13"/>
  <c r="G189" i="13"/>
  <c r="G210" i="13"/>
  <c r="G229" i="13"/>
  <c r="G54" i="13"/>
  <c r="G79" i="13"/>
  <c r="G162" i="13"/>
  <c r="G44" i="13"/>
  <c r="G147" i="13"/>
  <c r="G11" i="13"/>
  <c r="G90" i="13"/>
  <c r="G175" i="13"/>
  <c r="G239" i="13"/>
  <c r="G10" i="13"/>
  <c r="G7" i="13"/>
  <c r="G20" i="13"/>
  <c r="G69" i="13"/>
  <c r="G133" i="13"/>
  <c r="G290" i="13"/>
  <c r="G203" i="13"/>
  <c r="G299" i="13"/>
  <c r="G192" i="13"/>
  <c r="G224" i="13"/>
  <c r="G256" i="13"/>
  <c r="G237" i="13"/>
  <c r="G285" i="13"/>
  <c r="G300" i="13"/>
  <c r="G78" i="13"/>
  <c r="G14" i="13"/>
  <c r="G148" i="13"/>
  <c r="G197" i="13"/>
  <c r="G9" i="13"/>
  <c r="G27" i="13"/>
  <c r="G21" i="13"/>
  <c r="G98" i="13"/>
  <c r="G172" i="13"/>
  <c r="G204" i="13"/>
  <c r="G236" i="13"/>
  <c r="G268" i="13"/>
  <c r="G56" i="13"/>
  <c r="G140" i="13"/>
  <c r="G35" i="13"/>
  <c r="G217" i="13"/>
  <c r="G18" i="13"/>
  <c r="G273" i="13"/>
  <c r="G64" i="13"/>
  <c r="G131" i="13"/>
  <c r="G126" i="13"/>
  <c r="G94" i="13"/>
  <c r="G167" i="13"/>
  <c r="H167" i="13" s="1"/>
  <c r="G231" i="13"/>
  <c r="G28" i="13"/>
  <c r="G104" i="13"/>
  <c r="G211" i="13"/>
  <c r="G17" i="13"/>
  <c r="G113" i="13"/>
  <c r="G242" i="13"/>
  <c r="G274" i="13"/>
  <c r="G112" i="13"/>
  <c r="G209" i="13"/>
  <c r="G280" i="13"/>
  <c r="G292" i="13"/>
  <c r="G57" i="13"/>
  <c r="G284" i="13"/>
  <c r="G281" i="13"/>
  <c r="G77" i="13"/>
  <c r="G174" i="13"/>
  <c r="G33" i="13"/>
  <c r="G65" i="13"/>
  <c r="G271" i="13"/>
  <c r="G225" i="13"/>
  <c r="G40" i="13"/>
  <c r="G166" i="13"/>
  <c r="G198" i="13"/>
  <c r="G230" i="13"/>
  <c r="G176" i="13"/>
  <c r="G304" i="13"/>
  <c r="G84" i="13"/>
  <c r="G41" i="13"/>
  <c r="G73" i="13"/>
  <c r="G252" i="13"/>
  <c r="G61" i="13"/>
  <c r="G125" i="13"/>
  <c r="G302" i="13"/>
  <c r="G212" i="13"/>
  <c r="G244" i="13"/>
  <c r="G276" i="13"/>
  <c r="G159" i="13"/>
  <c r="G191" i="13"/>
  <c r="G155" i="13"/>
  <c r="G288" i="13"/>
  <c r="G134" i="13"/>
  <c r="G289" i="13"/>
  <c r="G58" i="13"/>
  <c r="G93" i="13"/>
  <c r="G262" i="13"/>
  <c r="G219" i="13"/>
  <c r="G32" i="13"/>
  <c r="G103" i="13"/>
  <c r="G138" i="13"/>
  <c r="G111" i="13"/>
  <c r="G116" i="13"/>
  <c r="G102" i="13"/>
  <c r="G250" i="13"/>
  <c r="G303" i="13"/>
  <c r="G247" i="13"/>
  <c r="G279" i="13"/>
  <c r="G277" i="13"/>
  <c r="G60" i="13"/>
  <c r="G135" i="13"/>
  <c r="G101" i="13"/>
  <c r="G270" i="13"/>
  <c r="G243" i="13"/>
  <c r="G86" i="13"/>
  <c r="G168" i="13"/>
  <c r="G232" i="13"/>
  <c r="G257" i="13"/>
  <c r="G49" i="13"/>
  <c r="G81" i="13"/>
  <c r="G226" i="13"/>
  <c r="G255" i="13"/>
  <c r="G118" i="13"/>
  <c r="G165" i="13"/>
  <c r="G88" i="13"/>
  <c r="G12" i="13"/>
  <c r="G89" i="13"/>
  <c r="G37" i="13"/>
  <c r="G149" i="13"/>
  <c r="G182" i="13"/>
  <c r="G171" i="13"/>
  <c r="G283" i="13"/>
  <c r="G208" i="13"/>
  <c r="G272" i="13"/>
  <c r="G205" i="13"/>
  <c r="G34" i="13"/>
  <c r="G39" i="13"/>
  <c r="G25" i="13"/>
  <c r="G170" i="13"/>
  <c r="G202" i="13"/>
  <c r="G282" i="13"/>
  <c r="G188" i="13"/>
  <c r="G199" i="13"/>
  <c r="G24" i="13"/>
  <c r="G70" i="13"/>
  <c r="G82" i="13"/>
  <c r="G23" i="13"/>
  <c r="G45" i="13"/>
  <c r="G254" i="13"/>
  <c r="G163" i="13"/>
  <c r="G227" i="13"/>
  <c r="G145" i="13"/>
  <c r="G286" i="13"/>
  <c r="G196" i="13"/>
  <c r="G260" i="13"/>
  <c r="G207" i="13"/>
  <c r="G8" i="13"/>
  <c r="G15" i="13"/>
  <c r="G181" i="13"/>
  <c r="G109" i="13"/>
  <c r="G246" i="13"/>
  <c r="G235" i="13"/>
  <c r="G156" i="13"/>
  <c r="G261" i="13"/>
  <c r="G68" i="13"/>
  <c r="G42" i="13"/>
  <c r="G185" i="13"/>
  <c r="G97" i="13"/>
  <c r="G266" i="13"/>
  <c r="G287" i="13"/>
  <c r="G263" i="13"/>
  <c r="G173" i="13"/>
  <c r="G213" i="13"/>
  <c r="G100" i="13"/>
  <c r="G108" i="13"/>
  <c r="G305" i="13"/>
  <c r="G99" i="13"/>
  <c r="G87" i="13"/>
  <c r="G248" i="13"/>
  <c r="G301" i="13"/>
  <c r="H301" i="13" s="1"/>
  <c r="G253" i="13"/>
  <c r="G85" i="13"/>
  <c r="G129" i="13"/>
  <c r="G194" i="13"/>
  <c r="G164" i="13"/>
  <c r="G154" i="13"/>
  <c r="G67" i="13"/>
  <c r="G22" i="13"/>
  <c r="G119" i="13"/>
  <c r="G75" i="13"/>
  <c r="G53" i="13"/>
  <c r="G214" i="13"/>
  <c r="G187" i="13"/>
  <c r="G91" i="13"/>
  <c r="G240" i="13"/>
  <c r="G193" i="13"/>
  <c r="G139" i="13"/>
  <c r="G143" i="13"/>
  <c r="G265" i="13"/>
  <c r="G120" i="13"/>
  <c r="G63" i="13"/>
  <c r="G177" i="13"/>
  <c r="G297" i="13"/>
  <c r="G218" i="13"/>
  <c r="G95" i="13"/>
  <c r="G123" i="13"/>
  <c r="G146" i="13"/>
  <c r="G38" i="13"/>
  <c r="G71" i="13"/>
  <c r="G245" i="13"/>
  <c r="G249" i="13"/>
  <c r="G144" i="13"/>
  <c r="G52" i="13"/>
  <c r="G13" i="13"/>
  <c r="G110" i="13"/>
  <c r="G158" i="13"/>
  <c r="G206" i="13"/>
  <c r="G195" i="13"/>
  <c r="G259" i="13"/>
  <c r="G200" i="13"/>
  <c r="G150" i="13"/>
  <c r="G80" i="13"/>
  <c r="G124" i="13"/>
  <c r="G105" i="13"/>
  <c r="G178" i="13"/>
  <c r="G258" i="13"/>
  <c r="G180" i="13"/>
  <c r="G228" i="13"/>
  <c r="G295" i="13"/>
  <c r="G223" i="13"/>
  <c r="G293" i="13"/>
  <c r="G72" i="13"/>
  <c r="G136" i="13"/>
  <c r="G50" i="13"/>
  <c r="G76" i="13"/>
  <c r="G296" i="13"/>
  <c r="G128" i="13"/>
  <c r="G117" i="13"/>
  <c r="G278" i="13"/>
  <c r="G251" i="13"/>
  <c r="G160" i="13"/>
  <c r="G51" i="13"/>
  <c r="G142" i="13"/>
  <c r="G46" i="13"/>
  <c r="G130" i="13"/>
  <c r="G127" i="13"/>
  <c r="G36" i="13"/>
  <c r="G59" i="13"/>
  <c r="G107" i="13"/>
  <c r="G121" i="13"/>
  <c r="G157" i="13"/>
  <c r="G220" i="13"/>
  <c r="G215" i="13"/>
  <c r="G161" i="13"/>
  <c r="G92" i="13"/>
  <c r="G233" i="13"/>
  <c r="G151" i="13"/>
  <c r="G47" i="13"/>
  <c r="G115" i="13"/>
  <c r="G96" i="13"/>
  <c r="G221" i="13"/>
  <c r="G29" i="13"/>
  <c r="G141" i="13"/>
  <c r="G222" i="13"/>
  <c r="G179" i="13"/>
  <c r="G275" i="13"/>
  <c r="G216" i="13"/>
  <c r="G264" i="13"/>
  <c r="G48" i="13"/>
  <c r="G201" i="13"/>
  <c r="G62" i="13"/>
  <c r="J6" i="12"/>
  <c r="K6" i="12" s="1"/>
  <c r="E37" i="48" s="1"/>
  <c r="H121" i="13" l="1"/>
  <c r="I121" i="13" s="1"/>
  <c r="J121" i="13" s="1"/>
  <c r="H127" i="34" s="1"/>
  <c r="I127" i="34" s="1"/>
  <c r="K127" i="34" s="1"/>
  <c r="F120" i="25" s="1"/>
  <c r="I120" i="25" s="1"/>
  <c r="H91" i="13"/>
  <c r="I91" i="13" s="1"/>
  <c r="J91" i="13" s="1"/>
  <c r="H97" i="34" s="1"/>
  <c r="I97" i="34" s="1"/>
  <c r="K97" i="34" s="1"/>
  <c r="F90" i="25" s="1"/>
  <c r="I90" i="25" s="1"/>
  <c r="H25" i="13"/>
  <c r="I25" i="13" s="1"/>
  <c r="J25" i="13" s="1"/>
  <c r="H31" i="34" s="1"/>
  <c r="I31" i="34" s="1"/>
  <c r="K31" i="34" s="1"/>
  <c r="F24" i="25" s="1"/>
  <c r="I24" i="25" s="1"/>
  <c r="H219" i="13"/>
  <c r="I219" i="13" s="1"/>
  <c r="J219" i="13" s="1"/>
  <c r="H225" i="34" s="1"/>
  <c r="I225" i="34" s="1"/>
  <c r="K225" i="34" s="1"/>
  <c r="F218" i="25" s="1"/>
  <c r="I218" i="25" s="1"/>
  <c r="H281" i="13"/>
  <c r="I281" i="13" s="1"/>
  <c r="J281" i="13" s="1"/>
  <c r="H287" i="34" s="1"/>
  <c r="I287" i="34" s="1"/>
  <c r="K287" i="34" s="1"/>
  <c r="F280" i="25" s="1"/>
  <c r="I280" i="25" s="1"/>
  <c r="H69" i="13"/>
  <c r="I69" i="13" s="1"/>
  <c r="J69" i="13" s="1"/>
  <c r="H75" i="34" s="1"/>
  <c r="I75" i="34" s="1"/>
  <c r="K75" i="34" s="1"/>
  <c r="F68" i="25" s="1"/>
  <c r="I68" i="25" s="1"/>
  <c r="H153" i="13"/>
  <c r="I153" i="13" s="1"/>
  <c r="J153" i="13" s="1"/>
  <c r="H159" i="34" s="1"/>
  <c r="I159" i="34" s="1"/>
  <c r="K159" i="34" s="1"/>
  <c r="F152" i="25" s="1"/>
  <c r="I152" i="25" s="1"/>
  <c r="H179" i="13"/>
  <c r="I179" i="13" s="1"/>
  <c r="J179" i="13" s="1"/>
  <c r="H185" i="34" s="1"/>
  <c r="I185" i="34" s="1"/>
  <c r="K185" i="34" s="1"/>
  <c r="F178" i="25" s="1"/>
  <c r="I178" i="25" s="1"/>
  <c r="H151" i="13"/>
  <c r="I151" i="13" s="1"/>
  <c r="J151" i="13" s="1"/>
  <c r="H157" i="34" s="1"/>
  <c r="I157" i="34" s="1"/>
  <c r="K157" i="34" s="1"/>
  <c r="F150" i="25" s="1"/>
  <c r="I150" i="25" s="1"/>
  <c r="H107" i="13"/>
  <c r="I107" i="13" s="1"/>
  <c r="J107" i="13" s="1"/>
  <c r="H113" i="34" s="1"/>
  <c r="I113" i="34" s="1"/>
  <c r="K113" i="34" s="1"/>
  <c r="F106" i="25" s="1"/>
  <c r="I106" i="25" s="1"/>
  <c r="H160" i="13"/>
  <c r="I160" i="13" s="1"/>
  <c r="J160" i="13" s="1"/>
  <c r="H166" i="34" s="1"/>
  <c r="I166" i="34" s="1"/>
  <c r="K166" i="34" s="1"/>
  <c r="F159" i="25" s="1"/>
  <c r="I159" i="25" s="1"/>
  <c r="H136" i="13"/>
  <c r="I136" i="13" s="1"/>
  <c r="J136" i="13" s="1"/>
  <c r="H142" i="34" s="1"/>
  <c r="I142" i="34" s="1"/>
  <c r="K142" i="34" s="1"/>
  <c r="F135" i="25" s="1"/>
  <c r="H178" i="13"/>
  <c r="I178" i="13" s="1"/>
  <c r="J178" i="13" s="1"/>
  <c r="H184" i="34" s="1"/>
  <c r="I184" i="34" s="1"/>
  <c r="K184" i="34" s="1"/>
  <c r="F177" i="25" s="1"/>
  <c r="I177" i="25" s="1"/>
  <c r="H206" i="13"/>
  <c r="I206" i="13" s="1"/>
  <c r="J206" i="13" s="1"/>
  <c r="H212" i="34" s="1"/>
  <c r="I212" i="34" s="1"/>
  <c r="K212" i="34" s="1"/>
  <c r="F205" i="25" s="1"/>
  <c r="I205" i="25" s="1"/>
  <c r="H71" i="13"/>
  <c r="I71" i="13" s="1"/>
  <c r="J71" i="13" s="1"/>
  <c r="H77" i="34" s="1"/>
  <c r="I77" i="34" s="1"/>
  <c r="K77" i="34" s="1"/>
  <c r="F70" i="25" s="1"/>
  <c r="I70" i="25" s="1"/>
  <c r="H63" i="13"/>
  <c r="I63" i="13" s="1"/>
  <c r="J63" i="13" s="1"/>
  <c r="H69" i="34" s="1"/>
  <c r="I69" i="34" s="1"/>
  <c r="K69" i="34" s="1"/>
  <c r="F62" i="25" s="1"/>
  <c r="I62" i="25" s="1"/>
  <c r="H187" i="13"/>
  <c r="I187" i="13" s="1"/>
  <c r="J187" i="13" s="1"/>
  <c r="H193" i="34" s="1"/>
  <c r="I193" i="34" s="1"/>
  <c r="K193" i="34" s="1"/>
  <c r="F186" i="25" s="1"/>
  <c r="I186" i="25" s="1"/>
  <c r="H164" i="13"/>
  <c r="I164" i="13" s="1"/>
  <c r="J164" i="13" s="1"/>
  <c r="H170" i="34" s="1"/>
  <c r="I170" i="34" s="1"/>
  <c r="K170" i="34" s="1"/>
  <c r="F163" i="25" s="1"/>
  <c r="I163" i="25" s="1"/>
  <c r="H99" i="13"/>
  <c r="I99" i="13" s="1"/>
  <c r="J99" i="13" s="1"/>
  <c r="H105" i="34" s="1"/>
  <c r="I105" i="34" s="1"/>
  <c r="K105" i="34" s="1"/>
  <c r="F98" i="25" s="1"/>
  <c r="I98" i="25" s="1"/>
  <c r="H266" i="13"/>
  <c r="I266" i="13" s="1"/>
  <c r="J266" i="13" s="1"/>
  <c r="H272" i="34" s="1"/>
  <c r="I272" i="34" s="1"/>
  <c r="K272" i="34" s="1"/>
  <c r="F265" i="25" s="1"/>
  <c r="I265" i="25" s="1"/>
  <c r="H246" i="13"/>
  <c r="I246" i="13" s="1"/>
  <c r="J246" i="13" s="1"/>
  <c r="H252" i="34" s="1"/>
  <c r="I252" i="34" s="1"/>
  <c r="K252" i="34" s="1"/>
  <c r="F245" i="25" s="1"/>
  <c r="I245" i="25" s="1"/>
  <c r="H286" i="13"/>
  <c r="I286" i="13" s="1"/>
  <c r="J286" i="13" s="1"/>
  <c r="H292" i="34" s="1"/>
  <c r="I292" i="34" s="1"/>
  <c r="K292" i="34" s="1"/>
  <c r="F285" i="25" s="1"/>
  <c r="I285" i="25" s="1"/>
  <c r="H70" i="13"/>
  <c r="I70" i="13" s="1"/>
  <c r="J70" i="13" s="1"/>
  <c r="H76" i="34" s="1"/>
  <c r="I76" i="34" s="1"/>
  <c r="K76" i="34" s="1"/>
  <c r="F69" i="25" s="1"/>
  <c r="I69" i="25" s="1"/>
  <c r="H39" i="13"/>
  <c r="I39" i="13" s="1"/>
  <c r="J39" i="13" s="1"/>
  <c r="H45" i="34" s="1"/>
  <c r="I45" i="34" s="1"/>
  <c r="K45" i="34" s="1"/>
  <c r="F38" i="25" s="1"/>
  <c r="I38" i="25" s="1"/>
  <c r="H149" i="13"/>
  <c r="I149" i="13" s="1"/>
  <c r="J149" i="13" s="1"/>
  <c r="H155" i="34" s="1"/>
  <c r="I155" i="34" s="1"/>
  <c r="K155" i="34" s="1"/>
  <c r="F148" i="25" s="1"/>
  <c r="I148" i="25" s="1"/>
  <c r="H226" i="13"/>
  <c r="I226" i="13" s="1"/>
  <c r="J226" i="13" s="1"/>
  <c r="H232" i="34" s="1"/>
  <c r="I232" i="34" s="1"/>
  <c r="K232" i="34" s="1"/>
  <c r="F225" i="25" s="1"/>
  <c r="I225" i="25" s="1"/>
  <c r="H270" i="13"/>
  <c r="I270" i="13" s="1"/>
  <c r="J270" i="13" s="1"/>
  <c r="H276" i="34" s="1"/>
  <c r="I276" i="34" s="1"/>
  <c r="K276" i="34" s="1"/>
  <c r="F269" i="25" s="1"/>
  <c r="I269" i="25" s="1"/>
  <c r="H250" i="13"/>
  <c r="I250" i="13" s="1"/>
  <c r="J250" i="13" s="1"/>
  <c r="H256" i="34" s="1"/>
  <c r="I256" i="34" s="1"/>
  <c r="K256" i="34" s="1"/>
  <c r="F249" i="25" s="1"/>
  <c r="I249" i="25" s="1"/>
  <c r="H262" i="13"/>
  <c r="I262" i="13" s="1"/>
  <c r="J262" i="13" s="1"/>
  <c r="H268" i="34" s="1"/>
  <c r="I268" i="34" s="1"/>
  <c r="K268" i="34" s="1"/>
  <c r="F261" i="25" s="1"/>
  <c r="I261" i="25" s="1"/>
  <c r="H159" i="13"/>
  <c r="I159" i="13" s="1"/>
  <c r="J159" i="13" s="1"/>
  <c r="H165" i="34" s="1"/>
  <c r="I165" i="34" s="1"/>
  <c r="K165" i="34" s="1"/>
  <c r="F158" i="25" s="1"/>
  <c r="I158" i="25" s="1"/>
  <c r="H73" i="13"/>
  <c r="I73" i="13" s="1"/>
  <c r="J73" i="13" s="1"/>
  <c r="H79" i="34" s="1"/>
  <c r="I79" i="34" s="1"/>
  <c r="K79" i="34" s="1"/>
  <c r="F72" i="25" s="1"/>
  <c r="I72" i="25" s="1"/>
  <c r="H40" i="13"/>
  <c r="I40" i="13" s="1"/>
  <c r="J40" i="13" s="1"/>
  <c r="H46" i="34" s="1"/>
  <c r="I46" i="34" s="1"/>
  <c r="K46" i="34" s="1"/>
  <c r="F39" i="25" s="1"/>
  <c r="I39" i="25" s="1"/>
  <c r="H284" i="13"/>
  <c r="I284" i="13" s="1"/>
  <c r="J284" i="13" s="1"/>
  <c r="H290" i="34" s="1"/>
  <c r="I290" i="34" s="1"/>
  <c r="K290" i="34" s="1"/>
  <c r="F283" i="25" s="1"/>
  <c r="I283" i="25" s="1"/>
  <c r="H113" i="13"/>
  <c r="I113" i="13" s="1"/>
  <c r="J113" i="13" s="1"/>
  <c r="H119" i="34" s="1"/>
  <c r="I119" i="34" s="1"/>
  <c r="K119" i="34" s="1"/>
  <c r="F112" i="25" s="1"/>
  <c r="I112" i="25" s="1"/>
  <c r="H126" i="13"/>
  <c r="I126" i="13" s="1"/>
  <c r="J126" i="13" s="1"/>
  <c r="H132" i="34" s="1"/>
  <c r="I132" i="34" s="1"/>
  <c r="K132" i="34" s="1"/>
  <c r="F125" i="25" s="1"/>
  <c r="I125" i="25" s="1"/>
  <c r="H56" i="13"/>
  <c r="I56" i="13" s="1"/>
  <c r="J56" i="13" s="1"/>
  <c r="H62" i="34" s="1"/>
  <c r="I62" i="34" s="1"/>
  <c r="K62" i="34" s="1"/>
  <c r="F55" i="25" s="1"/>
  <c r="I55" i="25" s="1"/>
  <c r="H9" i="13"/>
  <c r="I9" i="13" s="1"/>
  <c r="J9" i="13" s="1"/>
  <c r="H15" i="34" s="1"/>
  <c r="I15" i="34" s="1"/>
  <c r="K15" i="34" s="1"/>
  <c r="F8" i="25" s="1"/>
  <c r="I8" i="25" s="1"/>
  <c r="H256" i="13"/>
  <c r="I256" i="13" s="1"/>
  <c r="J256" i="13" s="1"/>
  <c r="H262" i="34" s="1"/>
  <c r="I262" i="34" s="1"/>
  <c r="K262" i="34" s="1"/>
  <c r="F255" i="25" s="1"/>
  <c r="I255" i="25" s="1"/>
  <c r="H20" i="13"/>
  <c r="I20" i="13" s="1"/>
  <c r="J20" i="13" s="1"/>
  <c r="H26" i="34" s="1"/>
  <c r="I26" i="34" s="1"/>
  <c r="K26" i="34" s="1"/>
  <c r="F19" i="25" s="1"/>
  <c r="I19" i="25" s="1"/>
  <c r="H44" i="13"/>
  <c r="I44" i="13" s="1"/>
  <c r="J44" i="13" s="1"/>
  <c r="H50" i="34" s="1"/>
  <c r="I50" i="34" s="1"/>
  <c r="K50" i="34" s="1"/>
  <c r="F43" i="25" s="1"/>
  <c r="I43" i="25" s="1"/>
  <c r="H137" i="13"/>
  <c r="I137" i="13" s="1"/>
  <c r="J137" i="13" s="1"/>
  <c r="H143" i="34" s="1"/>
  <c r="I143" i="34" s="1"/>
  <c r="K143" i="34" s="1"/>
  <c r="F136" i="25" s="1"/>
  <c r="I136" i="25" s="1"/>
  <c r="H186" i="13"/>
  <c r="I186" i="13" s="1"/>
  <c r="J186" i="13" s="1"/>
  <c r="H192" i="34" s="1"/>
  <c r="I192" i="34" s="1"/>
  <c r="K192" i="34" s="1"/>
  <c r="F185" i="25" s="1"/>
  <c r="I185" i="25" s="1"/>
  <c r="H66" i="13"/>
  <c r="I66" i="13" s="1"/>
  <c r="J66" i="13" s="1"/>
  <c r="H72" i="34" s="1"/>
  <c r="I72" i="34" s="1"/>
  <c r="K72" i="34" s="1"/>
  <c r="F65" i="25" s="1"/>
  <c r="I65" i="25" s="1"/>
  <c r="H190" i="13"/>
  <c r="I190" i="13" s="1"/>
  <c r="J190" i="13" s="1"/>
  <c r="H196" i="34" s="1"/>
  <c r="I196" i="34" s="1"/>
  <c r="K196" i="34" s="1"/>
  <c r="F189" i="25" s="1"/>
  <c r="I189" i="25" s="1"/>
  <c r="H275" i="13"/>
  <c r="I275" i="13" s="1"/>
  <c r="J275" i="13" s="1"/>
  <c r="H281" i="34" s="1"/>
  <c r="I281" i="34" s="1"/>
  <c r="K281" i="34" s="1"/>
  <c r="F274" i="25" s="1"/>
  <c r="I274" i="25" s="1"/>
  <c r="H177" i="13"/>
  <c r="I177" i="13" s="1"/>
  <c r="J177" i="13" s="1"/>
  <c r="H183" i="34" s="1"/>
  <c r="I183" i="34" s="1"/>
  <c r="K183" i="34" s="1"/>
  <c r="F176" i="25" s="1"/>
  <c r="I176" i="25" s="1"/>
  <c r="H196" i="13"/>
  <c r="I196" i="13" s="1"/>
  <c r="J196" i="13" s="1"/>
  <c r="H202" i="34" s="1"/>
  <c r="I202" i="34" s="1"/>
  <c r="K202" i="34" s="1"/>
  <c r="F195" i="25" s="1"/>
  <c r="I195" i="25" s="1"/>
  <c r="H303" i="13"/>
  <c r="I303" i="13" s="1"/>
  <c r="J303" i="13" s="1"/>
  <c r="H309" i="34" s="1"/>
  <c r="I309" i="34" s="1"/>
  <c r="K309" i="34" s="1"/>
  <c r="F302" i="25" s="1"/>
  <c r="I302" i="25" s="1"/>
  <c r="H166" i="13"/>
  <c r="I166" i="13" s="1"/>
  <c r="J166" i="13" s="1"/>
  <c r="H172" i="34" s="1"/>
  <c r="I172" i="34" s="1"/>
  <c r="K172" i="34" s="1"/>
  <c r="F165" i="25" s="1"/>
  <c r="I165" i="25" s="1"/>
  <c r="H237" i="13"/>
  <c r="I237" i="13" s="1"/>
  <c r="J237" i="13" s="1"/>
  <c r="H243" i="34" s="1"/>
  <c r="I243" i="34" s="1"/>
  <c r="K243" i="34" s="1"/>
  <c r="F236" i="25" s="1"/>
  <c r="I236" i="25" s="1"/>
  <c r="H291" i="13"/>
  <c r="I291" i="13" s="1"/>
  <c r="J291" i="13" s="1"/>
  <c r="H297" i="34" s="1"/>
  <c r="I297" i="34" s="1"/>
  <c r="K297" i="34" s="1"/>
  <c r="F290" i="25" s="1"/>
  <c r="I290" i="25" s="1"/>
  <c r="H233" i="13"/>
  <c r="I233" i="13" s="1"/>
  <c r="J233" i="13" s="1"/>
  <c r="H239" i="34" s="1"/>
  <c r="I239" i="34" s="1"/>
  <c r="K239" i="34" s="1"/>
  <c r="F232" i="25" s="1"/>
  <c r="I232" i="25" s="1"/>
  <c r="H59" i="13"/>
  <c r="I59" i="13" s="1"/>
  <c r="J59" i="13" s="1"/>
  <c r="H65" i="34" s="1"/>
  <c r="I65" i="34" s="1"/>
  <c r="K65" i="34" s="1"/>
  <c r="F58" i="25" s="1"/>
  <c r="I58" i="25" s="1"/>
  <c r="H251" i="13"/>
  <c r="I251" i="13" s="1"/>
  <c r="J251" i="13" s="1"/>
  <c r="H257" i="34" s="1"/>
  <c r="I257" i="34" s="1"/>
  <c r="K257" i="34" s="1"/>
  <c r="F250" i="25" s="1"/>
  <c r="I250" i="25" s="1"/>
  <c r="H72" i="13"/>
  <c r="I72" i="13" s="1"/>
  <c r="J72" i="13" s="1"/>
  <c r="H78" i="34" s="1"/>
  <c r="I78" i="34" s="1"/>
  <c r="K78" i="34" s="1"/>
  <c r="F71" i="25" s="1"/>
  <c r="I71" i="25" s="1"/>
  <c r="H105" i="13"/>
  <c r="I105" i="13" s="1"/>
  <c r="J105" i="13" s="1"/>
  <c r="H111" i="34" s="1"/>
  <c r="I111" i="34" s="1"/>
  <c r="K111" i="34" s="1"/>
  <c r="F104" i="25" s="1"/>
  <c r="I104" i="25" s="1"/>
  <c r="H158" i="13"/>
  <c r="I158" i="13" s="1"/>
  <c r="J158" i="13" s="1"/>
  <c r="H164" i="34" s="1"/>
  <c r="I164" i="34" s="1"/>
  <c r="K164" i="34" s="1"/>
  <c r="F157" i="25" s="1"/>
  <c r="I157" i="25" s="1"/>
  <c r="H38" i="13"/>
  <c r="I38" i="13" s="1"/>
  <c r="J38" i="13" s="1"/>
  <c r="H44" i="34" s="1"/>
  <c r="I44" i="34" s="1"/>
  <c r="K44" i="34" s="1"/>
  <c r="F37" i="25" s="1"/>
  <c r="I37" i="25" s="1"/>
  <c r="H120" i="13"/>
  <c r="I120" i="13" s="1"/>
  <c r="J120" i="13" s="1"/>
  <c r="H126" i="34" s="1"/>
  <c r="I126" i="34" s="1"/>
  <c r="K126" i="34" s="1"/>
  <c r="F119" i="25" s="1"/>
  <c r="I119" i="25" s="1"/>
  <c r="H214" i="13"/>
  <c r="I214" i="13" s="1"/>
  <c r="J214" i="13" s="1"/>
  <c r="H220" i="34" s="1"/>
  <c r="I220" i="34" s="1"/>
  <c r="K220" i="34" s="1"/>
  <c r="F213" i="25" s="1"/>
  <c r="I213" i="25" s="1"/>
  <c r="H194" i="13"/>
  <c r="I194" i="13" s="1"/>
  <c r="J194" i="13" s="1"/>
  <c r="H200" i="34" s="1"/>
  <c r="I200" i="34" s="1"/>
  <c r="K200" i="34" s="1"/>
  <c r="F193" i="25" s="1"/>
  <c r="I193" i="25" s="1"/>
  <c r="H305" i="13"/>
  <c r="I305" i="13" s="1"/>
  <c r="J305" i="13" s="1"/>
  <c r="H311" i="34" s="1"/>
  <c r="I311" i="34" s="1"/>
  <c r="K311" i="34" s="1"/>
  <c r="F304" i="25" s="1"/>
  <c r="I304" i="25" s="1"/>
  <c r="H97" i="13"/>
  <c r="I97" i="13" s="1"/>
  <c r="J97" i="13" s="1"/>
  <c r="H103" i="34" s="1"/>
  <c r="I103" i="34" s="1"/>
  <c r="K103" i="34" s="1"/>
  <c r="F96" i="25" s="1"/>
  <c r="I96" i="25" s="1"/>
  <c r="H109" i="13"/>
  <c r="I109" i="13" s="1"/>
  <c r="J109" i="13" s="1"/>
  <c r="H115" i="34" s="1"/>
  <c r="I115" i="34" s="1"/>
  <c r="K115" i="34" s="1"/>
  <c r="F108" i="25" s="1"/>
  <c r="I108" i="25" s="1"/>
  <c r="H145" i="13"/>
  <c r="I145" i="13" s="1"/>
  <c r="J145" i="13" s="1"/>
  <c r="H151" i="34" s="1"/>
  <c r="I151" i="34" s="1"/>
  <c r="K151" i="34" s="1"/>
  <c r="F144" i="25" s="1"/>
  <c r="I144" i="25" s="1"/>
  <c r="H24" i="13"/>
  <c r="I24" i="13" s="1"/>
  <c r="J24" i="13" s="1"/>
  <c r="H30" i="34" s="1"/>
  <c r="I30" i="34" s="1"/>
  <c r="K30" i="34" s="1"/>
  <c r="F23" i="25" s="1"/>
  <c r="I23" i="25" s="1"/>
  <c r="H34" i="13"/>
  <c r="I34" i="13" s="1"/>
  <c r="J34" i="13" s="1"/>
  <c r="H40" i="34" s="1"/>
  <c r="I40" i="34" s="1"/>
  <c r="K40" i="34" s="1"/>
  <c r="F33" i="25" s="1"/>
  <c r="I33" i="25" s="1"/>
  <c r="H37" i="13"/>
  <c r="I37" i="13" s="1"/>
  <c r="J37" i="13" s="1"/>
  <c r="H43" i="34" s="1"/>
  <c r="I43" i="34" s="1"/>
  <c r="K43" i="34" s="1"/>
  <c r="F36" i="25" s="1"/>
  <c r="I36" i="25" s="1"/>
  <c r="H81" i="13"/>
  <c r="I81" i="13" s="1"/>
  <c r="J81" i="13" s="1"/>
  <c r="H87" i="34" s="1"/>
  <c r="I87" i="34" s="1"/>
  <c r="K87" i="34" s="1"/>
  <c r="F80" i="25" s="1"/>
  <c r="I80" i="25" s="1"/>
  <c r="H101" i="13"/>
  <c r="I101" i="13" s="1"/>
  <c r="J101" i="13" s="1"/>
  <c r="H107" i="34" s="1"/>
  <c r="I107" i="34" s="1"/>
  <c r="K107" i="34" s="1"/>
  <c r="F100" i="25" s="1"/>
  <c r="I100" i="25" s="1"/>
  <c r="H102" i="13"/>
  <c r="I102" i="13" s="1"/>
  <c r="J102" i="13" s="1"/>
  <c r="H108" i="34" s="1"/>
  <c r="I108" i="34" s="1"/>
  <c r="K108" i="34" s="1"/>
  <c r="F101" i="25" s="1"/>
  <c r="I101" i="25" s="1"/>
  <c r="H93" i="13"/>
  <c r="I93" i="13" s="1"/>
  <c r="J93" i="13" s="1"/>
  <c r="H99" i="34" s="1"/>
  <c r="I99" i="34" s="1"/>
  <c r="K99" i="34" s="1"/>
  <c r="F92" i="25" s="1"/>
  <c r="I92" i="25" s="1"/>
  <c r="H276" i="13"/>
  <c r="I276" i="13" s="1"/>
  <c r="J276" i="13" s="1"/>
  <c r="H282" i="34" s="1"/>
  <c r="I282" i="34" s="1"/>
  <c r="K282" i="34" s="1"/>
  <c r="F275" i="25" s="1"/>
  <c r="I275" i="25" s="1"/>
  <c r="H41" i="13"/>
  <c r="I41" i="13" s="1"/>
  <c r="J41" i="13" s="1"/>
  <c r="H47" i="34" s="1"/>
  <c r="I47" i="34" s="1"/>
  <c r="K47" i="34" s="1"/>
  <c r="F40" i="25" s="1"/>
  <c r="I40" i="25" s="1"/>
  <c r="H225" i="13"/>
  <c r="I225" i="13" s="1"/>
  <c r="J225" i="13" s="1"/>
  <c r="H231" i="34" s="1"/>
  <c r="I231" i="34" s="1"/>
  <c r="K231" i="34" s="1"/>
  <c r="F224" i="25" s="1"/>
  <c r="I224" i="25" s="1"/>
  <c r="H57" i="13"/>
  <c r="I57" i="13" s="1"/>
  <c r="J57" i="13" s="1"/>
  <c r="H63" i="34" s="1"/>
  <c r="I63" i="34" s="1"/>
  <c r="K63" i="34" s="1"/>
  <c r="F56" i="25" s="1"/>
  <c r="I56" i="25" s="1"/>
  <c r="H17" i="13"/>
  <c r="I17" i="13" s="1"/>
  <c r="J17" i="13" s="1"/>
  <c r="H23" i="34" s="1"/>
  <c r="I23" i="34" s="1"/>
  <c r="K23" i="34" s="1"/>
  <c r="F16" i="25" s="1"/>
  <c r="I16" i="25" s="1"/>
  <c r="H131" i="13"/>
  <c r="I131" i="13" s="1"/>
  <c r="J131" i="13" s="1"/>
  <c r="H137" i="34" s="1"/>
  <c r="I137" i="34" s="1"/>
  <c r="K137" i="34" s="1"/>
  <c r="F130" i="25" s="1"/>
  <c r="H268" i="13"/>
  <c r="I268" i="13" s="1"/>
  <c r="J268" i="13" s="1"/>
  <c r="H274" i="34" s="1"/>
  <c r="I274" i="34" s="1"/>
  <c r="K274" i="34" s="1"/>
  <c r="F267" i="25" s="1"/>
  <c r="I267" i="25" s="1"/>
  <c r="H197" i="13"/>
  <c r="I197" i="13" s="1"/>
  <c r="J197" i="13" s="1"/>
  <c r="H203" i="34" s="1"/>
  <c r="I203" i="34" s="1"/>
  <c r="K203" i="34" s="1"/>
  <c r="F196" i="25" s="1"/>
  <c r="I196" i="25" s="1"/>
  <c r="H224" i="13"/>
  <c r="I224" i="13" s="1"/>
  <c r="J224" i="13" s="1"/>
  <c r="H230" i="34" s="1"/>
  <c r="I230" i="34" s="1"/>
  <c r="K230" i="34" s="1"/>
  <c r="F223" i="25" s="1"/>
  <c r="I223" i="25" s="1"/>
  <c r="H7" i="13"/>
  <c r="I7" i="13" s="1"/>
  <c r="J7" i="13" s="1"/>
  <c r="H13" i="34" s="1"/>
  <c r="I13" i="34" s="1"/>
  <c r="K13" i="34" s="1"/>
  <c r="F6" i="25" s="1"/>
  <c r="I6" i="25" s="1"/>
  <c r="H162" i="13"/>
  <c r="I162" i="13" s="1"/>
  <c r="J162" i="13" s="1"/>
  <c r="H168" i="34" s="1"/>
  <c r="I168" i="34" s="1"/>
  <c r="K168" i="34" s="1"/>
  <c r="F161" i="25" s="1"/>
  <c r="I161" i="25" s="1"/>
  <c r="H267" i="13"/>
  <c r="I267" i="13" s="1"/>
  <c r="J267" i="13" s="1"/>
  <c r="H273" i="34" s="1"/>
  <c r="I273" i="34" s="1"/>
  <c r="K273" i="34" s="1"/>
  <c r="F266" i="25" s="1"/>
  <c r="I266" i="25" s="1"/>
  <c r="H30" i="13"/>
  <c r="I30" i="13" s="1"/>
  <c r="J30" i="13" s="1"/>
  <c r="H36" i="34" s="1"/>
  <c r="I36" i="34" s="1"/>
  <c r="K36" i="34" s="1"/>
  <c r="F29" i="25" s="1"/>
  <c r="I29" i="25" s="1"/>
  <c r="H122" i="13"/>
  <c r="I122" i="13" s="1"/>
  <c r="J122" i="13" s="1"/>
  <c r="H128" i="34" s="1"/>
  <c r="I128" i="34" s="1"/>
  <c r="K128" i="34" s="1"/>
  <c r="F121" i="25" s="1"/>
  <c r="I121" i="25" s="1"/>
  <c r="H74" i="13"/>
  <c r="I74" i="13" s="1"/>
  <c r="J74" i="13" s="1"/>
  <c r="H80" i="34" s="1"/>
  <c r="I80" i="34" s="1"/>
  <c r="K80" i="34" s="1"/>
  <c r="F73" i="25" s="1"/>
  <c r="I73" i="25" s="1"/>
  <c r="H47" i="13"/>
  <c r="I47" i="13" s="1"/>
  <c r="J47" i="13" s="1"/>
  <c r="H53" i="34" s="1"/>
  <c r="I53" i="34" s="1"/>
  <c r="K53" i="34" s="1"/>
  <c r="F46" i="25" s="1"/>
  <c r="I46" i="25" s="1"/>
  <c r="H245" i="13"/>
  <c r="I245" i="13" s="1"/>
  <c r="J245" i="13" s="1"/>
  <c r="H251" i="34" s="1"/>
  <c r="I251" i="34" s="1"/>
  <c r="K251" i="34" s="1"/>
  <c r="F244" i="25" s="1"/>
  <c r="I244" i="25" s="1"/>
  <c r="H82" i="13"/>
  <c r="I82" i="13" s="1"/>
  <c r="J82" i="13" s="1"/>
  <c r="H88" i="34" s="1"/>
  <c r="I88" i="34" s="1"/>
  <c r="K88" i="34" s="1"/>
  <c r="F81" i="25" s="1"/>
  <c r="I81" i="25" s="1"/>
  <c r="H191" i="13"/>
  <c r="I191" i="13" s="1"/>
  <c r="J191" i="13" s="1"/>
  <c r="H197" i="34" s="1"/>
  <c r="I197" i="34" s="1"/>
  <c r="K197" i="34" s="1"/>
  <c r="F190" i="25" s="1"/>
  <c r="I190" i="25" s="1"/>
  <c r="H242" i="13"/>
  <c r="I242" i="13" s="1"/>
  <c r="J242" i="13" s="1"/>
  <c r="H248" i="34" s="1"/>
  <c r="I248" i="34" s="1"/>
  <c r="K248" i="34" s="1"/>
  <c r="F241" i="25" s="1"/>
  <c r="I241" i="25" s="1"/>
  <c r="H147" i="13"/>
  <c r="I147" i="13" s="1"/>
  <c r="J147" i="13" s="1"/>
  <c r="H153" i="34" s="1"/>
  <c r="I153" i="34" s="1"/>
  <c r="K153" i="34" s="1"/>
  <c r="F146" i="25" s="1"/>
  <c r="I146" i="25" s="1"/>
  <c r="H183" i="13"/>
  <c r="I183" i="13" s="1"/>
  <c r="J183" i="13" s="1"/>
  <c r="H189" i="34" s="1"/>
  <c r="I189" i="34" s="1"/>
  <c r="K189" i="34" s="1"/>
  <c r="F182" i="25" s="1"/>
  <c r="I182" i="25" s="1"/>
  <c r="H222" i="13"/>
  <c r="I222" i="13" s="1"/>
  <c r="J222" i="13" s="1"/>
  <c r="H228" i="34" s="1"/>
  <c r="I228" i="34" s="1"/>
  <c r="K228" i="34" s="1"/>
  <c r="F221" i="25" s="1"/>
  <c r="I221" i="25" s="1"/>
  <c r="H62" i="13"/>
  <c r="I62" i="13" s="1"/>
  <c r="J62" i="13" s="1"/>
  <c r="H68" i="34" s="1"/>
  <c r="I68" i="34" s="1"/>
  <c r="K68" i="34" s="1"/>
  <c r="F61" i="25" s="1"/>
  <c r="I61" i="25" s="1"/>
  <c r="H141" i="13"/>
  <c r="I141" i="13" s="1"/>
  <c r="J141" i="13" s="1"/>
  <c r="H147" i="34" s="1"/>
  <c r="I147" i="34" s="1"/>
  <c r="K147" i="34" s="1"/>
  <c r="F140" i="25" s="1"/>
  <c r="H92" i="13"/>
  <c r="I92" i="13" s="1"/>
  <c r="J92" i="13" s="1"/>
  <c r="H98" i="34" s="1"/>
  <c r="I98" i="34" s="1"/>
  <c r="K98" i="34" s="1"/>
  <c r="F91" i="25" s="1"/>
  <c r="I91" i="25" s="1"/>
  <c r="H36" i="13"/>
  <c r="I36" i="13" s="1"/>
  <c r="J36" i="13" s="1"/>
  <c r="H42" i="34" s="1"/>
  <c r="I42" i="34" s="1"/>
  <c r="K42" i="34" s="1"/>
  <c r="F35" i="25" s="1"/>
  <c r="I35" i="25" s="1"/>
  <c r="H278" i="13"/>
  <c r="I278" i="13" s="1"/>
  <c r="J278" i="13" s="1"/>
  <c r="H284" i="34" s="1"/>
  <c r="I284" i="34" s="1"/>
  <c r="K284" i="34" s="1"/>
  <c r="F277" i="25" s="1"/>
  <c r="I277" i="25" s="1"/>
  <c r="H293" i="13"/>
  <c r="I293" i="13" s="1"/>
  <c r="J293" i="13" s="1"/>
  <c r="H299" i="34" s="1"/>
  <c r="I299" i="34" s="1"/>
  <c r="K299" i="34" s="1"/>
  <c r="F292" i="25" s="1"/>
  <c r="I292" i="25" s="1"/>
  <c r="H124" i="13"/>
  <c r="I124" i="13" s="1"/>
  <c r="J124" i="13" s="1"/>
  <c r="H130" i="34" s="1"/>
  <c r="I130" i="34" s="1"/>
  <c r="K130" i="34" s="1"/>
  <c r="F123" i="25" s="1"/>
  <c r="I123" i="25" s="1"/>
  <c r="H110" i="13"/>
  <c r="I110" i="13" s="1"/>
  <c r="J110" i="13" s="1"/>
  <c r="H116" i="34" s="1"/>
  <c r="I116" i="34" s="1"/>
  <c r="K116" i="34" s="1"/>
  <c r="F109" i="25" s="1"/>
  <c r="H146" i="13"/>
  <c r="I146" i="13" s="1"/>
  <c r="J146" i="13" s="1"/>
  <c r="H152" i="34" s="1"/>
  <c r="I152" i="34" s="1"/>
  <c r="K152" i="34" s="1"/>
  <c r="F145" i="25" s="1"/>
  <c r="I145" i="25" s="1"/>
  <c r="H265" i="13"/>
  <c r="I265" i="13" s="1"/>
  <c r="J265" i="13" s="1"/>
  <c r="H271" i="34" s="1"/>
  <c r="I271" i="34" s="1"/>
  <c r="K271" i="34" s="1"/>
  <c r="F264" i="25" s="1"/>
  <c r="I264" i="25" s="1"/>
  <c r="H53" i="13"/>
  <c r="I53" i="13" s="1"/>
  <c r="J53" i="13" s="1"/>
  <c r="H59" i="34" s="1"/>
  <c r="I59" i="34" s="1"/>
  <c r="K59" i="34" s="1"/>
  <c r="F52" i="25" s="1"/>
  <c r="I52" i="25" s="1"/>
  <c r="H129" i="13"/>
  <c r="I129" i="13" s="1"/>
  <c r="J129" i="13" s="1"/>
  <c r="H135" i="34" s="1"/>
  <c r="I135" i="34" s="1"/>
  <c r="K135" i="34" s="1"/>
  <c r="F128" i="25" s="1"/>
  <c r="I128" i="25" s="1"/>
  <c r="H108" i="13"/>
  <c r="I108" i="13" s="1"/>
  <c r="J108" i="13" s="1"/>
  <c r="H114" i="34" s="1"/>
  <c r="I114" i="34" s="1"/>
  <c r="K114" i="34" s="1"/>
  <c r="F107" i="25" s="1"/>
  <c r="I107" i="25" s="1"/>
  <c r="H185" i="13"/>
  <c r="I185" i="13" s="1"/>
  <c r="J185" i="13" s="1"/>
  <c r="H191" i="34" s="1"/>
  <c r="I191" i="34" s="1"/>
  <c r="K191" i="34" s="1"/>
  <c r="F184" i="25" s="1"/>
  <c r="I184" i="25" s="1"/>
  <c r="H181" i="13"/>
  <c r="I181" i="13" s="1"/>
  <c r="J181" i="13" s="1"/>
  <c r="H187" i="34" s="1"/>
  <c r="I187" i="34" s="1"/>
  <c r="K187" i="34" s="1"/>
  <c r="F180" i="25" s="1"/>
  <c r="I180" i="25" s="1"/>
  <c r="H227" i="13"/>
  <c r="I227" i="13" s="1"/>
  <c r="J227" i="13" s="1"/>
  <c r="H233" i="34" s="1"/>
  <c r="I233" i="34" s="1"/>
  <c r="K233" i="34" s="1"/>
  <c r="F226" i="25" s="1"/>
  <c r="I226" i="25" s="1"/>
  <c r="H199" i="13"/>
  <c r="I199" i="13" s="1"/>
  <c r="J199" i="13" s="1"/>
  <c r="H205" i="34" s="1"/>
  <c r="I205" i="34" s="1"/>
  <c r="K205" i="34" s="1"/>
  <c r="F198" i="25" s="1"/>
  <c r="I198" i="25" s="1"/>
  <c r="H205" i="13"/>
  <c r="I205" i="13" s="1"/>
  <c r="J205" i="13" s="1"/>
  <c r="H211" i="34" s="1"/>
  <c r="I211" i="34" s="1"/>
  <c r="K211" i="34" s="1"/>
  <c r="F204" i="25" s="1"/>
  <c r="I204" i="25" s="1"/>
  <c r="H89" i="13"/>
  <c r="I89" i="13" s="1"/>
  <c r="J89" i="13" s="1"/>
  <c r="H95" i="34" s="1"/>
  <c r="I95" i="34" s="1"/>
  <c r="K95" i="34" s="1"/>
  <c r="F88" i="25" s="1"/>
  <c r="I88" i="25" s="1"/>
  <c r="H49" i="13"/>
  <c r="I49" i="13" s="1"/>
  <c r="J49" i="13" s="1"/>
  <c r="H55" i="34" s="1"/>
  <c r="I55" i="34" s="1"/>
  <c r="K55" i="34" s="1"/>
  <c r="F48" i="25" s="1"/>
  <c r="I48" i="25" s="1"/>
  <c r="H135" i="13"/>
  <c r="I135" i="13" s="1"/>
  <c r="J135" i="13" s="1"/>
  <c r="H141" i="34" s="1"/>
  <c r="I141" i="34" s="1"/>
  <c r="K141" i="34" s="1"/>
  <c r="F134" i="25" s="1"/>
  <c r="I134" i="25" s="1"/>
  <c r="H116" i="13"/>
  <c r="I116" i="13" s="1"/>
  <c r="J116" i="13" s="1"/>
  <c r="H122" i="34" s="1"/>
  <c r="I122" i="34" s="1"/>
  <c r="K122" i="34" s="1"/>
  <c r="F115" i="25" s="1"/>
  <c r="I115" i="25" s="1"/>
  <c r="H58" i="13"/>
  <c r="I58" i="13" s="1"/>
  <c r="J58" i="13" s="1"/>
  <c r="H64" i="34" s="1"/>
  <c r="I64" i="34" s="1"/>
  <c r="K64" i="34" s="1"/>
  <c r="F57" i="25" s="1"/>
  <c r="I57" i="25" s="1"/>
  <c r="H244" i="13"/>
  <c r="I244" i="13" s="1"/>
  <c r="J244" i="13" s="1"/>
  <c r="H250" i="34" s="1"/>
  <c r="I250" i="34" s="1"/>
  <c r="K250" i="34" s="1"/>
  <c r="F243" i="25" s="1"/>
  <c r="I243" i="25" s="1"/>
  <c r="H84" i="13"/>
  <c r="I84" i="13" s="1"/>
  <c r="J84" i="13" s="1"/>
  <c r="H90" i="34" s="1"/>
  <c r="I90" i="34" s="1"/>
  <c r="K90" i="34" s="1"/>
  <c r="F83" i="25" s="1"/>
  <c r="I83" i="25" s="1"/>
  <c r="H271" i="13"/>
  <c r="I271" i="13" s="1"/>
  <c r="J271" i="13" s="1"/>
  <c r="H277" i="34" s="1"/>
  <c r="I277" i="34" s="1"/>
  <c r="K277" i="34" s="1"/>
  <c r="F270" i="25" s="1"/>
  <c r="I270" i="25" s="1"/>
  <c r="H292" i="13"/>
  <c r="I292" i="13" s="1"/>
  <c r="J292" i="13" s="1"/>
  <c r="H298" i="34" s="1"/>
  <c r="I298" i="34" s="1"/>
  <c r="K298" i="34" s="1"/>
  <c r="F291" i="25" s="1"/>
  <c r="I291" i="25" s="1"/>
  <c r="H211" i="13"/>
  <c r="I211" i="13" s="1"/>
  <c r="J211" i="13" s="1"/>
  <c r="H217" i="34" s="1"/>
  <c r="I217" i="34" s="1"/>
  <c r="K217" i="34" s="1"/>
  <c r="F210" i="25" s="1"/>
  <c r="I210" i="25" s="1"/>
  <c r="H64" i="13"/>
  <c r="I64" i="13" s="1"/>
  <c r="J64" i="13" s="1"/>
  <c r="H70" i="34" s="1"/>
  <c r="I70" i="34" s="1"/>
  <c r="K70" i="34" s="1"/>
  <c r="F63" i="25" s="1"/>
  <c r="I63" i="25" s="1"/>
  <c r="H236" i="13"/>
  <c r="I236" i="13" s="1"/>
  <c r="J236" i="13" s="1"/>
  <c r="H242" i="34" s="1"/>
  <c r="I242" i="34" s="1"/>
  <c r="K242" i="34" s="1"/>
  <c r="F235" i="25" s="1"/>
  <c r="I235" i="25" s="1"/>
  <c r="H148" i="13"/>
  <c r="I148" i="13" s="1"/>
  <c r="J148" i="13" s="1"/>
  <c r="H154" i="34" s="1"/>
  <c r="I154" i="34" s="1"/>
  <c r="K154" i="34" s="1"/>
  <c r="F147" i="25" s="1"/>
  <c r="I147" i="25" s="1"/>
  <c r="H192" i="13"/>
  <c r="I192" i="13" s="1"/>
  <c r="J192" i="13" s="1"/>
  <c r="H198" i="34" s="1"/>
  <c r="I198" i="34" s="1"/>
  <c r="K198" i="34" s="1"/>
  <c r="F191" i="25" s="1"/>
  <c r="I191" i="25" s="1"/>
  <c r="H10" i="13"/>
  <c r="I10" i="13" s="1"/>
  <c r="J10" i="13" s="1"/>
  <c r="H16" i="34" s="1"/>
  <c r="I16" i="34" s="1"/>
  <c r="K16" i="34" s="1"/>
  <c r="F9" i="25" s="1"/>
  <c r="I9" i="25" s="1"/>
  <c r="H79" i="13"/>
  <c r="I79" i="13" s="1"/>
  <c r="J79" i="13" s="1"/>
  <c r="H85" i="34" s="1"/>
  <c r="I85" i="34" s="1"/>
  <c r="K85" i="34" s="1"/>
  <c r="F78" i="25" s="1"/>
  <c r="I78" i="25" s="1"/>
  <c r="H298" i="13"/>
  <c r="I298" i="13" s="1"/>
  <c r="J298" i="13" s="1"/>
  <c r="H304" i="34" s="1"/>
  <c r="I304" i="34" s="1"/>
  <c r="K304" i="34" s="1"/>
  <c r="F297" i="25" s="1"/>
  <c r="I297" i="25" s="1"/>
  <c r="H83" i="13"/>
  <c r="I83" i="13" s="1"/>
  <c r="J83" i="13" s="1"/>
  <c r="H89" i="34" s="1"/>
  <c r="I89" i="34" s="1"/>
  <c r="K89" i="34" s="1"/>
  <c r="F82" i="25" s="1"/>
  <c r="I82" i="25" s="1"/>
  <c r="H241" i="13"/>
  <c r="I241" i="13" s="1"/>
  <c r="J241" i="13" s="1"/>
  <c r="H247" i="34" s="1"/>
  <c r="I247" i="34" s="1"/>
  <c r="K247" i="34" s="1"/>
  <c r="F240" i="25" s="1"/>
  <c r="I240" i="25" s="1"/>
  <c r="H50" i="13"/>
  <c r="I50" i="13" s="1"/>
  <c r="J50" i="13" s="1"/>
  <c r="H56" i="34" s="1"/>
  <c r="I56" i="34" s="1"/>
  <c r="K56" i="34" s="1"/>
  <c r="F49" i="25" s="1"/>
  <c r="I49" i="25" s="1"/>
  <c r="H287" i="13"/>
  <c r="I287" i="13" s="1"/>
  <c r="J287" i="13" s="1"/>
  <c r="H293" i="34" s="1"/>
  <c r="I293" i="34" s="1"/>
  <c r="K293" i="34" s="1"/>
  <c r="F286" i="25" s="1"/>
  <c r="I286" i="25" s="1"/>
  <c r="H94" i="13"/>
  <c r="I94" i="13" s="1"/>
  <c r="J94" i="13" s="1"/>
  <c r="H100" i="34" s="1"/>
  <c r="I100" i="34" s="1"/>
  <c r="K100" i="34" s="1"/>
  <c r="F93" i="25" s="1"/>
  <c r="I93" i="25" s="1"/>
  <c r="H201" i="13"/>
  <c r="I201" i="13" s="1"/>
  <c r="J201" i="13" s="1"/>
  <c r="H207" i="34" s="1"/>
  <c r="I207" i="34" s="1"/>
  <c r="K207" i="34" s="1"/>
  <c r="F200" i="25" s="1"/>
  <c r="H223" i="13"/>
  <c r="I223" i="13" s="1"/>
  <c r="J223" i="13" s="1"/>
  <c r="H229" i="34" s="1"/>
  <c r="I229" i="34" s="1"/>
  <c r="K229" i="34" s="1"/>
  <c r="F222" i="25" s="1"/>
  <c r="H143" i="13"/>
  <c r="I143" i="13" s="1"/>
  <c r="J143" i="13" s="1"/>
  <c r="H149" i="34" s="1"/>
  <c r="I149" i="34" s="1"/>
  <c r="K149" i="34" s="1"/>
  <c r="F142" i="25" s="1"/>
  <c r="I142" i="25" s="1"/>
  <c r="H42" i="13"/>
  <c r="I42" i="13" s="1"/>
  <c r="J42" i="13" s="1"/>
  <c r="H48" i="34" s="1"/>
  <c r="I48" i="34" s="1"/>
  <c r="K48" i="34" s="1"/>
  <c r="F41" i="25" s="1"/>
  <c r="I41" i="25" s="1"/>
  <c r="H15" i="13"/>
  <c r="I15" i="13" s="1"/>
  <c r="J15" i="13" s="1"/>
  <c r="H21" i="34" s="1"/>
  <c r="I21" i="34" s="1"/>
  <c r="K21" i="34" s="1"/>
  <c r="F14" i="25" s="1"/>
  <c r="I14" i="25" s="1"/>
  <c r="H12" i="13"/>
  <c r="I12" i="13" s="1"/>
  <c r="J12" i="13" s="1"/>
  <c r="H18" i="34" s="1"/>
  <c r="I18" i="34" s="1"/>
  <c r="K18" i="34" s="1"/>
  <c r="F11" i="25" s="1"/>
  <c r="I11" i="25" s="1"/>
  <c r="H257" i="13"/>
  <c r="I257" i="13" s="1"/>
  <c r="J257" i="13" s="1"/>
  <c r="H263" i="34" s="1"/>
  <c r="I263" i="34" s="1"/>
  <c r="K263" i="34" s="1"/>
  <c r="F256" i="25" s="1"/>
  <c r="I256" i="25" s="1"/>
  <c r="H60" i="13"/>
  <c r="I60" i="13" s="1"/>
  <c r="J60" i="13" s="1"/>
  <c r="H66" i="34" s="1"/>
  <c r="I66" i="34" s="1"/>
  <c r="K66" i="34" s="1"/>
  <c r="F59" i="25" s="1"/>
  <c r="I59" i="25" s="1"/>
  <c r="H111" i="13"/>
  <c r="I111" i="13" s="1"/>
  <c r="J111" i="13" s="1"/>
  <c r="H117" i="34" s="1"/>
  <c r="I117" i="34" s="1"/>
  <c r="K117" i="34" s="1"/>
  <c r="F110" i="25" s="1"/>
  <c r="I110" i="25" s="1"/>
  <c r="H289" i="13"/>
  <c r="I289" i="13" s="1"/>
  <c r="J289" i="13" s="1"/>
  <c r="H295" i="34" s="1"/>
  <c r="I295" i="34" s="1"/>
  <c r="K295" i="34" s="1"/>
  <c r="F288" i="25" s="1"/>
  <c r="H212" i="13"/>
  <c r="I212" i="13" s="1"/>
  <c r="J212" i="13" s="1"/>
  <c r="H218" i="34" s="1"/>
  <c r="I218" i="34" s="1"/>
  <c r="K218" i="34" s="1"/>
  <c r="F211" i="25" s="1"/>
  <c r="I211" i="25" s="1"/>
  <c r="H304" i="13"/>
  <c r="I304" i="13" s="1"/>
  <c r="J304" i="13" s="1"/>
  <c r="H310" i="34" s="1"/>
  <c r="I310" i="34" s="1"/>
  <c r="K310" i="34" s="1"/>
  <c r="F303" i="25" s="1"/>
  <c r="I303" i="25" s="1"/>
  <c r="H65" i="13"/>
  <c r="I65" i="13" s="1"/>
  <c r="J65" i="13" s="1"/>
  <c r="H71" i="34" s="1"/>
  <c r="I71" i="34" s="1"/>
  <c r="K71" i="34" s="1"/>
  <c r="F64" i="25" s="1"/>
  <c r="I64" i="25" s="1"/>
  <c r="H280" i="13"/>
  <c r="I280" i="13" s="1"/>
  <c r="J280" i="13" s="1"/>
  <c r="H286" i="34" s="1"/>
  <c r="I286" i="34" s="1"/>
  <c r="K286" i="34" s="1"/>
  <c r="F279" i="25" s="1"/>
  <c r="I279" i="25" s="1"/>
  <c r="H104" i="13"/>
  <c r="I104" i="13" s="1"/>
  <c r="J104" i="13" s="1"/>
  <c r="H110" i="34" s="1"/>
  <c r="I110" i="34" s="1"/>
  <c r="K110" i="34" s="1"/>
  <c r="F103" i="25" s="1"/>
  <c r="I103" i="25" s="1"/>
  <c r="H273" i="13"/>
  <c r="I273" i="13" s="1"/>
  <c r="J273" i="13" s="1"/>
  <c r="H279" i="34" s="1"/>
  <c r="I279" i="34" s="1"/>
  <c r="K279" i="34" s="1"/>
  <c r="F272" i="25" s="1"/>
  <c r="I272" i="25" s="1"/>
  <c r="H204" i="13"/>
  <c r="I204" i="13" s="1"/>
  <c r="J204" i="13" s="1"/>
  <c r="H210" i="34" s="1"/>
  <c r="I210" i="34" s="1"/>
  <c r="K210" i="34" s="1"/>
  <c r="F203" i="25" s="1"/>
  <c r="I203" i="25" s="1"/>
  <c r="H14" i="13"/>
  <c r="I14" i="13" s="1"/>
  <c r="J14" i="13" s="1"/>
  <c r="H20" i="34" s="1"/>
  <c r="I20" i="34" s="1"/>
  <c r="K20" i="34" s="1"/>
  <c r="F13" i="25" s="1"/>
  <c r="I13" i="25" s="1"/>
  <c r="H299" i="13"/>
  <c r="I299" i="13" s="1"/>
  <c r="J299" i="13" s="1"/>
  <c r="H305" i="34" s="1"/>
  <c r="I305" i="34" s="1"/>
  <c r="K305" i="34" s="1"/>
  <c r="F298" i="25" s="1"/>
  <c r="I298" i="25" s="1"/>
  <c r="H239" i="13"/>
  <c r="I239" i="13" s="1"/>
  <c r="J239" i="13" s="1"/>
  <c r="H245" i="34" s="1"/>
  <c r="I245" i="34" s="1"/>
  <c r="K245" i="34" s="1"/>
  <c r="F238" i="25" s="1"/>
  <c r="I238" i="25" s="1"/>
  <c r="H54" i="13"/>
  <c r="I54" i="13" s="1"/>
  <c r="J54" i="13" s="1"/>
  <c r="H60" i="34" s="1"/>
  <c r="I60" i="34" s="1"/>
  <c r="K60" i="34" s="1"/>
  <c r="F53" i="25" s="1"/>
  <c r="I53" i="25" s="1"/>
  <c r="H234" i="13"/>
  <c r="I234" i="13" s="1"/>
  <c r="J234" i="13" s="1"/>
  <c r="H240" i="34" s="1"/>
  <c r="I240" i="34" s="1"/>
  <c r="K240" i="34" s="1"/>
  <c r="F233" i="25" s="1"/>
  <c r="I233" i="25" s="1"/>
  <c r="H106" i="13"/>
  <c r="I106" i="13" s="1"/>
  <c r="J106" i="13" s="1"/>
  <c r="H112" i="34" s="1"/>
  <c r="I112" i="34" s="1"/>
  <c r="K112" i="34" s="1"/>
  <c r="F105" i="25" s="1"/>
  <c r="I105" i="25" s="1"/>
  <c r="H43" i="13"/>
  <c r="I43" i="13" s="1"/>
  <c r="J43" i="13" s="1"/>
  <c r="H49" i="34" s="1"/>
  <c r="I49" i="34" s="1"/>
  <c r="K49" i="34" s="1"/>
  <c r="F42" i="25" s="1"/>
  <c r="I42" i="25" s="1"/>
  <c r="H258" i="13"/>
  <c r="I258" i="13" s="1"/>
  <c r="J258" i="13" s="1"/>
  <c r="H264" i="34" s="1"/>
  <c r="I264" i="34" s="1"/>
  <c r="K264" i="34" s="1"/>
  <c r="F257" i="25" s="1"/>
  <c r="I257" i="25" s="1"/>
  <c r="H87" i="13"/>
  <c r="I87" i="13" s="1"/>
  <c r="J87" i="13" s="1"/>
  <c r="H93" i="34" s="1"/>
  <c r="I93" i="34" s="1"/>
  <c r="K93" i="34" s="1"/>
  <c r="F86" i="25" s="1"/>
  <c r="I86" i="25" s="1"/>
  <c r="H255" i="13"/>
  <c r="I255" i="13" s="1"/>
  <c r="J255" i="13" s="1"/>
  <c r="H261" i="34" s="1"/>
  <c r="I261" i="34" s="1"/>
  <c r="K261" i="34" s="1"/>
  <c r="F254" i="25" s="1"/>
  <c r="I254" i="25" s="1"/>
  <c r="H294" i="13"/>
  <c r="I294" i="13" s="1"/>
  <c r="J294" i="13" s="1"/>
  <c r="H300" i="34" s="1"/>
  <c r="I300" i="34" s="1"/>
  <c r="K300" i="34" s="1"/>
  <c r="F293" i="25" s="1"/>
  <c r="I293" i="25" s="1"/>
  <c r="H161" i="13"/>
  <c r="I161" i="13" s="1"/>
  <c r="J161" i="13" s="1"/>
  <c r="H167" i="34" s="1"/>
  <c r="I167" i="34" s="1"/>
  <c r="K167" i="34" s="1"/>
  <c r="F160" i="25" s="1"/>
  <c r="I160" i="25" s="1"/>
  <c r="H13" i="13"/>
  <c r="I13" i="13" s="1"/>
  <c r="J13" i="13" s="1"/>
  <c r="H19" i="34" s="1"/>
  <c r="I19" i="34" s="1"/>
  <c r="K19" i="34" s="1"/>
  <c r="F12" i="25" s="1"/>
  <c r="I12" i="25" s="1"/>
  <c r="H85" i="13"/>
  <c r="I85" i="13" s="1"/>
  <c r="J85" i="13" s="1"/>
  <c r="H91" i="34" s="1"/>
  <c r="I91" i="34" s="1"/>
  <c r="K91" i="34" s="1"/>
  <c r="F84" i="25" s="1"/>
  <c r="I84" i="25" s="1"/>
  <c r="H163" i="13"/>
  <c r="I163" i="13" s="1"/>
  <c r="J163" i="13" s="1"/>
  <c r="H169" i="34" s="1"/>
  <c r="I169" i="34" s="1"/>
  <c r="K169" i="34" s="1"/>
  <c r="F162" i="25" s="1"/>
  <c r="H48" i="13"/>
  <c r="I48" i="13" s="1"/>
  <c r="J48" i="13" s="1"/>
  <c r="H54" i="34" s="1"/>
  <c r="I54" i="34" s="1"/>
  <c r="K54" i="34" s="1"/>
  <c r="F47" i="25" s="1"/>
  <c r="I47" i="25" s="1"/>
  <c r="H221" i="13"/>
  <c r="I221" i="13" s="1"/>
  <c r="J221" i="13" s="1"/>
  <c r="H227" i="34" s="1"/>
  <c r="I227" i="34" s="1"/>
  <c r="K227" i="34" s="1"/>
  <c r="F220" i="25" s="1"/>
  <c r="I220" i="25" s="1"/>
  <c r="H215" i="13"/>
  <c r="I215" i="13" s="1"/>
  <c r="J215" i="13" s="1"/>
  <c r="H221" i="34" s="1"/>
  <c r="I221" i="34" s="1"/>
  <c r="K221" i="34" s="1"/>
  <c r="F214" i="25" s="1"/>
  <c r="I214" i="25" s="1"/>
  <c r="H130" i="13"/>
  <c r="I130" i="13" s="1"/>
  <c r="J130" i="13" s="1"/>
  <c r="H136" i="34" s="1"/>
  <c r="I136" i="34" s="1"/>
  <c r="K136" i="34" s="1"/>
  <c r="F129" i="25" s="1"/>
  <c r="I129" i="25" s="1"/>
  <c r="H128" i="13"/>
  <c r="I128" i="13" s="1"/>
  <c r="J128" i="13" s="1"/>
  <c r="H134" i="34" s="1"/>
  <c r="I134" i="34" s="1"/>
  <c r="K134" i="34" s="1"/>
  <c r="F127" i="25" s="1"/>
  <c r="I127" i="25" s="1"/>
  <c r="H295" i="13"/>
  <c r="I295" i="13" s="1"/>
  <c r="J295" i="13" s="1"/>
  <c r="H301" i="34" s="1"/>
  <c r="I301" i="34" s="1"/>
  <c r="K301" i="34" s="1"/>
  <c r="F294" i="25" s="1"/>
  <c r="I294" i="25" s="1"/>
  <c r="H150" i="13"/>
  <c r="I150" i="13" s="1"/>
  <c r="J150" i="13" s="1"/>
  <c r="H156" i="34" s="1"/>
  <c r="I156" i="34" s="1"/>
  <c r="K156" i="34" s="1"/>
  <c r="F149" i="25" s="1"/>
  <c r="I149" i="25" s="1"/>
  <c r="H52" i="13"/>
  <c r="I52" i="13" s="1"/>
  <c r="J52" i="13" s="1"/>
  <c r="H58" i="34" s="1"/>
  <c r="I58" i="34" s="1"/>
  <c r="K58" i="34" s="1"/>
  <c r="F51" i="25" s="1"/>
  <c r="I51" i="25" s="1"/>
  <c r="H95" i="13"/>
  <c r="I95" i="13" s="1"/>
  <c r="J95" i="13" s="1"/>
  <c r="H101" i="34" s="1"/>
  <c r="I101" i="34" s="1"/>
  <c r="K101" i="34" s="1"/>
  <c r="F94" i="25" s="1"/>
  <c r="I94" i="25" s="1"/>
  <c r="H139" i="13"/>
  <c r="I139" i="13" s="1"/>
  <c r="J139" i="13" s="1"/>
  <c r="H145" i="34" s="1"/>
  <c r="I145" i="34" s="1"/>
  <c r="K145" i="34" s="1"/>
  <c r="F138" i="25" s="1"/>
  <c r="I138" i="25" s="1"/>
  <c r="H119" i="13"/>
  <c r="I119" i="13" s="1"/>
  <c r="J119" i="13" s="1"/>
  <c r="H125" i="34" s="1"/>
  <c r="I125" i="34" s="1"/>
  <c r="K125" i="34" s="1"/>
  <c r="F118" i="25" s="1"/>
  <c r="I118" i="25" s="1"/>
  <c r="H253" i="13"/>
  <c r="I253" i="13" s="1"/>
  <c r="J253" i="13" s="1"/>
  <c r="H259" i="34" s="1"/>
  <c r="I259" i="34" s="1"/>
  <c r="K259" i="34" s="1"/>
  <c r="F252" i="25" s="1"/>
  <c r="I252" i="25" s="1"/>
  <c r="H213" i="13"/>
  <c r="I213" i="13" s="1"/>
  <c r="J213" i="13" s="1"/>
  <c r="H219" i="34" s="1"/>
  <c r="I219" i="34" s="1"/>
  <c r="K219" i="34" s="1"/>
  <c r="F212" i="25" s="1"/>
  <c r="I212" i="25" s="1"/>
  <c r="H68" i="13"/>
  <c r="I68" i="13" s="1"/>
  <c r="J68" i="13" s="1"/>
  <c r="H74" i="34" s="1"/>
  <c r="I74" i="34" s="1"/>
  <c r="K74" i="34" s="1"/>
  <c r="F67" i="25" s="1"/>
  <c r="I67" i="25" s="1"/>
  <c r="H8" i="13"/>
  <c r="I8" i="13" s="1"/>
  <c r="J8" i="13" s="1"/>
  <c r="H14" i="34" s="1"/>
  <c r="I14" i="34" s="1"/>
  <c r="K14" i="34" s="1"/>
  <c r="F7" i="25" s="1"/>
  <c r="I7" i="25" s="1"/>
  <c r="H254" i="13"/>
  <c r="I254" i="13" s="1"/>
  <c r="J254" i="13" s="1"/>
  <c r="H260" i="34" s="1"/>
  <c r="I260" i="34" s="1"/>
  <c r="K260" i="34" s="1"/>
  <c r="F253" i="25" s="1"/>
  <c r="I253" i="25" s="1"/>
  <c r="H282" i="13"/>
  <c r="I282" i="13" s="1"/>
  <c r="J282" i="13" s="1"/>
  <c r="H288" i="34" s="1"/>
  <c r="I288" i="34" s="1"/>
  <c r="K288" i="34" s="1"/>
  <c r="F281" i="25" s="1"/>
  <c r="I281" i="25" s="1"/>
  <c r="H208" i="13"/>
  <c r="I208" i="13" s="1"/>
  <c r="J208" i="13" s="1"/>
  <c r="H214" i="34" s="1"/>
  <c r="I214" i="34" s="1"/>
  <c r="K214" i="34" s="1"/>
  <c r="F207" i="25" s="1"/>
  <c r="I207" i="25" s="1"/>
  <c r="H88" i="13"/>
  <c r="I88" i="13" s="1"/>
  <c r="J88" i="13" s="1"/>
  <c r="H94" i="34" s="1"/>
  <c r="I94" i="34" s="1"/>
  <c r="K94" i="34" s="1"/>
  <c r="F87" i="25" s="1"/>
  <c r="I87" i="25" s="1"/>
  <c r="H232" i="13"/>
  <c r="I232" i="13" s="1"/>
  <c r="J232" i="13" s="1"/>
  <c r="H238" i="34" s="1"/>
  <c r="I238" i="34" s="1"/>
  <c r="K238" i="34" s="1"/>
  <c r="F231" i="25" s="1"/>
  <c r="I231" i="25" s="1"/>
  <c r="H277" i="13"/>
  <c r="I277" i="13" s="1"/>
  <c r="J277" i="13" s="1"/>
  <c r="H283" i="34" s="1"/>
  <c r="I283" i="34" s="1"/>
  <c r="K283" i="34" s="1"/>
  <c r="F276" i="25" s="1"/>
  <c r="I276" i="25" s="1"/>
  <c r="H138" i="13"/>
  <c r="I138" i="13" s="1"/>
  <c r="J138" i="13" s="1"/>
  <c r="H144" i="34" s="1"/>
  <c r="I144" i="34" s="1"/>
  <c r="K144" i="34" s="1"/>
  <c r="F137" i="25" s="1"/>
  <c r="I137" i="25" s="1"/>
  <c r="H134" i="13"/>
  <c r="I134" i="13" s="1"/>
  <c r="J134" i="13" s="1"/>
  <c r="H140" i="34" s="1"/>
  <c r="I140" i="34" s="1"/>
  <c r="K140" i="34" s="1"/>
  <c r="F133" i="25" s="1"/>
  <c r="I133" i="25" s="1"/>
  <c r="H302" i="13"/>
  <c r="I302" i="13" s="1"/>
  <c r="J302" i="13" s="1"/>
  <c r="H308" i="34" s="1"/>
  <c r="I308" i="34" s="1"/>
  <c r="K308" i="34" s="1"/>
  <c r="F301" i="25" s="1"/>
  <c r="I301" i="25" s="1"/>
  <c r="H176" i="13"/>
  <c r="I176" i="13" s="1"/>
  <c r="J176" i="13" s="1"/>
  <c r="H182" i="34" s="1"/>
  <c r="I182" i="34" s="1"/>
  <c r="K182" i="34" s="1"/>
  <c r="F175" i="25" s="1"/>
  <c r="I175" i="25" s="1"/>
  <c r="H33" i="13"/>
  <c r="I33" i="13" s="1"/>
  <c r="J33" i="13" s="1"/>
  <c r="H39" i="34" s="1"/>
  <c r="I39" i="34" s="1"/>
  <c r="K39" i="34" s="1"/>
  <c r="F32" i="25" s="1"/>
  <c r="I32" i="25" s="1"/>
  <c r="H209" i="13"/>
  <c r="I209" i="13" s="1"/>
  <c r="J209" i="13" s="1"/>
  <c r="H215" i="34" s="1"/>
  <c r="I215" i="34" s="1"/>
  <c r="K215" i="34" s="1"/>
  <c r="F208" i="25" s="1"/>
  <c r="I208" i="25" s="1"/>
  <c r="H28" i="13"/>
  <c r="I28" i="13" s="1"/>
  <c r="J28" i="13" s="1"/>
  <c r="H34" i="34" s="1"/>
  <c r="I34" i="34" s="1"/>
  <c r="K34" i="34" s="1"/>
  <c r="F27" i="25" s="1"/>
  <c r="I27" i="25" s="1"/>
  <c r="H18" i="13"/>
  <c r="I18" i="13" s="1"/>
  <c r="J18" i="13" s="1"/>
  <c r="H24" i="34" s="1"/>
  <c r="I24" i="34" s="1"/>
  <c r="K24" i="34" s="1"/>
  <c r="F17" i="25" s="1"/>
  <c r="I17" i="25" s="1"/>
  <c r="H172" i="13"/>
  <c r="I172" i="13" s="1"/>
  <c r="J172" i="13" s="1"/>
  <c r="H178" i="34" s="1"/>
  <c r="I178" i="34" s="1"/>
  <c r="K178" i="34" s="1"/>
  <c r="F171" i="25" s="1"/>
  <c r="I171" i="25" s="1"/>
  <c r="H78" i="13"/>
  <c r="I78" i="13" s="1"/>
  <c r="J78" i="13" s="1"/>
  <c r="H84" i="34" s="1"/>
  <c r="I84" i="34" s="1"/>
  <c r="K84" i="34" s="1"/>
  <c r="F77" i="25" s="1"/>
  <c r="I77" i="25" s="1"/>
  <c r="H203" i="13"/>
  <c r="I203" i="13" s="1"/>
  <c r="J203" i="13" s="1"/>
  <c r="H209" i="34" s="1"/>
  <c r="I209" i="34" s="1"/>
  <c r="K209" i="34" s="1"/>
  <c r="F202" i="25" s="1"/>
  <c r="I202" i="25" s="1"/>
  <c r="H175" i="13"/>
  <c r="I175" i="13" s="1"/>
  <c r="J175" i="13" s="1"/>
  <c r="H181" i="34" s="1"/>
  <c r="I181" i="34" s="1"/>
  <c r="K181" i="34" s="1"/>
  <c r="F174" i="25" s="1"/>
  <c r="I174" i="25" s="1"/>
  <c r="H229" i="13"/>
  <c r="I229" i="13" s="1"/>
  <c r="J229" i="13" s="1"/>
  <c r="H235" i="34" s="1"/>
  <c r="I235" i="34" s="1"/>
  <c r="K235" i="34" s="1"/>
  <c r="F228" i="25" s="1"/>
  <c r="I228" i="25" s="1"/>
  <c r="H238" i="13"/>
  <c r="I238" i="13" s="1"/>
  <c r="J238" i="13" s="1"/>
  <c r="H244" i="34" s="1"/>
  <c r="I244" i="34" s="1"/>
  <c r="K244" i="34" s="1"/>
  <c r="F237" i="25" s="1"/>
  <c r="I237" i="25" s="1"/>
  <c r="H26" i="13"/>
  <c r="I26" i="13" s="1"/>
  <c r="J26" i="13" s="1"/>
  <c r="H32" i="34" s="1"/>
  <c r="I32" i="34" s="1"/>
  <c r="K32" i="34" s="1"/>
  <c r="F25" i="25" s="1"/>
  <c r="I25" i="25" s="1"/>
  <c r="H169" i="13"/>
  <c r="I169" i="13" s="1"/>
  <c r="J169" i="13" s="1"/>
  <c r="H175" i="34" s="1"/>
  <c r="I175" i="34" s="1"/>
  <c r="K175" i="34" s="1"/>
  <c r="F168" i="25" s="1"/>
  <c r="I168" i="25" s="1"/>
  <c r="H152" i="13"/>
  <c r="I152" i="13" s="1"/>
  <c r="J152" i="13" s="1"/>
  <c r="H158" i="34" s="1"/>
  <c r="I158" i="34" s="1"/>
  <c r="K158" i="34" s="1"/>
  <c r="F151" i="25" s="1"/>
  <c r="I151" i="25" s="1"/>
  <c r="H51" i="13"/>
  <c r="I51" i="13" s="1"/>
  <c r="J51" i="13" s="1"/>
  <c r="H57" i="34" s="1"/>
  <c r="I57" i="34" s="1"/>
  <c r="K57" i="34" s="1"/>
  <c r="F50" i="25" s="1"/>
  <c r="I50" i="25" s="1"/>
  <c r="H154" i="13"/>
  <c r="I154" i="13" s="1"/>
  <c r="J154" i="13" s="1"/>
  <c r="H160" i="34" s="1"/>
  <c r="I160" i="34" s="1"/>
  <c r="K160" i="34" s="1"/>
  <c r="F153" i="25" s="1"/>
  <c r="I153" i="25" s="1"/>
  <c r="H182" i="13"/>
  <c r="I182" i="13" s="1"/>
  <c r="J182" i="13" s="1"/>
  <c r="H188" i="34" s="1"/>
  <c r="I188" i="34" s="1"/>
  <c r="K188" i="34" s="1"/>
  <c r="F181" i="25" s="1"/>
  <c r="I181" i="25" s="1"/>
  <c r="H252" i="13"/>
  <c r="I252" i="13" s="1"/>
  <c r="J252" i="13" s="1"/>
  <c r="H258" i="34" s="1"/>
  <c r="I258" i="34" s="1"/>
  <c r="K258" i="34" s="1"/>
  <c r="F251" i="25" s="1"/>
  <c r="I251" i="25" s="1"/>
  <c r="H140" i="13"/>
  <c r="I140" i="13" s="1"/>
  <c r="J140" i="13" s="1"/>
  <c r="H146" i="34" s="1"/>
  <c r="I146" i="34" s="1"/>
  <c r="K146" i="34" s="1"/>
  <c r="F139" i="25" s="1"/>
  <c r="I139" i="25" s="1"/>
  <c r="H29" i="13"/>
  <c r="I29" i="13" s="1"/>
  <c r="J29" i="13" s="1"/>
  <c r="H35" i="34" s="1"/>
  <c r="I35" i="34" s="1"/>
  <c r="K35" i="34" s="1"/>
  <c r="F28" i="25" s="1"/>
  <c r="I28" i="25" s="1"/>
  <c r="H117" i="13"/>
  <c r="I117" i="13" s="1"/>
  <c r="J117" i="13" s="1"/>
  <c r="H123" i="34" s="1"/>
  <c r="I123" i="34" s="1"/>
  <c r="K123" i="34" s="1"/>
  <c r="F116" i="25" s="1"/>
  <c r="I116" i="25" s="1"/>
  <c r="H80" i="13"/>
  <c r="I80" i="13" s="1"/>
  <c r="J80" i="13" s="1"/>
  <c r="H86" i="34" s="1"/>
  <c r="I86" i="34" s="1"/>
  <c r="K86" i="34" s="1"/>
  <c r="F79" i="25" s="1"/>
  <c r="I79" i="25" s="1"/>
  <c r="H75" i="13"/>
  <c r="I75" i="13" s="1"/>
  <c r="J75" i="13" s="1"/>
  <c r="H81" i="34" s="1"/>
  <c r="I81" i="34" s="1"/>
  <c r="K81" i="34" s="1"/>
  <c r="F74" i="25" s="1"/>
  <c r="I74" i="25" s="1"/>
  <c r="H188" i="13"/>
  <c r="I188" i="13" s="1"/>
  <c r="J188" i="13" s="1"/>
  <c r="H194" i="34" s="1"/>
  <c r="I194" i="34" s="1"/>
  <c r="K194" i="34" s="1"/>
  <c r="F187" i="25" s="1"/>
  <c r="I187" i="25" s="1"/>
  <c r="H264" i="13"/>
  <c r="I264" i="13" s="1"/>
  <c r="J264" i="13" s="1"/>
  <c r="H270" i="34" s="1"/>
  <c r="I270" i="34" s="1"/>
  <c r="K270" i="34" s="1"/>
  <c r="F263" i="25" s="1"/>
  <c r="I263" i="25" s="1"/>
  <c r="H96" i="13"/>
  <c r="I96" i="13" s="1"/>
  <c r="J96" i="13" s="1"/>
  <c r="H102" i="34" s="1"/>
  <c r="I102" i="34" s="1"/>
  <c r="K102" i="34" s="1"/>
  <c r="F95" i="25" s="1"/>
  <c r="I95" i="25" s="1"/>
  <c r="H220" i="13"/>
  <c r="I220" i="13" s="1"/>
  <c r="J220" i="13" s="1"/>
  <c r="H226" i="34" s="1"/>
  <c r="I226" i="34" s="1"/>
  <c r="K226" i="34" s="1"/>
  <c r="F219" i="25" s="1"/>
  <c r="I219" i="25" s="1"/>
  <c r="H46" i="13"/>
  <c r="I46" i="13" s="1"/>
  <c r="J46" i="13" s="1"/>
  <c r="H52" i="34" s="1"/>
  <c r="I52" i="34" s="1"/>
  <c r="K52" i="34" s="1"/>
  <c r="F45" i="25" s="1"/>
  <c r="I45" i="25" s="1"/>
  <c r="H296" i="13"/>
  <c r="I296" i="13" s="1"/>
  <c r="J296" i="13" s="1"/>
  <c r="H302" i="34" s="1"/>
  <c r="I302" i="34" s="1"/>
  <c r="K302" i="34" s="1"/>
  <c r="F295" i="25" s="1"/>
  <c r="I295" i="25" s="1"/>
  <c r="H228" i="13"/>
  <c r="I228" i="13" s="1"/>
  <c r="J228" i="13" s="1"/>
  <c r="H234" i="34" s="1"/>
  <c r="I234" i="34" s="1"/>
  <c r="K234" i="34" s="1"/>
  <c r="F227" i="25" s="1"/>
  <c r="H200" i="13"/>
  <c r="I200" i="13" s="1"/>
  <c r="J200" i="13" s="1"/>
  <c r="H206" i="34" s="1"/>
  <c r="I206" i="34" s="1"/>
  <c r="K206" i="34" s="1"/>
  <c r="F199" i="25" s="1"/>
  <c r="I199" i="25" s="1"/>
  <c r="H144" i="13"/>
  <c r="I144" i="13" s="1"/>
  <c r="J144" i="13" s="1"/>
  <c r="H150" i="34" s="1"/>
  <c r="I150" i="34" s="1"/>
  <c r="K150" i="34" s="1"/>
  <c r="F143" i="25" s="1"/>
  <c r="I143" i="25" s="1"/>
  <c r="H218" i="13"/>
  <c r="I218" i="13" s="1"/>
  <c r="J218" i="13" s="1"/>
  <c r="H224" i="34" s="1"/>
  <c r="I224" i="34" s="1"/>
  <c r="K224" i="34" s="1"/>
  <c r="F217" i="25" s="1"/>
  <c r="I217" i="25" s="1"/>
  <c r="H193" i="13"/>
  <c r="I193" i="13" s="1"/>
  <c r="J193" i="13" s="1"/>
  <c r="H199" i="34" s="1"/>
  <c r="I199" i="34" s="1"/>
  <c r="K199" i="34" s="1"/>
  <c r="F192" i="25" s="1"/>
  <c r="I192" i="25" s="1"/>
  <c r="H22" i="13"/>
  <c r="I22" i="13" s="1"/>
  <c r="J22" i="13" s="1"/>
  <c r="H28" i="34" s="1"/>
  <c r="I28" i="34" s="1"/>
  <c r="K28" i="34" s="1"/>
  <c r="F21" i="25" s="1"/>
  <c r="H173" i="13"/>
  <c r="I173" i="13" s="1"/>
  <c r="J173" i="13" s="1"/>
  <c r="H179" i="34" s="1"/>
  <c r="I179" i="34" s="1"/>
  <c r="K179" i="34" s="1"/>
  <c r="F172" i="25" s="1"/>
  <c r="I172" i="25" s="1"/>
  <c r="H261" i="13"/>
  <c r="I261" i="13" s="1"/>
  <c r="J261" i="13" s="1"/>
  <c r="H267" i="34" s="1"/>
  <c r="I267" i="34" s="1"/>
  <c r="K267" i="34" s="1"/>
  <c r="F260" i="25" s="1"/>
  <c r="I260" i="25" s="1"/>
  <c r="H207" i="13"/>
  <c r="I207" i="13" s="1"/>
  <c r="J207" i="13" s="1"/>
  <c r="H213" i="34" s="1"/>
  <c r="I213" i="34" s="1"/>
  <c r="K213" i="34" s="1"/>
  <c r="F206" i="25" s="1"/>
  <c r="I206" i="25" s="1"/>
  <c r="H45" i="13"/>
  <c r="I45" i="13" s="1"/>
  <c r="J45" i="13" s="1"/>
  <c r="H51" i="34" s="1"/>
  <c r="I51" i="34" s="1"/>
  <c r="K51" i="34" s="1"/>
  <c r="F44" i="25" s="1"/>
  <c r="I44" i="25" s="1"/>
  <c r="H202" i="13"/>
  <c r="I202" i="13" s="1"/>
  <c r="J202" i="13" s="1"/>
  <c r="H208" i="34" s="1"/>
  <c r="I208" i="34" s="1"/>
  <c r="K208" i="34" s="1"/>
  <c r="F201" i="25" s="1"/>
  <c r="I201" i="25" s="1"/>
  <c r="H283" i="13"/>
  <c r="I283" i="13" s="1"/>
  <c r="J283" i="13" s="1"/>
  <c r="H289" i="34" s="1"/>
  <c r="I289" i="34" s="1"/>
  <c r="K289" i="34" s="1"/>
  <c r="F282" i="25" s="1"/>
  <c r="I282" i="25" s="1"/>
  <c r="H165" i="13"/>
  <c r="I165" i="13" s="1"/>
  <c r="J165" i="13" s="1"/>
  <c r="H171" i="34" s="1"/>
  <c r="I171" i="34" s="1"/>
  <c r="K171" i="34" s="1"/>
  <c r="F164" i="25" s="1"/>
  <c r="H168" i="13"/>
  <c r="I168" i="13" s="1"/>
  <c r="J168" i="13" s="1"/>
  <c r="H174" i="34" s="1"/>
  <c r="I174" i="34" s="1"/>
  <c r="K174" i="34" s="1"/>
  <c r="F167" i="25" s="1"/>
  <c r="I167" i="25" s="1"/>
  <c r="H279" i="13"/>
  <c r="I279" i="13" s="1"/>
  <c r="J279" i="13" s="1"/>
  <c r="H285" i="34" s="1"/>
  <c r="I285" i="34" s="1"/>
  <c r="K285" i="34" s="1"/>
  <c r="F278" i="25" s="1"/>
  <c r="I278" i="25" s="1"/>
  <c r="H103" i="13"/>
  <c r="I103" i="13" s="1"/>
  <c r="J103" i="13" s="1"/>
  <c r="H109" i="34" s="1"/>
  <c r="I109" i="34" s="1"/>
  <c r="K109" i="34" s="1"/>
  <c r="F102" i="25" s="1"/>
  <c r="H288" i="13"/>
  <c r="I288" i="13" s="1"/>
  <c r="J288" i="13" s="1"/>
  <c r="H294" i="34" s="1"/>
  <c r="I294" i="34" s="1"/>
  <c r="K294" i="34" s="1"/>
  <c r="F287" i="25" s="1"/>
  <c r="I287" i="25" s="1"/>
  <c r="H125" i="13"/>
  <c r="I125" i="13" s="1"/>
  <c r="J125" i="13" s="1"/>
  <c r="H131" i="34" s="1"/>
  <c r="I131" i="34" s="1"/>
  <c r="K131" i="34" s="1"/>
  <c r="F124" i="25" s="1"/>
  <c r="I124" i="25" s="1"/>
  <c r="H230" i="13"/>
  <c r="I230" i="13" s="1"/>
  <c r="J230" i="13" s="1"/>
  <c r="H236" i="34" s="1"/>
  <c r="I236" i="34" s="1"/>
  <c r="K236" i="34" s="1"/>
  <c r="F229" i="25" s="1"/>
  <c r="I229" i="25" s="1"/>
  <c r="H174" i="13"/>
  <c r="I174" i="13" s="1"/>
  <c r="J174" i="13" s="1"/>
  <c r="H180" i="34" s="1"/>
  <c r="I180" i="34" s="1"/>
  <c r="K180" i="34" s="1"/>
  <c r="F173" i="25" s="1"/>
  <c r="I173" i="25" s="1"/>
  <c r="H112" i="13"/>
  <c r="I112" i="13" s="1"/>
  <c r="J112" i="13" s="1"/>
  <c r="H118" i="34" s="1"/>
  <c r="I118" i="34" s="1"/>
  <c r="K118" i="34" s="1"/>
  <c r="F111" i="25" s="1"/>
  <c r="I111" i="25" s="1"/>
  <c r="H231" i="13"/>
  <c r="I231" i="13" s="1"/>
  <c r="J231" i="13" s="1"/>
  <c r="H237" i="34" s="1"/>
  <c r="I237" i="34" s="1"/>
  <c r="K237" i="34" s="1"/>
  <c r="F230" i="25" s="1"/>
  <c r="I230" i="25" s="1"/>
  <c r="H217" i="13"/>
  <c r="I217" i="13" s="1"/>
  <c r="J217" i="13" s="1"/>
  <c r="H223" i="34" s="1"/>
  <c r="I223" i="34" s="1"/>
  <c r="K223" i="34" s="1"/>
  <c r="F216" i="25" s="1"/>
  <c r="I216" i="25" s="1"/>
  <c r="H98" i="13"/>
  <c r="I98" i="13" s="1"/>
  <c r="J98" i="13" s="1"/>
  <c r="H104" i="34" s="1"/>
  <c r="I104" i="34" s="1"/>
  <c r="K104" i="34" s="1"/>
  <c r="F97" i="25" s="1"/>
  <c r="I97" i="25" s="1"/>
  <c r="H300" i="13"/>
  <c r="I300" i="13" s="1"/>
  <c r="J300" i="13" s="1"/>
  <c r="H306" i="34" s="1"/>
  <c r="I306" i="34" s="1"/>
  <c r="K306" i="34" s="1"/>
  <c r="F299" i="25" s="1"/>
  <c r="I299" i="25" s="1"/>
  <c r="H290" i="13"/>
  <c r="I290" i="13" s="1"/>
  <c r="J290" i="13" s="1"/>
  <c r="H296" i="34" s="1"/>
  <c r="I296" i="34" s="1"/>
  <c r="K296" i="34" s="1"/>
  <c r="F289" i="25" s="1"/>
  <c r="I289" i="25" s="1"/>
  <c r="H90" i="13"/>
  <c r="I90" i="13" s="1"/>
  <c r="J90" i="13" s="1"/>
  <c r="H96" i="34" s="1"/>
  <c r="I96" i="34" s="1"/>
  <c r="K96" i="34" s="1"/>
  <c r="F89" i="25" s="1"/>
  <c r="I89" i="25" s="1"/>
  <c r="H210" i="13"/>
  <c r="I210" i="13" s="1"/>
  <c r="J210" i="13" s="1"/>
  <c r="H216" i="34" s="1"/>
  <c r="I216" i="34" s="1"/>
  <c r="K216" i="34" s="1"/>
  <c r="F209" i="25" s="1"/>
  <c r="I209" i="25" s="1"/>
  <c r="H31" i="13"/>
  <c r="I31" i="13" s="1"/>
  <c r="J31" i="13" s="1"/>
  <c r="H37" i="34" s="1"/>
  <c r="I37" i="34" s="1"/>
  <c r="K37" i="34" s="1"/>
  <c r="F30" i="25" s="1"/>
  <c r="H114" i="13"/>
  <c r="I114" i="13" s="1"/>
  <c r="J114" i="13" s="1"/>
  <c r="H120" i="34" s="1"/>
  <c r="I120" i="34" s="1"/>
  <c r="K120" i="34" s="1"/>
  <c r="F113" i="25" s="1"/>
  <c r="I113" i="25" s="1"/>
  <c r="H16" i="13"/>
  <c r="I16" i="13" s="1"/>
  <c r="J16" i="13" s="1"/>
  <c r="H22" i="34" s="1"/>
  <c r="I22" i="34" s="1"/>
  <c r="K22" i="34" s="1"/>
  <c r="F15" i="25" s="1"/>
  <c r="I15" i="25" s="1"/>
  <c r="H269" i="13"/>
  <c r="I269" i="13" s="1"/>
  <c r="J269" i="13" s="1"/>
  <c r="H275" i="34" s="1"/>
  <c r="I275" i="34" s="1"/>
  <c r="K275" i="34" s="1"/>
  <c r="F268" i="25" s="1"/>
  <c r="I268" i="25" s="1"/>
  <c r="H195" i="13"/>
  <c r="I195" i="13" s="1"/>
  <c r="J195" i="13" s="1"/>
  <c r="H201" i="34" s="1"/>
  <c r="I201" i="34" s="1"/>
  <c r="K201" i="34" s="1"/>
  <c r="F194" i="25" s="1"/>
  <c r="I194" i="25" s="1"/>
  <c r="H235" i="13"/>
  <c r="I235" i="13" s="1"/>
  <c r="J235" i="13" s="1"/>
  <c r="H241" i="34" s="1"/>
  <c r="I241" i="34" s="1"/>
  <c r="K241" i="34" s="1"/>
  <c r="F234" i="25" s="1"/>
  <c r="H243" i="13"/>
  <c r="I243" i="13" s="1"/>
  <c r="J243" i="13" s="1"/>
  <c r="H249" i="34" s="1"/>
  <c r="I249" i="34" s="1"/>
  <c r="K249" i="34" s="1"/>
  <c r="F242" i="25" s="1"/>
  <c r="I242" i="25" s="1"/>
  <c r="H27" i="13"/>
  <c r="I27" i="13" s="1"/>
  <c r="J27" i="13" s="1"/>
  <c r="H33" i="34" s="1"/>
  <c r="I33" i="34" s="1"/>
  <c r="K33" i="34" s="1"/>
  <c r="F26" i="25" s="1"/>
  <c r="H127" i="13"/>
  <c r="I127" i="13" s="1"/>
  <c r="J127" i="13" s="1"/>
  <c r="H133" i="34" s="1"/>
  <c r="I133" i="34" s="1"/>
  <c r="K133" i="34" s="1"/>
  <c r="F126" i="25" s="1"/>
  <c r="I126" i="25" s="1"/>
  <c r="H123" i="13"/>
  <c r="I123" i="13" s="1"/>
  <c r="J123" i="13" s="1"/>
  <c r="H129" i="34" s="1"/>
  <c r="I129" i="34" s="1"/>
  <c r="K129" i="34" s="1"/>
  <c r="F122" i="25" s="1"/>
  <c r="I122" i="25" s="1"/>
  <c r="H100" i="13"/>
  <c r="I100" i="13" s="1"/>
  <c r="J100" i="13" s="1"/>
  <c r="H106" i="34" s="1"/>
  <c r="I106" i="34" s="1"/>
  <c r="K106" i="34" s="1"/>
  <c r="F99" i="25" s="1"/>
  <c r="H272" i="13"/>
  <c r="I272" i="13" s="1"/>
  <c r="J272" i="13" s="1"/>
  <c r="H278" i="34" s="1"/>
  <c r="I278" i="34" s="1"/>
  <c r="K278" i="34" s="1"/>
  <c r="F271" i="25" s="1"/>
  <c r="I271" i="25" s="1"/>
  <c r="H216" i="13"/>
  <c r="I216" i="13" s="1"/>
  <c r="J216" i="13" s="1"/>
  <c r="H222" i="34" s="1"/>
  <c r="I222" i="34" s="1"/>
  <c r="K222" i="34" s="1"/>
  <c r="F215" i="25" s="1"/>
  <c r="I215" i="25" s="1"/>
  <c r="H115" i="13"/>
  <c r="I115" i="13" s="1"/>
  <c r="J115" i="13" s="1"/>
  <c r="H121" i="34" s="1"/>
  <c r="I121" i="34" s="1"/>
  <c r="K121" i="34" s="1"/>
  <c r="F114" i="25" s="1"/>
  <c r="I114" i="25" s="1"/>
  <c r="H157" i="13"/>
  <c r="I157" i="13" s="1"/>
  <c r="J157" i="13" s="1"/>
  <c r="H163" i="34" s="1"/>
  <c r="I163" i="34" s="1"/>
  <c r="K163" i="34" s="1"/>
  <c r="F156" i="25" s="1"/>
  <c r="I156" i="25" s="1"/>
  <c r="H142" i="13"/>
  <c r="I142" i="13" s="1"/>
  <c r="J142" i="13" s="1"/>
  <c r="H148" i="34" s="1"/>
  <c r="I148" i="34" s="1"/>
  <c r="K148" i="34" s="1"/>
  <c r="F141" i="25" s="1"/>
  <c r="I141" i="25" s="1"/>
  <c r="H76" i="13"/>
  <c r="I76" i="13" s="1"/>
  <c r="J76" i="13" s="1"/>
  <c r="H82" i="34" s="1"/>
  <c r="I82" i="34" s="1"/>
  <c r="K82" i="34" s="1"/>
  <c r="F75" i="25" s="1"/>
  <c r="I75" i="25" s="1"/>
  <c r="H180" i="13"/>
  <c r="I180" i="13" s="1"/>
  <c r="J180" i="13" s="1"/>
  <c r="H186" i="34" s="1"/>
  <c r="I186" i="34" s="1"/>
  <c r="K186" i="34" s="1"/>
  <c r="F179" i="25" s="1"/>
  <c r="I179" i="25" s="1"/>
  <c r="H259" i="13"/>
  <c r="I259" i="13" s="1"/>
  <c r="J259" i="13" s="1"/>
  <c r="H265" i="34" s="1"/>
  <c r="I265" i="34" s="1"/>
  <c r="K265" i="34" s="1"/>
  <c r="F258" i="25" s="1"/>
  <c r="I258" i="25" s="1"/>
  <c r="H249" i="13"/>
  <c r="I249" i="13" s="1"/>
  <c r="J249" i="13" s="1"/>
  <c r="H255" i="34" s="1"/>
  <c r="I255" i="34" s="1"/>
  <c r="K255" i="34" s="1"/>
  <c r="F248" i="25" s="1"/>
  <c r="I248" i="25" s="1"/>
  <c r="H297" i="13"/>
  <c r="I297" i="13" s="1"/>
  <c r="J297" i="13" s="1"/>
  <c r="H303" i="34" s="1"/>
  <c r="I303" i="34" s="1"/>
  <c r="K303" i="34" s="1"/>
  <c r="F296" i="25" s="1"/>
  <c r="I296" i="25" s="1"/>
  <c r="H240" i="13"/>
  <c r="I240" i="13" s="1"/>
  <c r="J240" i="13" s="1"/>
  <c r="H246" i="34" s="1"/>
  <c r="I246" i="34" s="1"/>
  <c r="K246" i="34" s="1"/>
  <c r="F239" i="25" s="1"/>
  <c r="I239" i="25" s="1"/>
  <c r="H67" i="13"/>
  <c r="I67" i="13" s="1"/>
  <c r="J67" i="13" s="1"/>
  <c r="H73" i="34" s="1"/>
  <c r="I73" i="34" s="1"/>
  <c r="K73" i="34" s="1"/>
  <c r="F66" i="25" s="1"/>
  <c r="I66" i="25" s="1"/>
  <c r="H248" i="13"/>
  <c r="I248" i="13" s="1"/>
  <c r="J248" i="13" s="1"/>
  <c r="H254" i="34" s="1"/>
  <c r="I254" i="34" s="1"/>
  <c r="K254" i="34" s="1"/>
  <c r="F247" i="25" s="1"/>
  <c r="I247" i="25" s="1"/>
  <c r="H263" i="13"/>
  <c r="I263" i="13" s="1"/>
  <c r="J263" i="13" s="1"/>
  <c r="H269" i="34" s="1"/>
  <c r="I269" i="34" s="1"/>
  <c r="K269" i="34" s="1"/>
  <c r="F262" i="25" s="1"/>
  <c r="I262" i="25" s="1"/>
  <c r="H156" i="13"/>
  <c r="I156" i="13" s="1"/>
  <c r="J156" i="13" s="1"/>
  <c r="H162" i="34" s="1"/>
  <c r="I162" i="34" s="1"/>
  <c r="K162" i="34" s="1"/>
  <c r="F155" i="25" s="1"/>
  <c r="I155" i="25" s="1"/>
  <c r="H260" i="13"/>
  <c r="I260" i="13" s="1"/>
  <c r="J260" i="13" s="1"/>
  <c r="H266" i="34" s="1"/>
  <c r="I266" i="34" s="1"/>
  <c r="K266" i="34" s="1"/>
  <c r="F259" i="25" s="1"/>
  <c r="I259" i="25" s="1"/>
  <c r="H23" i="13"/>
  <c r="I23" i="13" s="1"/>
  <c r="J23" i="13" s="1"/>
  <c r="H29" i="34" s="1"/>
  <c r="I29" i="34" s="1"/>
  <c r="K29" i="34" s="1"/>
  <c r="F22" i="25" s="1"/>
  <c r="I22" i="25" s="1"/>
  <c r="H170" i="13"/>
  <c r="I170" i="13" s="1"/>
  <c r="J170" i="13" s="1"/>
  <c r="H176" i="34" s="1"/>
  <c r="I176" i="34" s="1"/>
  <c r="K176" i="34" s="1"/>
  <c r="F169" i="25" s="1"/>
  <c r="I169" i="25" s="1"/>
  <c r="H171" i="13"/>
  <c r="I171" i="13" s="1"/>
  <c r="J171" i="13" s="1"/>
  <c r="H177" i="34" s="1"/>
  <c r="I177" i="34" s="1"/>
  <c r="K177" i="34" s="1"/>
  <c r="F170" i="25" s="1"/>
  <c r="I170" i="25" s="1"/>
  <c r="H118" i="13"/>
  <c r="I118" i="13" s="1"/>
  <c r="J118" i="13" s="1"/>
  <c r="H124" i="34" s="1"/>
  <c r="I124" i="34" s="1"/>
  <c r="K124" i="34" s="1"/>
  <c r="F117" i="25" s="1"/>
  <c r="H86" i="13"/>
  <c r="I86" i="13" s="1"/>
  <c r="J86" i="13" s="1"/>
  <c r="H92" i="34" s="1"/>
  <c r="I92" i="34" s="1"/>
  <c r="K92" i="34" s="1"/>
  <c r="F85" i="25" s="1"/>
  <c r="I85" i="25" s="1"/>
  <c r="H247" i="13"/>
  <c r="I247" i="13" s="1"/>
  <c r="J247" i="13" s="1"/>
  <c r="H253" i="34" s="1"/>
  <c r="I253" i="34" s="1"/>
  <c r="K253" i="34" s="1"/>
  <c r="F246" i="25" s="1"/>
  <c r="I246" i="25" s="1"/>
  <c r="H32" i="13"/>
  <c r="I32" i="13" s="1"/>
  <c r="J32" i="13" s="1"/>
  <c r="H38" i="34" s="1"/>
  <c r="I38" i="34" s="1"/>
  <c r="K38" i="34" s="1"/>
  <c r="F31" i="25" s="1"/>
  <c r="I31" i="25" s="1"/>
  <c r="H155" i="13"/>
  <c r="I155" i="13" s="1"/>
  <c r="J155" i="13" s="1"/>
  <c r="H161" i="34" s="1"/>
  <c r="I161" i="34" s="1"/>
  <c r="K161" i="34" s="1"/>
  <c r="F154" i="25" s="1"/>
  <c r="I154" i="25" s="1"/>
  <c r="H61" i="13"/>
  <c r="I61" i="13" s="1"/>
  <c r="J61" i="13" s="1"/>
  <c r="H67" i="34" s="1"/>
  <c r="I67" i="34" s="1"/>
  <c r="K67" i="34" s="1"/>
  <c r="F60" i="25" s="1"/>
  <c r="I60" i="25" s="1"/>
  <c r="H198" i="13"/>
  <c r="I198" i="13" s="1"/>
  <c r="J198" i="13" s="1"/>
  <c r="H204" i="34" s="1"/>
  <c r="I204" i="34" s="1"/>
  <c r="K204" i="34" s="1"/>
  <c r="F197" i="25" s="1"/>
  <c r="I197" i="25" s="1"/>
  <c r="H77" i="13"/>
  <c r="I77" i="13" s="1"/>
  <c r="J77" i="13" s="1"/>
  <c r="H83" i="34" s="1"/>
  <c r="I83" i="34" s="1"/>
  <c r="K83" i="34" s="1"/>
  <c r="F76" i="25" s="1"/>
  <c r="I76" i="25" s="1"/>
  <c r="H274" i="13"/>
  <c r="I274" i="13" s="1"/>
  <c r="J274" i="13" s="1"/>
  <c r="H280" i="34" s="1"/>
  <c r="I280" i="34" s="1"/>
  <c r="K280" i="34" s="1"/>
  <c r="F273" i="25" s="1"/>
  <c r="I273" i="25" s="1"/>
  <c r="H35" i="13"/>
  <c r="I35" i="13" s="1"/>
  <c r="J35" i="13" s="1"/>
  <c r="H21" i="13"/>
  <c r="I21" i="13" s="1"/>
  <c r="J21" i="13" s="1"/>
  <c r="H27" i="34" s="1"/>
  <c r="I27" i="34" s="1"/>
  <c r="K27" i="34" s="1"/>
  <c r="F20" i="25" s="1"/>
  <c r="I20" i="25" s="1"/>
  <c r="H285" i="13"/>
  <c r="I285" i="13" s="1"/>
  <c r="J285" i="13" s="1"/>
  <c r="H291" i="34" s="1"/>
  <c r="I291" i="34" s="1"/>
  <c r="K291" i="34" s="1"/>
  <c r="F284" i="25" s="1"/>
  <c r="I284" i="25" s="1"/>
  <c r="H133" i="13"/>
  <c r="I133" i="13" s="1"/>
  <c r="J133" i="13" s="1"/>
  <c r="H139" i="34" s="1"/>
  <c r="I139" i="34" s="1"/>
  <c r="K139" i="34" s="1"/>
  <c r="F132" i="25" s="1"/>
  <c r="H11" i="13"/>
  <c r="I11" i="13" s="1"/>
  <c r="J11" i="13" s="1"/>
  <c r="H17" i="34" s="1"/>
  <c r="I17" i="34" s="1"/>
  <c r="K17" i="34" s="1"/>
  <c r="F10" i="25" s="1"/>
  <c r="I10" i="25" s="1"/>
  <c r="H189" i="13"/>
  <c r="I189" i="13" s="1"/>
  <c r="J189" i="13" s="1"/>
  <c r="H195" i="34" s="1"/>
  <c r="I195" i="34" s="1"/>
  <c r="K195" i="34" s="1"/>
  <c r="F188" i="25" s="1"/>
  <c r="I188" i="25" s="1"/>
  <c r="H132" i="13"/>
  <c r="I132" i="13" s="1"/>
  <c r="J132" i="13" s="1"/>
  <c r="H138" i="34" s="1"/>
  <c r="I138" i="34" s="1"/>
  <c r="K138" i="34" s="1"/>
  <c r="F131" i="25" s="1"/>
  <c r="I131" i="25" s="1"/>
  <c r="H55" i="13"/>
  <c r="I55" i="13" s="1"/>
  <c r="J55" i="13" s="1"/>
  <c r="H61" i="34" s="1"/>
  <c r="I61" i="34" s="1"/>
  <c r="K61" i="34" s="1"/>
  <c r="F54" i="25" s="1"/>
  <c r="I54" i="25" s="1"/>
  <c r="H184" i="13"/>
  <c r="I184" i="13" s="1"/>
  <c r="J184" i="13" s="1"/>
  <c r="H190" i="34" s="1"/>
  <c r="I190" i="34" s="1"/>
  <c r="K190" i="34" s="1"/>
  <c r="F183" i="25" s="1"/>
  <c r="I183" i="25" s="1"/>
  <c r="H19" i="13"/>
  <c r="I19" i="13" s="1"/>
  <c r="J19" i="13" s="1"/>
  <c r="H25" i="34" s="1"/>
  <c r="I25" i="34" s="1"/>
  <c r="K25" i="34" s="1"/>
  <c r="F18" i="25" s="1"/>
  <c r="I18" i="25" s="1"/>
  <c r="I167" i="13"/>
  <c r="J167" i="13" s="1"/>
  <c r="H173" i="34" s="1"/>
  <c r="I173" i="34" s="1"/>
  <c r="K173" i="34" s="1"/>
  <c r="F166" i="25" s="1"/>
  <c r="I301" i="13"/>
  <c r="J301" i="13" s="1"/>
  <c r="H307" i="34" s="1"/>
  <c r="I307" i="34" s="1"/>
  <c r="K307" i="34" s="1"/>
  <c r="F300" i="25" s="1"/>
  <c r="I300" i="25" s="1"/>
  <c r="F299" i="54"/>
  <c r="F158" i="54"/>
  <c r="F92" i="54"/>
  <c r="F79" i="54"/>
  <c r="F59" i="54"/>
  <c r="K306" i="12"/>
  <c r="G6" i="39"/>
  <c r="H6" i="39" s="1"/>
  <c r="F296" i="54" l="1"/>
  <c r="F101" i="54"/>
  <c r="F159" i="54"/>
  <c r="F157" i="54"/>
  <c r="F73" i="54"/>
  <c r="F247" i="54"/>
  <c r="F130" i="54"/>
  <c r="F279" i="54"/>
  <c r="F26" i="54"/>
  <c r="F127" i="54"/>
  <c r="F300" i="54"/>
  <c r="F94" i="54"/>
  <c r="F43" i="54"/>
  <c r="H41" i="34"/>
  <c r="I41" i="34" s="1"/>
  <c r="K41" i="34" s="1"/>
  <c r="F34" i="25" s="1"/>
  <c r="I34" i="25" s="1"/>
  <c r="I117" i="25"/>
  <c r="F118" i="54"/>
  <c r="I162" i="25"/>
  <c r="F163" i="54"/>
  <c r="I109" i="25"/>
  <c r="F110" i="54"/>
  <c r="F47" i="54"/>
  <c r="I234" i="25"/>
  <c r="F235" i="54"/>
  <c r="I130" i="25"/>
  <c r="F131" i="54"/>
  <c r="F63" i="54"/>
  <c r="I227" i="25"/>
  <c r="F228" i="54"/>
  <c r="I200" i="25"/>
  <c r="F201" i="54"/>
  <c r="I102" i="25"/>
  <c r="F103" i="54"/>
  <c r="I135" i="25"/>
  <c r="F136" i="54"/>
  <c r="I132" i="25"/>
  <c r="F133" i="54"/>
  <c r="I99" i="25"/>
  <c r="F100" i="54"/>
  <c r="I21" i="25"/>
  <c r="F22" i="54"/>
  <c r="I26" i="25"/>
  <c r="F27" i="54"/>
  <c r="F40" i="54"/>
  <c r="I30" i="25"/>
  <c r="F31" i="54"/>
  <c r="I164" i="25"/>
  <c r="F165" i="54"/>
  <c r="I288" i="25"/>
  <c r="F289" i="54"/>
  <c r="I222" i="25"/>
  <c r="F223" i="54"/>
  <c r="I140" i="25"/>
  <c r="F141" i="54"/>
  <c r="I166" i="25"/>
  <c r="F167" i="54"/>
  <c r="F196" i="54"/>
  <c r="F268" i="54"/>
  <c r="F106" i="54"/>
  <c r="F36" i="54"/>
  <c r="F54" i="54"/>
  <c r="F65" i="54"/>
  <c r="F78" i="54"/>
  <c r="F76" i="54"/>
  <c r="F199" i="54"/>
  <c r="F248" i="54"/>
  <c r="F74" i="54"/>
  <c r="F274" i="54"/>
  <c r="F219" i="54"/>
  <c r="F148" i="54"/>
  <c r="F30" i="54"/>
  <c r="F272" i="54"/>
  <c r="F48" i="54"/>
  <c r="F86" i="54"/>
  <c r="F66" i="54"/>
  <c r="F226" i="54"/>
  <c r="F255" i="54"/>
  <c r="F302" i="54"/>
  <c r="F218" i="54"/>
  <c r="F28" i="54"/>
  <c r="F233" i="54"/>
  <c r="F287" i="54"/>
  <c r="F134" i="54"/>
  <c r="F283" i="54"/>
  <c r="F32" i="54"/>
  <c r="F72" i="54"/>
  <c r="F173" i="54"/>
  <c r="F239" i="54"/>
  <c r="F161" i="54"/>
  <c r="F294" i="54"/>
  <c r="F169" i="54"/>
  <c r="F75" i="54"/>
  <c r="F51" i="54"/>
  <c r="F80" i="54"/>
  <c r="F168" i="54"/>
  <c r="F182" i="54"/>
  <c r="F145" i="54"/>
  <c r="F179" i="54"/>
  <c r="F60" i="54"/>
  <c r="F140" i="54"/>
  <c r="F198" i="54"/>
  <c r="F90" i="54"/>
  <c r="F21" i="54"/>
  <c r="F224" i="54"/>
  <c r="F170" i="54"/>
  <c r="F249" i="54"/>
  <c r="F152" i="54"/>
  <c r="F116" i="54"/>
  <c r="F34" i="54"/>
  <c r="F56" i="54"/>
  <c r="F109" i="54"/>
  <c r="F225" i="54"/>
  <c r="F105" i="54"/>
  <c r="F164" i="54"/>
  <c r="F193" i="54"/>
  <c r="F297" i="54"/>
  <c r="F102" i="54"/>
  <c r="F292" i="54"/>
  <c r="F70" i="54"/>
  <c r="F285" i="54"/>
  <c r="F88" i="54"/>
  <c r="F166" i="54"/>
  <c r="F98" i="54"/>
  <c r="F120" i="54"/>
  <c r="F99" i="54"/>
  <c r="F62" i="54"/>
  <c r="F77" i="54"/>
  <c r="F273" i="54"/>
  <c r="F81" i="54"/>
  <c r="F187" i="54"/>
  <c r="F68" i="54"/>
  <c r="F275" i="54"/>
  <c r="F119" i="54"/>
  <c r="F38" i="54"/>
  <c r="F20" i="54"/>
  <c r="F52" i="54"/>
  <c r="F50" i="54"/>
  <c r="F298" i="54"/>
  <c r="F67" i="54"/>
  <c r="F129" i="54"/>
  <c r="F277" i="54"/>
  <c r="F227" i="54"/>
  <c r="F191" i="54"/>
  <c r="F175" i="54"/>
  <c r="F251" i="54"/>
  <c r="F207" i="54"/>
  <c r="F242" i="54"/>
  <c r="F276" i="54"/>
  <c r="F192" i="54"/>
  <c r="F113" i="54"/>
  <c r="F83" i="54"/>
  <c r="F214" i="54"/>
  <c r="F104" i="54"/>
  <c r="F262" i="54"/>
  <c r="F149" i="54"/>
  <c r="F82" i="54"/>
  <c r="F265" i="54"/>
  <c r="F123" i="54"/>
  <c r="F243" i="54"/>
  <c r="F154" i="54"/>
  <c r="F155" i="54"/>
  <c r="F230" i="54"/>
  <c r="F263" i="54"/>
  <c r="F138" i="54"/>
  <c r="F246" i="54"/>
  <c r="F126" i="54"/>
  <c r="F204" i="54"/>
  <c r="F222" i="54"/>
  <c r="F220" i="54"/>
  <c r="F42" i="54"/>
  <c r="F288" i="54"/>
  <c r="F205" i="54"/>
  <c r="F259" i="54"/>
  <c r="F185" i="54"/>
  <c r="F16" i="54"/>
  <c r="F45" i="54"/>
  <c r="F188" i="54"/>
  <c r="F33" i="54"/>
  <c r="F252" i="54"/>
  <c r="F232" i="54"/>
  <c r="F128" i="54"/>
  <c r="F41" i="54"/>
  <c r="F282" i="54"/>
  <c r="F212" i="54"/>
  <c r="F24" i="54"/>
  <c r="F253" i="54"/>
  <c r="F215" i="54"/>
  <c r="F217" i="54"/>
  <c r="F49" i="54"/>
  <c r="F257" i="54"/>
  <c r="F186" i="54"/>
  <c r="F183" i="54"/>
  <c r="F190" i="54"/>
  <c r="F156" i="54"/>
  <c r="F18" i="54"/>
  <c r="F266" i="54"/>
  <c r="F194" i="54"/>
  <c r="F264" i="54"/>
  <c r="F301" i="54"/>
  <c r="F267" i="54"/>
  <c r="F278" i="54"/>
  <c r="F256" i="54"/>
  <c r="F200" i="54"/>
  <c r="F29" i="54"/>
  <c r="F229" i="54"/>
  <c r="F269" i="54"/>
  <c r="F171" i="54"/>
  <c r="F174" i="54"/>
  <c r="F250" i="54"/>
  <c r="F181" i="54"/>
  <c r="F162" i="54"/>
  <c r="F19" i="54"/>
  <c r="F151" i="54"/>
  <c r="F211" i="54"/>
  <c r="F17" i="54"/>
  <c r="F195" i="54"/>
  <c r="F241" i="54"/>
  <c r="F209" i="54"/>
  <c r="F303" i="54"/>
  <c r="F176" i="54"/>
  <c r="F108" i="54"/>
  <c r="F132" i="54"/>
  <c r="F184" i="54"/>
  <c r="F144" i="54"/>
  <c r="F58" i="54"/>
  <c r="F238" i="54"/>
  <c r="F97" i="54"/>
  <c r="F240" i="54"/>
  <c r="F122" i="54"/>
  <c r="F84" i="54"/>
  <c r="F295" i="54"/>
  <c r="F53" i="54"/>
  <c r="F210" i="54"/>
  <c r="F15" i="54"/>
  <c r="F203" i="54"/>
  <c r="F221" i="54"/>
  <c r="F216" i="54"/>
  <c r="F147" i="54"/>
  <c r="F245" i="54"/>
  <c r="F121" i="54"/>
  <c r="F160" i="54"/>
  <c r="F61" i="54"/>
  <c r="F271" i="54"/>
  <c r="F125" i="54"/>
  <c r="F137" i="54"/>
  <c r="F231" i="54"/>
  <c r="F153" i="54"/>
  <c r="F177" i="54"/>
  <c r="F135" i="54"/>
  <c r="F270" i="54"/>
  <c r="F146" i="54"/>
  <c r="F142" i="54"/>
  <c r="F46" i="54"/>
  <c r="F57" i="54"/>
  <c r="F284" i="54"/>
  <c r="F213" i="54"/>
  <c r="F64" i="54"/>
  <c r="F258" i="54"/>
  <c r="F280" i="54"/>
  <c r="F286" i="54"/>
  <c r="F261" i="54"/>
  <c r="F95" i="54"/>
  <c r="F236" i="54"/>
  <c r="F234" i="54"/>
  <c r="F293" i="54"/>
  <c r="F85" i="54"/>
  <c r="F150" i="54"/>
  <c r="F291" i="54"/>
  <c r="F39" i="54"/>
  <c r="F290" i="54"/>
  <c r="F254" i="54"/>
  <c r="F89" i="54"/>
  <c r="F139" i="54"/>
  <c r="F124" i="54"/>
  <c r="F69" i="54"/>
  <c r="F44" i="54"/>
  <c r="F117" i="54"/>
  <c r="F115" i="54"/>
  <c r="F112" i="54"/>
  <c r="F114" i="54"/>
  <c r="F23" i="54"/>
  <c r="F143" i="54"/>
  <c r="F197" i="54"/>
  <c r="F111" i="54"/>
  <c r="F237" i="54"/>
  <c r="F208" i="54"/>
  <c r="F244" i="54"/>
  <c r="F189" i="54"/>
  <c r="F71" i="54"/>
  <c r="F206" i="54"/>
  <c r="F25" i="54"/>
  <c r="F281" i="54"/>
  <c r="F172" i="54"/>
  <c r="F96" i="54"/>
  <c r="F87" i="54"/>
  <c r="F180" i="54"/>
  <c r="F37" i="54"/>
  <c r="F55" i="54"/>
  <c r="F107" i="54"/>
  <c r="F178" i="54"/>
  <c r="F260" i="54"/>
  <c r="F202" i="54"/>
  <c r="F93" i="54"/>
  <c r="F91" i="54"/>
  <c r="I6" i="39"/>
  <c r="E38" i="48" s="1"/>
  <c r="F35" i="54" l="1"/>
  <c r="G6" i="13"/>
  <c r="H6" i="13" s="1"/>
  <c r="I6" i="13" s="1"/>
  <c r="J6" i="13" s="1"/>
  <c r="F304" i="54"/>
  <c r="F12" i="54"/>
  <c r="F7" i="54"/>
  <c r="F13" i="54"/>
  <c r="F305" i="54"/>
  <c r="F8" i="54"/>
  <c r="F10" i="54"/>
  <c r="F14" i="54"/>
  <c r="F9" i="54"/>
  <c r="F11" i="54"/>
  <c r="I306" i="39"/>
  <c r="H12" i="34" l="1"/>
  <c r="I12" i="34" s="1"/>
  <c r="E39" i="48"/>
  <c r="F39" i="48" s="1"/>
  <c r="F43" i="48" s="1"/>
  <c r="G306" i="13"/>
  <c r="H306" i="13" s="1"/>
  <c r="F54" i="48" l="1"/>
  <c r="K12" i="34"/>
  <c r="F5" i="25" s="1"/>
  <c r="F6" i="54" s="1"/>
  <c r="E59" i="48" s="1"/>
  <c r="C59" i="48" s="1"/>
  <c r="J306" i="13"/>
  <c r="I5" i="25" l="1"/>
  <c r="H312" i="34"/>
  <c r="D50" i="40" l="1"/>
  <c r="C50" i="40" s="1"/>
  <c r="H11" i="34"/>
  <c r="I312" i="34"/>
  <c r="F306" i="54" l="1"/>
  <c r="I11" i="34"/>
  <c r="K312" i="34"/>
  <c r="F305" i="25"/>
  <c r="I305"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sz val="9"/>
            <color indexed="81"/>
            <rFont val="Tahoma"/>
            <family val="2"/>
          </rPr>
          <t>Veuillez indiquer le nom de la commune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466735A-A832-4970-A628-0FD0BA8C5F9E}">
      <text>
        <r>
          <rPr>
            <sz val="9"/>
            <color indexed="81"/>
            <rFont val="Tahoma"/>
            <family val="2"/>
          </rPr>
          <t>Aux fins du plafond de l'aide, si une commune affiche une PCS totale inférieure à 0 (rare), la PCS sans prélèvements conjoncturels en pts d'impôt est déduite de la colonne D et la colonne E est mise à zéro.</t>
        </r>
      </text>
    </comment>
    <comment ref="H4" authorId="0" shapeId="0" xr:uid="{667F0BDB-6735-4DE4-A442-93ABA8391CEA}">
      <text>
        <r>
          <rPr>
            <sz val="9"/>
            <color indexed="81"/>
            <rFont val="Tahoma"/>
            <family val="2"/>
          </rPr>
          <t xml:space="preserve">Si l'aide péréquatif en faveur d'une commune (total des montants reçus et donnés, sauf montants reçus des dépénses thématiques et les plafonds) dépasse la valeur de 8 de ses points impôt, le </t>
        </r>
        <r>
          <rPr>
            <b/>
            <sz val="9"/>
            <color indexed="81"/>
            <rFont val="Tahoma"/>
            <family val="2"/>
          </rPr>
          <t>plafond de l'aide</t>
        </r>
        <r>
          <rPr>
            <sz val="9"/>
            <color indexed="81"/>
            <rFont val="Tahoma"/>
            <family val="2"/>
          </rPr>
          <t xml:space="preserve"> lui retient un montant égal au dépassement constaté. Les montants ainsi retenus sont utilisé pour réduire les montants nécessaires à l'alimentation du système (voir onglet "vue d'ensemble"). </t>
        </r>
        <r>
          <rPr>
            <u/>
            <sz val="9"/>
            <color indexed="81"/>
            <rFont val="Tahoma"/>
            <family val="2"/>
          </rPr>
          <t>Nota bene</t>
        </r>
        <r>
          <rPr>
            <sz val="9"/>
            <color indexed="81"/>
            <rFont val="Tahoma"/>
            <family val="2"/>
          </rPr>
          <t>: à différence du plafonde l'effort, le plafond de l'aide tient compte des montants payés par les communes au titre du prélèvement sur les impôts conjoncturels en faveur du financement de la PCS.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91AA6013-E2E1-4EFC-BDF8-97B63E2221EB}">
      <text>
        <r>
          <rPr>
            <sz val="9"/>
            <color indexed="81"/>
            <rFont val="Tahoma"/>
            <family val="2"/>
          </rPr>
          <t xml:space="preserve">L'effort péréquatif net de l'année précédente (hors montants reçus des dépenses thématiques et avec tous les plafonds) est déduit du taux d'imposition de la commune. Ensuite, le nouveau effort péréquatif net, cette fois tenant compte des dépenses thématiques, est ajouté au taux après déduction. Si le taux ainsi obtenu (taux projeté) dépasse le taux maximal indiqué, </t>
        </r>
        <r>
          <rPr>
            <b/>
            <sz val="9"/>
            <color indexed="81"/>
            <rFont val="Tahoma"/>
            <family val="2"/>
          </rPr>
          <t>le plafond du taux</t>
        </r>
        <r>
          <rPr>
            <sz val="9"/>
            <color indexed="81"/>
            <rFont val="Tahoma"/>
            <family val="2"/>
          </rPr>
          <t xml:space="preserve"> restitue à la commune un montant égal à l'écart constaté. Les montants restitués sont financés par l'ensemble des communes, via l'alimentation du système (voir onglet "Péréquation directe").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742AA191-2F26-422D-A99A-8CDC59E21F1D}">
      <text>
        <r>
          <rPr>
            <sz val="9"/>
            <color indexed="81"/>
            <rFont val="Tahoma"/>
            <family val="2"/>
          </rPr>
          <t xml:space="preserve">Dans le cadre de la </t>
        </r>
        <r>
          <rPr>
            <b/>
            <sz val="9"/>
            <color indexed="81"/>
            <rFont val="Tahoma"/>
            <family val="2"/>
          </rPr>
          <t>réforme de l'organisation policière de 2012</t>
        </r>
        <r>
          <rPr>
            <sz val="9"/>
            <color indexed="81"/>
            <rFont val="Tahoma"/>
            <family val="2"/>
          </rPr>
          <t>, le canton a basculé 2 points d'impôt aux communes. La valeur de ces points d'impôt communaux est différente de celle des points d'impôt péréquatifs, car elle est calculée uniquement sur la base des impôts suivant le taux communal (par exemple, l'impôt foncier est exclu).</t>
        </r>
      </text>
    </comment>
    <comment ref="I4" authorId="0" shapeId="0" xr:uid="{49A94A71-7E1D-4006-ACF6-1BE60A3C5587}">
      <text>
        <r>
          <rPr>
            <sz val="9"/>
            <color indexed="81"/>
            <rFont val="Tahoma"/>
            <family val="2"/>
          </rPr>
          <t xml:space="preserve">Dans une </t>
        </r>
        <r>
          <rPr>
            <b/>
            <sz val="9"/>
            <color indexed="81"/>
            <rFont val="Tahoma"/>
            <family val="2"/>
          </rPr>
          <t>première étape</t>
        </r>
        <r>
          <rPr>
            <sz val="9"/>
            <color indexed="81"/>
            <rFont val="Tahoma"/>
            <family val="2"/>
          </rPr>
          <t xml:space="preserve">, la facture policière est répartie entre les communes par tête d'habitant. Les montants ainsi obtenus sont facturés exclusivement aux communes délégatrices (c'est-à-dire aux communes qui ne sont pas affiliées à un corps de police intercommunal). Chaque commune délégatrice ne peut néanmoins se voir facturer plus que l'équivalent de 2 de ses points d'impôt </t>
        </r>
        <r>
          <rPr>
            <u/>
            <sz val="9"/>
            <color indexed="81"/>
            <rFont val="Tahoma"/>
            <family val="2"/>
          </rPr>
          <t>communaux</t>
        </r>
        <r>
          <rPr>
            <sz val="9"/>
            <color indexed="81"/>
            <rFont val="Tahoma"/>
            <family val="2"/>
          </rPr>
          <t xml:space="preserve">. 
</t>
        </r>
      </text>
    </comment>
    <comment ref="K4" authorId="0" shapeId="0" xr:uid="{EDE8ACAD-0276-4407-B1D5-8178A6F66632}">
      <text>
        <r>
          <rPr>
            <sz val="9"/>
            <color indexed="81"/>
            <rFont val="Tahoma"/>
            <family val="2"/>
          </rPr>
          <t xml:space="preserve">Dans une </t>
        </r>
        <r>
          <rPr>
            <b/>
            <sz val="9"/>
            <color indexed="81"/>
            <rFont val="Tahoma"/>
            <family val="2"/>
          </rPr>
          <t>deuxième étape</t>
        </r>
        <r>
          <rPr>
            <sz val="9"/>
            <color indexed="81"/>
            <rFont val="Tahoma"/>
            <family val="2"/>
          </rPr>
          <t>, chaque commune verse un nombre de points d'impôt égal au solde restant de la facture policière divisé par la valeur du point d'impôt</t>
        </r>
        <r>
          <rPr>
            <u/>
            <sz val="9"/>
            <color indexed="81"/>
            <rFont val="Tahoma"/>
            <family val="2"/>
          </rPr>
          <t xml:space="preserve"> péréquatif</t>
        </r>
        <r>
          <rPr>
            <sz val="9"/>
            <color indexed="81"/>
            <rFont val="Tahoma"/>
            <family val="2"/>
          </rPr>
          <t xml:space="preserve"> de l'ensemble des communes.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BD2FC531-A035-40DA-BDB5-BA1485ACE662}">
      <text>
        <r>
          <rPr>
            <sz val="9"/>
            <color indexed="81"/>
            <rFont val="Tahoma"/>
            <family val="2"/>
          </rPr>
          <t>Les chiffres en négatif expriment un montant net à recevoir tandis que les chiffres en positif expriment un montant net à verser.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R4" authorId="0" shapeId="0" xr:uid="{FDA799F9-7651-4CD7-97E0-E6DE2160AC48}">
      <text>
        <r>
          <rPr>
            <sz val="9"/>
            <color indexed="81"/>
            <rFont val="Tahoma"/>
            <family val="2"/>
          </rPr>
          <t xml:space="preserve">La </t>
        </r>
        <r>
          <rPr>
            <b/>
            <sz val="9"/>
            <color indexed="81"/>
            <rFont val="Tahoma"/>
            <family val="2"/>
          </rPr>
          <t>valeur du point d'impôt péréquatif</t>
        </r>
        <r>
          <rPr>
            <sz val="9"/>
            <color indexed="81"/>
            <rFont val="Tahoma"/>
            <family val="2"/>
          </rPr>
          <t xml:space="preserve"> est définie par les art. 2 et 5 LPIC. Pour une commune donnée, elle est obtenue en divisant par le taux communal les éléments suivants: la somme des rendements de ses impôts qui dépendent du taux communal, le rendement de son impôt personnel fixe, le rendement de son impôt sur les immeubles des sociétés et le rendement de son impôt foncier (ce dernier normalisé au taux de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F10" authorId="0" shapeId="0" xr:uid="{270426BD-07C5-44A7-8A53-ABF443EE0A45}">
      <text>
        <r>
          <rPr>
            <sz val="9"/>
            <color indexed="81"/>
            <rFont val="Tahoma"/>
            <family val="2"/>
          </rPr>
          <t>La PCS est financée en</t>
        </r>
        <r>
          <rPr>
            <b/>
            <sz val="9"/>
            <color indexed="81"/>
            <rFont val="Tahoma"/>
            <family val="2"/>
          </rPr>
          <t xml:space="preserve"> trois étapes</t>
        </r>
        <r>
          <rPr>
            <sz val="9"/>
            <color indexed="81"/>
            <rFont val="Tahoma"/>
            <family val="2"/>
          </rPr>
          <t>. La</t>
        </r>
        <r>
          <rPr>
            <b/>
            <sz val="9"/>
            <color indexed="81"/>
            <rFont val="Tahoma"/>
            <family val="2"/>
          </rPr>
          <t xml:space="preserve"> première étape </t>
        </r>
        <r>
          <rPr>
            <sz val="9"/>
            <color indexed="81"/>
            <rFont val="Tahoma"/>
            <family val="2"/>
          </rPr>
          <t>prévoit le versement par toutes les communes de 50% des leurs recettes conjoncturelles et de 30% de l'impôt des frontaliers.</t>
        </r>
      </text>
    </comment>
    <comment ref="G10" authorId="0" shapeId="0" xr:uid="{8288FAF0-46A4-49D5-9BC8-6E8DEB0263E9}">
      <text>
        <r>
          <rPr>
            <sz val="9"/>
            <color indexed="81"/>
            <rFont val="Tahoma"/>
            <family val="2"/>
          </rPr>
          <t xml:space="preserve">La </t>
        </r>
        <r>
          <rPr>
            <b/>
            <sz val="9"/>
            <color indexed="81"/>
            <rFont val="Tahoma"/>
            <family val="2"/>
          </rPr>
          <t>deuxième étape de financement</t>
        </r>
        <r>
          <rPr>
            <sz val="9"/>
            <color indexed="81"/>
            <rFont val="Tahoma"/>
            <family val="2"/>
          </rPr>
          <t xml:space="preserve"> prévoit une contribution de la part des communes avec une valeur du point d'impôt péréquatif par habitant (VPIH) supérieur à la moyenne. Le détail du calcul de cette deuxième contribution est dans l'onglet "Ecrêtage".</t>
        </r>
      </text>
    </comment>
    <comment ref="H10" authorId="0" shapeId="0" xr:uid="{8CB4ED49-AE30-4C5E-AA9F-866EDF37CA6B}">
      <text>
        <r>
          <rPr>
            <sz val="9"/>
            <color indexed="81"/>
            <rFont val="Tahoma"/>
            <family val="2"/>
          </rPr>
          <t xml:space="preserve">Dans la </t>
        </r>
        <r>
          <rPr>
            <b/>
            <sz val="9"/>
            <color indexed="81"/>
            <rFont val="Tahoma"/>
            <family val="2"/>
          </rPr>
          <t>dernière étape de financement</t>
        </r>
        <r>
          <rPr>
            <sz val="9"/>
            <color indexed="81"/>
            <rFont val="Tahoma"/>
            <family val="2"/>
          </rPr>
          <t>, le montant de la PCS qui reste à financer (</t>
        </r>
        <r>
          <rPr>
            <b/>
            <sz val="9"/>
            <color indexed="81"/>
            <rFont val="Tahoma"/>
            <family val="2"/>
          </rPr>
          <t>solde</t>
        </r>
        <r>
          <rPr>
            <sz val="9"/>
            <color indexed="81"/>
            <rFont val="Tahoma"/>
            <family val="2"/>
          </rPr>
          <t>) est divisé par la valeur du point d'impôt péréquatif total des communes. Chaque commune verse au système le nombre de points ainsi détérminé.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M4" authorId="0" shapeId="0" xr:uid="{ED0F811D-0F7C-44EA-B462-F5E01D3443D1}">
      <text>
        <r>
          <rPr>
            <sz val="9"/>
            <color indexed="81"/>
            <rFont val="Tahoma"/>
            <family val="2"/>
          </rPr>
          <t>Pour détérminer le montant de l'écrêtage, la VPIH de la commune est</t>
        </r>
        <r>
          <rPr>
            <b/>
            <sz val="9"/>
            <color indexed="81"/>
            <rFont val="Tahoma"/>
            <family val="2"/>
          </rPr>
          <t xml:space="preserve"> initialement</t>
        </r>
        <r>
          <rPr>
            <sz val="9"/>
            <color indexed="81"/>
            <rFont val="Tahoma"/>
            <family val="2"/>
          </rPr>
          <t xml:space="preserve"> comparée avec cinq seuils exprimés en pourcent de la VPIH moyenne des communes. </t>
        </r>
        <r>
          <rPr>
            <b/>
            <sz val="9"/>
            <color indexed="81"/>
            <rFont val="Tahoma"/>
            <family val="2"/>
          </rPr>
          <t>Ensuite</t>
        </r>
        <r>
          <rPr>
            <sz val="9"/>
            <color indexed="81"/>
            <rFont val="Tahoma"/>
            <family val="2"/>
          </rPr>
          <t xml:space="preserve">, les éventuels  écarts constatés sont multipliés par les pourcentages de prélèvement spécifiques à chaque seuil et additionnés. </t>
        </r>
        <r>
          <rPr>
            <b/>
            <sz val="9"/>
            <color indexed="81"/>
            <rFont val="Tahoma"/>
            <family val="2"/>
          </rPr>
          <t>Enfin</t>
        </r>
        <r>
          <rPr>
            <sz val="9"/>
            <color indexed="81"/>
            <rFont val="Tahoma"/>
            <family val="2"/>
          </rPr>
          <t>, cette somme d'écarts pondérés est multipliée par le taux d'imposition de la commune et sa population pour obtenir son montant à verser.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C24E69B-AE57-49AE-9420-1A4BAD449CBC}">
      <text>
        <r>
          <rPr>
            <sz val="9"/>
            <color indexed="81"/>
            <rFont val="Tahoma"/>
            <family val="2"/>
          </rPr>
          <t>Le fonds de péréquation intercommunal (</t>
        </r>
        <r>
          <rPr>
            <b/>
            <sz val="9"/>
            <color indexed="81"/>
            <rFont val="Tahoma"/>
            <family val="2"/>
          </rPr>
          <t>péréquation directe</t>
        </r>
        <r>
          <rPr>
            <sz val="9"/>
            <color indexed="81"/>
            <rFont val="Tahoma"/>
            <family val="2"/>
          </rPr>
          <t xml:space="preserve">) comprend </t>
        </r>
        <r>
          <rPr>
            <b/>
            <sz val="9"/>
            <color indexed="81"/>
            <rFont val="Tahoma"/>
            <family val="2"/>
          </rPr>
          <t>trois couches de subventionnement</t>
        </r>
        <r>
          <rPr>
            <sz val="9"/>
            <color indexed="81"/>
            <rFont val="Tahoma"/>
            <family val="2"/>
          </rPr>
          <t xml:space="preserve"> (population, solidarité et dépenses thématiques) et </t>
        </r>
        <r>
          <rPr>
            <b/>
            <sz val="9"/>
            <color indexed="81"/>
            <rFont val="Tahoma"/>
            <family val="2"/>
          </rPr>
          <t>trois plafonds</t>
        </r>
        <r>
          <rPr>
            <sz val="9"/>
            <color indexed="81"/>
            <rFont val="Tahoma"/>
            <family val="2"/>
          </rPr>
          <t xml:space="preserve"> (effort, aide et taux). Le détail du calcul des montants versés par chaque couche et par chaque plafond est proposé dans les prochains onglets. Le tableau à gauche résume le total des montants versés par les trois couches et par les trois plafonds, ainsi que le </t>
        </r>
        <r>
          <rPr>
            <b/>
            <sz val="9"/>
            <color indexed="81"/>
            <rFont val="Tahoma"/>
            <family val="2"/>
          </rPr>
          <t>forfait pour la gestion du système</t>
        </r>
        <r>
          <rPr>
            <sz val="9"/>
            <color indexed="81"/>
            <rFont val="Tahoma"/>
            <family val="2"/>
          </rPr>
          <t xml:space="preserve"> (CHF 450'000.-). 
</t>
        </r>
        <r>
          <rPr>
            <b/>
            <sz val="9"/>
            <color indexed="81"/>
            <rFont val="Tahoma"/>
            <family val="2"/>
          </rPr>
          <t>Pour financer la péréquation directe</t>
        </r>
        <r>
          <rPr>
            <sz val="9"/>
            <color indexed="81"/>
            <rFont val="Tahoma"/>
            <family val="2"/>
          </rPr>
          <t>, chaque commune verse un nombre de points d'impôt égal au total à financer divisé par la valeur du point d'impôt de l'ensemble des communes.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K7" authorId="0" shapeId="0" xr:uid="{A248159E-0366-49ED-ABDF-E41AA811D6AA}">
      <text>
        <r>
          <rPr>
            <sz val="9"/>
            <color indexed="81"/>
            <rFont val="Tahoma"/>
            <family val="2"/>
          </rPr>
          <t>La</t>
        </r>
        <r>
          <rPr>
            <b/>
            <sz val="9"/>
            <color indexed="81"/>
            <rFont val="Tahoma"/>
            <family val="2"/>
          </rPr>
          <t xml:space="preserve"> couche population</t>
        </r>
        <r>
          <rPr>
            <sz val="9"/>
            <color indexed="81"/>
            <rFont val="Tahoma"/>
            <family val="2"/>
          </rPr>
          <t xml:space="preserve"> verse à chaque commune 125 francs (indexés) par habitant pour ses premiers 1'000 habitants, 350 francs (indexés) par habitant pour les 2'000 habitants suivants et ainsi de suite jusqu'à 1'050 francs (indexés) pour tous les habitants au-délà des premiers 15'000.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54CAD977-3398-46E4-9C38-2E741D99B23F}">
      <text>
        <r>
          <rPr>
            <sz val="9"/>
            <color indexed="81"/>
            <rFont val="Tahoma"/>
            <family val="2"/>
          </rPr>
          <t xml:space="preserve">La </t>
        </r>
        <r>
          <rPr>
            <b/>
            <sz val="9"/>
            <color indexed="81"/>
            <rFont val="Tahoma"/>
            <family val="2"/>
          </rPr>
          <t>couche solidarité</t>
        </r>
        <r>
          <rPr>
            <sz val="9"/>
            <color indexed="81"/>
            <rFont val="Tahoma"/>
            <family val="2"/>
          </rPr>
          <t xml:space="preserve"> attribue aux communes avec une valeur du point d'impôt par habitant (VPIH) inférieure à la moyenne une compensation de base égale à 27% de l'écart entre leur VPIH et cette même moyenne multipliée par sa population et son taux. </t>
        </r>
      </text>
    </comment>
    <comment ref="I4" authorId="0" shapeId="0" xr:uid="{EECF3395-3B44-42A6-96C5-8AAFF7ADEA22}">
      <text>
        <r>
          <rPr>
            <sz val="9"/>
            <color indexed="81"/>
            <rFont val="Tahoma"/>
            <family val="2"/>
          </rPr>
          <t xml:space="preserve">La compensation de base est ensuite </t>
        </r>
        <r>
          <rPr>
            <b/>
            <sz val="9"/>
            <color indexed="81"/>
            <rFont val="Tahoma"/>
            <family val="2"/>
          </rPr>
          <t>pondérée</t>
        </r>
        <r>
          <rPr>
            <sz val="9"/>
            <color indexed="81"/>
            <rFont val="Tahoma"/>
            <family val="2"/>
          </rPr>
          <t xml:space="preserve"> par le rapport entre le taux de la commune et le taux moyen.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E4" authorId="0" shapeId="0" xr:uid="{BAE74BEC-7C7D-40D4-B664-191255A68EA3}">
      <text>
        <r>
          <rPr>
            <sz val="9"/>
            <color indexed="81"/>
            <rFont val="Tahoma"/>
            <family val="2"/>
          </rPr>
          <t xml:space="preserve">Les </t>
        </r>
        <r>
          <rPr>
            <b/>
            <sz val="9"/>
            <color indexed="81"/>
            <rFont val="Tahoma"/>
            <family val="2"/>
          </rPr>
          <t>dépenses effectives en transports</t>
        </r>
        <r>
          <rPr>
            <sz val="9"/>
            <color indexed="81"/>
            <rFont val="Tahoma"/>
            <family val="2"/>
          </rPr>
          <t xml:space="preserve"> déclarées par la commune sont comparées avec l'équivalent de 8 de ses points d'impôt.</t>
        </r>
      </text>
    </comment>
    <comment ref="H4" authorId="0" shapeId="0" xr:uid="{BF62F18C-F207-473C-871E-EBF7229851AD}">
      <text>
        <r>
          <rPr>
            <sz val="9"/>
            <color indexed="81"/>
            <rFont val="Tahoma"/>
            <family val="2"/>
          </rPr>
          <t xml:space="preserve">Les </t>
        </r>
        <r>
          <rPr>
            <b/>
            <sz val="9"/>
            <color indexed="81"/>
            <rFont val="Tahoma"/>
            <family val="2"/>
          </rPr>
          <t>éventuels dépassements sont compensés</t>
        </r>
        <r>
          <rPr>
            <sz val="9"/>
            <color indexed="81"/>
            <rFont val="Tahoma"/>
            <family val="2"/>
          </rPr>
          <t xml:space="preserve"> à hauteur de 75%. Ce taux peut être revu à la baisse si le total des prises en charges (transports + forêts) excède 4,5 points d'impôt de l'ensemble des communes.
</t>
        </r>
      </text>
    </comment>
    <comment ref="L4" authorId="0" shapeId="0" xr:uid="{F683021F-A324-4C56-9374-0E7F671FBDA9}">
      <text>
        <r>
          <rPr>
            <sz val="9"/>
            <color indexed="81"/>
            <rFont val="Tahoma"/>
            <family val="2"/>
          </rPr>
          <t xml:space="preserve">Pour les </t>
        </r>
        <r>
          <rPr>
            <b/>
            <sz val="9"/>
            <color indexed="81"/>
            <rFont val="Tahoma"/>
            <family val="2"/>
          </rPr>
          <t>dépenses effectives en</t>
        </r>
        <r>
          <rPr>
            <b/>
            <sz val="9"/>
            <color indexed="81"/>
            <rFont val="Tahoma"/>
            <family val="2"/>
          </rPr>
          <t xml:space="preserve"> forêts</t>
        </r>
        <r>
          <rPr>
            <sz val="9"/>
            <color indexed="81"/>
            <rFont val="Tahoma"/>
            <family val="2"/>
          </rPr>
          <t xml:space="preserve"> la logique est identique, mais avec un plafond égal à l'équivalent de 1 point d'impôt de la commune.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656BD7C7-68AF-4D04-8DF9-470D7B173C07}">
      <text>
        <r>
          <rPr>
            <sz val="9"/>
            <color indexed="81"/>
            <rFont val="Tahoma"/>
            <family val="2"/>
          </rPr>
          <t>Si l'</t>
        </r>
        <r>
          <rPr>
            <b/>
            <sz val="9"/>
            <color indexed="81"/>
            <rFont val="Tahoma"/>
            <family val="2"/>
          </rPr>
          <t>effort péréquatif net</t>
        </r>
        <r>
          <rPr>
            <sz val="9"/>
            <color indexed="81"/>
            <rFont val="Tahoma"/>
            <family val="2"/>
          </rPr>
          <t xml:space="preserve"> d'une commune (total des montants reçus et versés, sauf prélèvements conjoncturels et plafonds) dépasse la valeur de 48 de ses points d'impôt, le </t>
        </r>
        <r>
          <rPr>
            <b/>
            <sz val="9"/>
            <color indexed="81"/>
            <rFont val="Tahoma"/>
            <family val="2"/>
          </rPr>
          <t xml:space="preserve">plafond de l'effort </t>
        </r>
        <r>
          <rPr>
            <sz val="9"/>
            <color indexed="81"/>
            <rFont val="Tahoma"/>
            <family val="2"/>
          </rPr>
          <t>lui réstitue un montant égal au dépassement constaté. Les montants restitués sont ensuite financés par l'ensemble des communes, via l'alimentation du système (voir onglet "vue d'ensemble").</t>
        </r>
      </text>
    </comment>
  </commentList>
</comments>
</file>

<file path=xl/sharedStrings.xml><?xml version="1.0" encoding="utf-8"?>
<sst xmlns="http://schemas.openxmlformats.org/spreadsheetml/2006/main" count="2824" uniqueCount="577">
  <si>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</si>
  <si>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</si>
  <si>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</si>
  <si>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</si>
  <si>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</si>
  <si>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</si>
  <si>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</si>
  <si>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</si>
  <si>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</si>
  <si>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</si>
  <si>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</si>
  <si>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</si>
  <si>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</si>
  <si>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</si>
  <si>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</si>
  <si>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</si>
  <si>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</si>
  <si>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</si>
  <si>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</si>
  <si>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</si>
  <si>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</si>
  <si>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</si>
  <si>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</si>
  <si>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</si>
  <si>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</si>
  <si>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</si>
  <si>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</si>
  <si>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</si>
  <si>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</si>
  <si>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</si>
  <si>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</si>
  <si>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</si>
  <si>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</si>
  <si>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</si>
  <si>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</si>
  <si>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</si>
  <si>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</si>
  <si>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</si>
  <si>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</si>
  <si>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</si>
  <si>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</si>
  <si>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</si>
  <si>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</si>
  <si>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</si>
  <si>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No OFS</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</si>
  <si>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</si>
  <si>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</si>
  <si>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</si>
  <si>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</si>
  <si>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</si>
  <si>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</si>
  <si>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</si>
  <si>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</si>
  <si>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</si>
  <si>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</si>
  <si>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</si>
  <si>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</si>
  <si>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</si>
  <si>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</si>
  <si>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</si>
  <si>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</si>
  <si>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</si>
  <si>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</si>
  <si>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Nyon</t>
  </si>
  <si>
    <t>Prangins</t>
  </si>
  <si>
    <t>Bougy-Villars</t>
  </si>
  <si>
    <t>Yvorne</t>
  </si>
  <si>
    <t>Aubonne</t>
  </si>
  <si>
    <t>Ballens</t>
  </si>
  <si>
    <t>Berolle</t>
  </si>
  <si>
    <t>Bière</t>
  </si>
  <si>
    <t>Taux communal</t>
  </si>
  <si>
    <t>ISP</t>
  </si>
  <si>
    <t>IPE</t>
  </si>
  <si>
    <t>IET</t>
  </si>
  <si>
    <t>ISO</t>
  </si>
  <si>
    <t>IMM</t>
  </si>
  <si>
    <t>IFO</t>
  </si>
  <si>
    <t>STO</t>
  </si>
  <si>
    <t>IFR</t>
  </si>
  <si>
    <t>ISD</t>
  </si>
  <si>
    <t>DMU</t>
  </si>
  <si>
    <t>IGI</t>
  </si>
  <si>
    <t>TOT</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</si>
  <si>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</si>
  <si>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</si>
  <si>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</si>
  <si>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</si>
  <si>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</si>
  <si>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</si>
  <si>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</si>
  <si>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</si>
  <si>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</si>
  <si>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</si>
  <si>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</si>
  <si>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</si>
  <si>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</si>
  <si>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</si>
  <si>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</si>
  <si>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</si>
  <si>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</si>
  <si>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</si>
  <si>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</si>
  <si>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</si>
  <si>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</si>
  <si>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</si>
  <si>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</si>
  <si>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</si>
  <si>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</si>
  <si>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</si>
  <si>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</si>
  <si>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</si>
  <si>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</si>
  <si>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Plafonnement du taux</t>
  </si>
  <si>
    <t>Rivaz</t>
  </si>
  <si>
    <t>St-Saphorin (Lavaux)</t>
  </si>
  <si>
    <t>Ormont-Dessous</t>
  </si>
  <si>
    <t>Ormont-Dessus</t>
  </si>
  <si>
    <t>Rennaz</t>
  </si>
  <si>
    <t>Roche</t>
  </si>
  <si>
    <t>Villeneuve</t>
  </si>
  <si>
    <t>Romainmôtier-Envy</t>
  </si>
  <si>
    <t>Sergey</t>
  </si>
  <si>
    <t>Valeyres-sous-Rances</t>
  </si>
  <si>
    <t>Total</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</si>
  <si>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</si>
  <si>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</si>
  <si>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</si>
  <si>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</si>
  <si>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</si>
  <si>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</si>
  <si>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</si>
  <si>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</si>
  <si>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</si>
  <si>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</si>
  <si>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</si>
  <si>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</si>
  <si>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</si>
  <si>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</si>
  <si>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</si>
  <si>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</si>
  <si>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</si>
  <si>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</si>
  <si>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</si>
  <si>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</si>
  <si>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</si>
  <si>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</si>
  <si>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</si>
  <si>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</si>
  <si>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</si>
  <si>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Penthalaz</t>
  </si>
  <si>
    <t>Penthaz</t>
  </si>
  <si>
    <t>Pompaples</t>
  </si>
  <si>
    <t>La Sarraz</t>
  </si>
  <si>
    <t>Senarclens</t>
  </si>
  <si>
    <t>Sullens</t>
  </si>
  <si>
    <t>Vufflens-la-Ville</t>
  </si>
  <si>
    <t>Assens</t>
  </si>
  <si>
    <t>Bercher</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</si>
  <si>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</si>
  <si>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</si>
  <si>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</si>
  <si>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</si>
  <si>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</si>
  <si>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</si>
  <si>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</si>
  <si>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</si>
  <si>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</si>
  <si>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</si>
  <si>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</si>
  <si>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</si>
  <si>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</si>
  <si>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</si>
  <si>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</si>
  <si>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</si>
  <si>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</si>
  <si>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</si>
  <si>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</si>
  <si>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</si>
  <si>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</si>
  <si>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</si>
  <si>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</si>
  <si>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</si>
  <si>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</si>
  <si>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</si>
  <si>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</si>
  <si>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Chardonne</t>
  </si>
  <si>
    <t>Corseaux</t>
  </si>
  <si>
    <t>Boussens</t>
  </si>
  <si>
    <t>La Chaux (Cossonay)</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</si>
  <si>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</si>
  <si>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</si>
  <si>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</si>
  <si>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</si>
  <si>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</si>
  <si>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</si>
  <si>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</si>
  <si>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</si>
  <si>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</si>
  <si>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</si>
  <si>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</si>
  <si>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</si>
  <si>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</si>
  <si>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</si>
  <si>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</si>
  <si>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</si>
  <si>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</si>
  <si>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</si>
  <si>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</si>
  <si>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</si>
  <si>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</si>
  <si>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</si>
  <si>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</si>
  <si>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</si>
  <si>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</si>
  <si>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Cuarnens</t>
  </si>
  <si>
    <t>Daillens</t>
  </si>
  <si>
    <t>Dizy</t>
  </si>
  <si>
    <t>Eclépens</t>
  </si>
  <si>
    <t>Pertes débiteurs</t>
  </si>
  <si>
    <t>Imputation forfaitaire</t>
  </si>
  <si>
    <t>Chavannes-près-Renens</t>
  </si>
  <si>
    <t>Chigny</t>
  </si>
  <si>
    <t>Impôt spécial affecté</t>
  </si>
  <si>
    <t>Impôt personnel</t>
  </si>
  <si>
    <t>Aigle</t>
  </si>
  <si>
    <t>Bex</t>
  </si>
  <si>
    <t>Arnex-sur-Orbe</t>
  </si>
  <si>
    <t>Ballaigues</t>
  </si>
  <si>
    <t>Baulmes</t>
  </si>
  <si>
    <t>Bavois</t>
  </si>
  <si>
    <t>Bofflens</t>
  </si>
  <si>
    <t>Bretonnières</t>
  </si>
  <si>
    <t>Chavornay</t>
  </si>
  <si>
    <t>Les Clées</t>
  </si>
  <si>
    <t>Montagny-près-Yverdon</t>
  </si>
  <si>
    <t>Oppens</t>
  </si>
  <si>
    <t>Orges</t>
  </si>
  <si>
    <t>Ursins</t>
  </si>
  <si>
    <t>Vugelles-La Mothe</t>
  </si>
  <si>
    <t>Corcelles-le-Jorat</t>
  </si>
  <si>
    <t>Maracon</t>
  </si>
  <si>
    <t>Montpreveyres</t>
  </si>
  <si>
    <t>Ropraz</t>
  </si>
  <si>
    <t>Servion</t>
  </si>
  <si>
    <t>Mutrux</t>
  </si>
  <si>
    <t>Novalles</t>
  </si>
  <si>
    <t>Onnens</t>
  </si>
  <si>
    <t>Provence</t>
  </si>
  <si>
    <t>en % de la moyenne</t>
  </si>
  <si>
    <t>Seuil 1</t>
  </si>
  <si>
    <t>Seuil 2</t>
  </si>
  <si>
    <t>Total écrêtage</t>
  </si>
  <si>
    <t>Savigny</t>
  </si>
  <si>
    <t>Chexbres</t>
  </si>
  <si>
    <t>Villars-Epeney</t>
  </si>
  <si>
    <t>Puidoux</t>
  </si>
  <si>
    <t>Dépassement transports</t>
  </si>
  <si>
    <t>Population</t>
  </si>
  <si>
    <t>Bas</t>
  </si>
  <si>
    <t>Seuils de population</t>
  </si>
  <si>
    <t>Haut</t>
  </si>
  <si>
    <t>Montants</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</si>
  <si>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</si>
  <si>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</si>
  <si>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</si>
  <si>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</si>
  <si>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</si>
  <si>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</si>
  <si>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</si>
  <si>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</si>
  <si>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</si>
  <si>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</si>
  <si>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</si>
  <si>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</si>
  <si>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</si>
  <si>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</si>
  <si>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</si>
  <si>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</si>
  <si>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</si>
  <si>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</si>
  <si>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</si>
  <si>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</si>
  <si>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</si>
  <si>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</si>
  <si>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</si>
  <si>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</si>
  <si>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</si>
  <si>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</si>
  <si>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</si>
  <si>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</si>
  <si>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</si>
  <si>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</si>
  <si>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</si>
  <si>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</si>
  <si>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</si>
  <si>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</si>
  <si>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</si>
  <si>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</si>
  <si>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</si>
  <si>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Différence à compenser</t>
  </si>
  <si>
    <t xml:space="preserve">Taux actuel </t>
  </si>
  <si>
    <t>Longirod</t>
  </si>
  <si>
    <t>Marchissy</t>
  </si>
  <si>
    <t>Mollens</t>
  </si>
  <si>
    <t>Saint-George</t>
  </si>
  <si>
    <t>Chavannes-le-Veyron</t>
  </si>
  <si>
    <t>Chevilly</t>
  </si>
  <si>
    <t>Cossonay</t>
  </si>
  <si>
    <t>./. Conjoncturelles</t>
  </si>
  <si>
    <t>./. Ecrêtage</t>
  </si>
  <si>
    <t>Seuil max (pts)</t>
  </si>
  <si>
    <t>Impôt à la source</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</si>
  <si>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</si>
  <si>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</si>
  <si>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</si>
  <si>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</si>
  <si>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</si>
  <si>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</si>
  <si>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</si>
  <si>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</si>
  <si>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</si>
  <si>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</si>
  <si>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</si>
  <si>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</si>
  <si>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</si>
  <si>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</si>
  <si>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</si>
  <si>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</si>
  <si>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</si>
  <si>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</si>
  <si>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</si>
  <si>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</si>
  <si>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</si>
  <si>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</si>
  <si>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Points</t>
  </si>
  <si>
    <t>Seuil 3</t>
  </si>
  <si>
    <t>Impôt récupéré après défalcation</t>
  </si>
  <si>
    <t>PPR</t>
  </si>
  <si>
    <t>PPF</t>
  </si>
  <si>
    <t>PMB</t>
  </si>
  <si>
    <t>PMC</t>
  </si>
  <si>
    <t>Bourg-en-Lavaux</t>
  </si>
  <si>
    <t>Tévenon</t>
  </si>
  <si>
    <t>Vully-les-Lacs</t>
  </si>
  <si>
    <t>Goumoëns</t>
  </si>
  <si>
    <t>Montilliez</t>
  </si>
  <si>
    <t>Jorat-Menthue</t>
  </si>
  <si>
    <t>Valbroye</t>
  </si>
  <si>
    <t>Oron</t>
  </si>
  <si>
    <t>Prélèvements conjoncturels</t>
  </si>
  <si>
    <t>Bussigny</t>
  </si>
  <si>
    <t>Arzier-Le Muids</t>
  </si>
  <si>
    <t>Montanaire</t>
  </si>
  <si>
    <t>Indice IPC au 1er janvier 2010</t>
  </si>
  <si>
    <t>Montant à affecter ajusté à l'IPC</t>
  </si>
  <si>
    <t>Population selon FAO</t>
  </si>
  <si>
    <t>CHF</t>
  </si>
  <si>
    <t>Pts</t>
  </si>
  <si>
    <t>pour une capacité dépassant</t>
  </si>
  <si>
    <t>Montant à affecter par habitant</t>
  </si>
  <si>
    <t>Prise en charge maximale</t>
  </si>
  <si>
    <t>Impôts théoriques</t>
  </si>
  <si>
    <t>Ecrêtage</t>
  </si>
  <si>
    <t xml:space="preserve">J) Liste des communes A--&gt;Z </t>
  </si>
  <si>
    <t>Aide</t>
  </si>
  <si>
    <t>Taux</t>
  </si>
  <si>
    <t>Montant à charge de la commune</t>
  </si>
  <si>
    <t>Total à charge des communes</t>
  </si>
  <si>
    <t>Taux IFO</t>
  </si>
  <si>
    <t>P é r é q u a t i o n   d i r e c t e</t>
  </si>
  <si>
    <t>Treytorrens (Payerne)</t>
  </si>
  <si>
    <t>Jorat-Mézières</t>
  </si>
  <si>
    <t>Effort</t>
  </si>
  <si>
    <t>Total net</t>
  </si>
  <si>
    <t>S y n t h è s e   e n   C H F</t>
  </si>
  <si>
    <t>Taux maximum plafonné. Art. 6 DLPIC</t>
  </si>
  <si>
    <t>Seuil 4</t>
  </si>
  <si>
    <t>Seuil 5</t>
  </si>
  <si>
    <t>Point impôt</t>
  </si>
  <si>
    <t>Total de la participation à la cohésion sociale</t>
  </si>
  <si>
    <t xml:space="preserve">Charges de fonctionnement </t>
  </si>
  <si>
    <t xml:space="preserve">Investissements </t>
  </si>
  <si>
    <t>Investissements</t>
  </si>
  <si>
    <t>Transports</t>
  </si>
  <si>
    <t>Forêts</t>
  </si>
  <si>
    <t>Totaux</t>
  </si>
  <si>
    <t>Acomptes*</t>
  </si>
  <si>
    <t>(+ à payer / - à recevoir)</t>
  </si>
  <si>
    <t>Communes</t>
  </si>
  <si>
    <t>Péréquation horizontale</t>
  </si>
  <si>
    <t>Décompte</t>
  </si>
  <si>
    <t>Participation à la cohésion sociale</t>
  </si>
  <si>
    <t>Communes 
LDecTer</t>
  </si>
  <si>
    <t>Hautemorges</t>
  </si>
  <si>
    <t>Table des matières</t>
  </si>
  <si>
    <t>Cette couche alloue des montants à toutes les communes en fonction de leur population. Son but est de tenir compte du fait que certaines charges d’une commune tendent à augmenter avec l’augmentation de sa taille.</t>
  </si>
  <si>
    <t>Les dépenses thématique allouent des montants aux communes qui doivent faire face à des dépenses jugées excessives dans les domaines des transports (routes, transports publics et transports scolaires) et des forêts.</t>
  </si>
  <si>
    <t>Données saisies</t>
  </si>
  <si>
    <t>Plafond de l'effort</t>
  </si>
  <si>
    <t>Plafond de l'aide</t>
  </si>
  <si>
    <t>Plafond du taux</t>
  </si>
  <si>
    <t>Décompte vs acomptes</t>
  </si>
  <si>
    <t>← Précédent</t>
  </si>
  <si>
    <t>Suivant →</t>
  </si>
  <si>
    <t>Paramétrage du système</t>
  </si>
  <si>
    <t>Période de calcul</t>
  </si>
  <si>
    <t>Facture policière</t>
  </si>
  <si>
    <t>Valeur du point d'impôt péréquatif (VPI)</t>
  </si>
  <si>
    <t>Paramètrage de la feuille de calcul et références aux bases légales.</t>
  </si>
  <si>
    <t>Valeur du point d'impôt péréquatif</t>
  </si>
  <si>
    <t>Participation à charge des communes</t>
  </si>
  <si>
    <t>P a r t i c i p a t i o n   à   l a    c o h é s i o n    s o c i a l e</t>
  </si>
  <si>
    <t>T o t a l   p é r é q u a t i o n    e t    f a c t u r e s    c a n t o n a l e s</t>
  </si>
  <si>
    <t>Impôt à la
 source</t>
  </si>
  <si>
    <t>Compensation RFFA</t>
  </si>
  <si>
    <t>Impôt spécial
 affecté</t>
  </si>
  <si>
    <t>Impôt foncier
normalisé</t>
  </si>
  <si>
    <t>Impôt des frontaliers</t>
  </si>
  <si>
    <t>Montant de la PCS à répartir</t>
  </si>
  <si>
    <t>À répartir en points d'impôt</t>
  </si>
  <si>
    <t>Calcul de la capacité fiscale relative</t>
  </si>
  <si>
    <t>% du taux moyen</t>
  </si>
  <si>
    <t>Participation à la cohésion sociale (PCS)</t>
  </si>
  <si>
    <t>Prélèvement sur les impôts conjoncturels</t>
  </si>
  <si>
    <t>Synthèse</t>
  </si>
  <si>
    <t>Plafond
forêts</t>
  </si>
  <si>
    <t>Total
forêts</t>
  </si>
  <si>
    <t>Total
transports</t>
  </si>
  <si>
    <t>Plafonds</t>
  </si>
  <si>
    <t>Plafond en points</t>
  </si>
  <si>
    <t>Alimentation péréquation directe</t>
  </si>
  <si>
    <t>Effort péréquatif net</t>
  </si>
  <si>
    <t>Taux après déduction de l'ancien effort</t>
  </si>
  <si>
    <t>Restitution en CHF</t>
  </si>
  <si>
    <t>Total routes et infrastructures</t>
  </si>
  <si>
    <t>Avec police communale</t>
  </si>
  <si>
    <t>Communes avec police</t>
  </si>
  <si>
    <t>Cette couche alloue des montants aux communes avec une valeur du point d’impôt péréquatif par habitant inférieure à la moyenne. Elle cible de manière directe les disparités de capacité financière entre les communes.</t>
  </si>
  <si>
    <t xml:space="preserve"> Extraction synthétique des montants à recevoir ou à payer pour une commune au choix.</t>
  </si>
  <si>
    <t>Calcul de la valeur du point d'impôt péréquatif selon les dispositions légales en vigueur.</t>
  </si>
  <si>
    <t>Acomptes/décompte et année</t>
  </si>
  <si>
    <t>Impôt sur le revenu</t>
  </si>
  <si>
    <t>Impôt sur la fortune</t>
  </si>
  <si>
    <t>Impôt sur le bénéfice</t>
  </si>
  <si>
    <t>Impôt sur le capital</t>
  </si>
  <si>
    <t>Impôt sur les immeubles des sociétés</t>
  </si>
  <si>
    <t>Prélèvement sur les impôts conjoncturels (art. 3 LPIC)</t>
  </si>
  <si>
    <t>Droits de mutation, gains immobiliers, successions et donations</t>
  </si>
  <si>
    <t>Pourcentage prélevé</t>
  </si>
  <si>
    <t>Ecrêtage (art. 4 LPIC)</t>
  </si>
  <si>
    <t>Couche population (art. 8 LPIC et art. 2 DLPIC)</t>
  </si>
  <si>
    <t>Seuil de population (habitants)</t>
  </si>
  <si>
    <t>Couche solidarité (art. 8 LPIC et art. 3 DLPIC)</t>
  </si>
  <si>
    <t>Taux de compensation pour les communes à faible capacité financière</t>
  </si>
  <si>
    <t>Gestion du fond (art. 8 DLPIC)</t>
  </si>
  <si>
    <t>Montants affectés aux plafonnements et gestion du fond</t>
  </si>
  <si>
    <t>Dépenses thématiques (art. 8 LPIC et art. 4 DLPIC)</t>
  </si>
  <si>
    <t>Entretien des forêts</t>
  </si>
  <si>
    <t>Transports publics, transports routiers et transports scolaires</t>
  </si>
  <si>
    <t>Total des dépassements</t>
  </si>
  <si>
    <t>Compensation théorique</t>
  </si>
  <si>
    <t>Plafond global (art. 4 al. 2)</t>
  </si>
  <si>
    <t>Aide péréquatif maximal en points d'impôt (art. 5 DLPIC)</t>
  </si>
  <si>
    <t>Effort péréquatif maximal en points d'impôt (art. 9d DLPIC)</t>
  </si>
  <si>
    <t>Paramètres des plafonds</t>
  </si>
  <si>
    <t>Total plafonds</t>
  </si>
  <si>
    <t>Financement</t>
  </si>
  <si>
    <t>Indexation du taux maximum</t>
  </si>
  <si>
    <t>Taux plafonné de l'année précédente</t>
  </si>
  <si>
    <t>Valeur du point (année précédente)</t>
  </si>
  <si>
    <t>PCS (année précédente)</t>
  </si>
  <si>
    <t>Montant de la facture 2013</t>
  </si>
  <si>
    <t>Augmentation forfaitaire annuelle</t>
  </si>
  <si>
    <t>Année de la facture policière</t>
  </si>
  <si>
    <t>Budget/comptes et année pour la PCS</t>
  </si>
  <si>
    <t>Date de la population</t>
  </si>
  <si>
    <t>Année des données de référence (rendements, taux, DT, etc.)</t>
  </si>
  <si>
    <t>Acomptes T-1</t>
  </si>
  <si>
    <t>Table des
matières</t>
  </si>
  <si>
    <t>Solde en points d'impôt</t>
  </si>
  <si>
    <t>Valeur du point par habitant</t>
  </si>
  <si>
    <t>Compensation de base</t>
  </si>
  <si>
    <t>Total à financer (alimentation)</t>
  </si>
  <si>
    <t>Différence = 0</t>
  </si>
  <si>
    <t>Données concernant toutes les communes saisies pour être utilisées dans les calculs du système de péréquation.</t>
  </si>
  <si>
    <t>Déduction complémentaire au montant de la PCS selon art. 17b al. 3 LOF</t>
  </si>
  <si>
    <t>à ajouter</t>
  </si>
  <si>
    <t>à déduire</t>
  </si>
  <si>
    <t>Effort  péréquatif net avec plafonds</t>
  </si>
  <si>
    <t>Effort péréquatif net sans dép. thém. et avec plafonds</t>
  </si>
  <si>
    <t>Répartition par habitant de la facture policière</t>
  </si>
  <si>
    <t>Valeur du
point d'impôt péréquatif</t>
  </si>
  <si>
    <t>Valeur du point d'impôt péréquatif par habitant</t>
  </si>
  <si>
    <t>Financement du solde en points</t>
  </si>
  <si>
    <t>Alimentation de la péréquation directe</t>
  </si>
  <si>
    <t>Données -&gt; Analyse de scenario -&gt; Valeur cible. Définir C49, cibler 0, modifier B49.</t>
  </si>
  <si>
    <t>Compensation</t>
  </si>
  <si>
    <t>Compensation pondérée</t>
  </si>
  <si>
    <t>Compensation population</t>
  </si>
  <si>
    <t>Compensation solidarité</t>
  </si>
  <si>
    <t>Compensation dépenses thématiques</t>
  </si>
  <si>
    <t>Montants à financer</t>
  </si>
  <si>
    <t>Couches péréquatives</t>
  </si>
  <si>
    <t>Compensation plafonds</t>
  </si>
  <si>
    <t>Effet net de la péréquation directe</t>
  </si>
  <si>
    <t>Compensation transports</t>
  </si>
  <si>
    <t>Compensation forêts</t>
  </si>
  <si>
    <t>Total des compensations</t>
  </si>
  <si>
    <t>Total du financement</t>
  </si>
  <si>
    <t>Forfait pour la gestion du système</t>
  </si>
  <si>
    <t>Taux projeté</t>
  </si>
  <si>
    <t>Impôts sur le revenu et la fortune</t>
  </si>
  <si>
    <t>Impôts sur le bénéfice et le capital, y compris compensation RFFA</t>
  </si>
  <si>
    <t>Prise en charge</t>
  </si>
  <si>
    <t>Répartition solde après prélèvements conjoncturels et écrêtage</t>
  </si>
  <si>
    <t>Facturation aux communes délégatrices</t>
  </si>
  <si>
    <t>F a c t u r e   p o l i c i è r e</t>
  </si>
  <si>
    <t>Répartition du solde de la facture</t>
  </si>
  <si>
    <t>Total de la facture policière</t>
  </si>
  <si>
    <t>Recherche par commune</t>
  </si>
  <si>
    <t>Total net de la péréquation directe</t>
  </si>
  <si>
    <t>À venir</t>
  </si>
  <si>
    <t>Facture
policière</t>
  </si>
  <si>
    <t>Solde</t>
  </si>
  <si>
    <t>Droits de mutation, gains immobiliers et successions</t>
  </si>
  <si>
    <t>Modifications de taxations antérieures</t>
  </si>
  <si>
    <t>Impôt sur la dépense</t>
  </si>
  <si>
    <t>PPR + PPF</t>
  </si>
  <si>
    <t>PMB + PMC</t>
  </si>
  <si>
    <t>PCS sans prélèvements conjoncturels</t>
  </si>
  <si>
    <t>Effort net sans dépenses thématiques et avec prélévements conjoncturels</t>
  </si>
  <si>
    <r>
      <t xml:space="preserve">Financement reçu pour les nouvelles tâches
</t>
    </r>
    <r>
      <rPr>
        <i/>
        <sz val="9"/>
        <color theme="0"/>
        <rFont val="Calibri"/>
        <family val="2"/>
        <scheme val="minor"/>
      </rPr>
      <t>(équivalent de 2 points d'impôt communaux)</t>
    </r>
  </si>
  <si>
    <r>
      <t xml:space="preserve">Facturation aux communes délégatrices 
</t>
    </r>
    <r>
      <rPr>
        <i/>
        <sz val="9"/>
        <color theme="0"/>
        <rFont val="Calibri"/>
        <family val="2"/>
        <scheme val="minor"/>
      </rPr>
      <t>(au maximum l'équivalent de 2 points d'impôt communaux)</t>
    </r>
  </si>
  <si>
    <t>Routes et infrastructures</t>
  </si>
  <si>
    <r>
      <t xml:space="preserve">
</t>
    </r>
    <r>
      <rPr>
        <sz val="8"/>
        <rFont val="Calibri"/>
        <family val="2"/>
        <scheme val="minor"/>
      </rPr>
      <t>*montants selon le fichier des acomptes initiaux adoptés par la COPAR. Ne tient pas compte des arrangements survenus en cours d'année. Les factures, respectivement les remboursements, seront gérés par les services concernés, à savoir :
- pour la péréquation indirecte, par le Département de la santé et de l'action sociale (DSAS) ;
- pour la péréquation directe, par la Direction générale des affaires institutionnelles et des communes (DGAIC);
- pour la facture policière, par la police cantonale (PolCant).</t>
    </r>
  </si>
  <si>
    <t>PCS - Détail écrêtage</t>
  </si>
  <si>
    <t>Détail écrêtage</t>
  </si>
  <si>
    <t>La participation à la cohésion sociale (PCS) est une facture cantonale faisant participer les communes au financement des dépenses engagées par le canton en faveur des couches les plus fragiles de la population. Elle est financée en trois étapes (prélèvements conjoncturels, écrêtage et répartition du solde en fonction de la valeur du point d'impôt).</t>
  </si>
  <si>
    <t>La méthode de calcul de l'écrêtage étant particulièrement élaborée, elle fait l'objet d'un onglet de calcul à part.</t>
  </si>
  <si>
    <t>Le fonds de péréquation intercommunal comprend trois couches de subventionnement et trois plafonds. Les montants versés sont financés par les communes proportionnellement à la valeur des leurs points d'impôt péréquatifs.</t>
  </si>
  <si>
    <t>Dépenses thématiques (DT)</t>
  </si>
  <si>
    <t>Solidarité</t>
  </si>
  <si>
    <t>Répartition entre les communes du coût des missions générales de police (MGP) accomplies par la police cantonale.</t>
  </si>
  <si>
    <t>Synthèse des transferts générés par chaque composante du système de péréquation.</t>
  </si>
  <si>
    <t>Compensation 
dépenses thématiques</t>
  </si>
  <si>
    <t>Fonds de péréquation intercommunal
(ou péréquation directe)</t>
  </si>
  <si>
    <t>Paramètres</t>
  </si>
  <si>
    <t>Différences entre le décompte et les acomptes déjà versés (pertinent uniquement dans le fichier avec le décompte).</t>
  </si>
  <si>
    <t>Plafonds (effort, aide et taux)</t>
  </si>
  <si>
    <t>Montant nécessaire pour financer le total des plafonnements</t>
  </si>
  <si>
    <t>Crans</t>
  </si>
  <si>
    <t>Blonay-St-Légier</t>
  </si>
  <si>
    <t>Régimes repris intégralement par le Canton dès 2022 selon art. 17b al. 2 let a LOF</t>
  </si>
  <si>
    <t>Montant brut de la PCS avant convention et déduction complémentaire</t>
  </si>
  <si>
    <t>Coût des agences d'assurances sociales reprise par l'Etat (hors PCS)</t>
  </si>
  <si>
    <t>Montant net de la PCS à la charge des communes communiqué par DSAS
Montant tenant compte de  :</t>
  </si>
  <si>
    <t>Montant prélevé</t>
  </si>
  <si>
    <t>Retenue en CHF</t>
  </si>
  <si>
    <t>Acomptes PCS</t>
  </si>
  <si>
    <t>Décompte PCS</t>
  </si>
  <si>
    <t>D-A PCS</t>
  </si>
  <si>
    <t>Acomptes PH</t>
  </si>
  <si>
    <t>Décompte PH</t>
  </si>
  <si>
    <t>D-A PH</t>
  </si>
  <si>
    <t>Acomptes FP</t>
  </si>
  <si>
    <t>Décompte FP</t>
  </si>
  <si>
    <t>D-A FP</t>
  </si>
  <si>
    <t>Péréquation directe - Dépenses thématiques</t>
  </si>
  <si>
    <t>Péréquation directe - Couche solidarité</t>
  </si>
  <si>
    <t>Péréquation directe - Couche population</t>
  </si>
  <si>
    <t>Acomptes 2024</t>
  </si>
  <si>
    <t>budget 2024</t>
  </si>
  <si>
    <r>
      <t xml:space="preserve">Total accord
d'août 2020
</t>
    </r>
    <r>
      <rPr>
        <u/>
        <sz val="9"/>
        <rFont val="Calibri"/>
        <family val="2"/>
        <scheme val="minor"/>
      </rPr>
      <t xml:space="preserve">CHF 80 mios </t>
    </r>
  </si>
  <si>
    <t>Indice IPC au 30 juin 2023</t>
  </si>
  <si>
    <t>Solde à déduire de la PCS selon convention</t>
  </si>
  <si>
    <r>
      <rPr>
        <b/>
        <sz val="8"/>
        <rFont val="Calibri"/>
        <family val="2"/>
        <scheme val="minor"/>
      </rPr>
      <t xml:space="preserve">Suivi des modifications législatives depuis 2017
</t>
    </r>
    <r>
      <rPr>
        <sz val="8"/>
        <rFont val="Calibri"/>
        <family val="2"/>
        <scheme val="minor"/>
      </rPr>
      <t xml:space="preserve">
</t>
    </r>
    <r>
      <rPr>
        <b/>
        <sz val="8"/>
        <rFont val="Calibri"/>
        <family val="2"/>
        <scheme val="minor"/>
      </rPr>
      <t>2017</t>
    </r>
    <r>
      <rPr>
        <sz val="8"/>
        <rFont val="Calibri"/>
        <family val="2"/>
        <scheme val="minor"/>
      </rPr>
      <t xml:space="preserve">: point d'impôt écrêté à 65% et plafond de l'aide augmenté de 5 à 6,5 points.
</t>
    </r>
    <r>
      <rPr>
        <b/>
        <sz val="8"/>
        <rFont val="Calibri"/>
        <family val="2"/>
        <scheme val="minor"/>
      </rPr>
      <t>2018</t>
    </r>
    <r>
      <rPr>
        <sz val="8"/>
        <rFont val="Calibri"/>
        <family val="2"/>
        <scheme val="minor"/>
      </rPr>
      <t xml:space="preserve">: point d'impôt écrêté à 50% et plafond de l'effort provisoirement fixé à 45 points (2018-2019)
</t>
    </r>
    <r>
      <rPr>
        <b/>
        <sz val="8"/>
        <rFont val="Calibri"/>
        <family val="2"/>
        <scheme val="minor"/>
      </rPr>
      <t>Dès 2019</t>
    </r>
    <r>
      <rPr>
        <sz val="8"/>
        <rFont val="Calibri"/>
        <family val="2"/>
        <scheme val="minor"/>
      </rPr>
      <t xml:space="preserve">: plafond de l'aide augmenté à 8 points, abandon du point d'impôt écrêté, nouveau palier d'écrêtage entre 100% et 120%, diminution de 6 points pour les autres paliers d'écrêtage, augmentation à CHF 125.- de la première tranche de la couche population, augmentation de 4 à 4,5 points du plafond global pour les dépenses thématiques.
</t>
    </r>
    <r>
      <rPr>
        <b/>
        <sz val="8"/>
        <rFont val="Calibri"/>
        <family val="2"/>
        <scheme val="minor"/>
      </rPr>
      <t xml:space="preserve">Dès 2020 </t>
    </r>
    <r>
      <rPr>
        <sz val="8"/>
        <rFont val="Calibri"/>
        <family val="2"/>
        <scheme val="minor"/>
      </rPr>
      <t xml:space="preserve">: compensation RFFA répartie en fonction du rendement des impôts PM. Exclusion du montant du prélèvement sur les impôts conjoncturels du calcul de l'effort péréquatif. Plafond de l'effort provisoirement fixé à 48 points (2020-2021).
</t>
    </r>
    <r>
      <rPr>
        <b/>
        <sz val="8"/>
        <rFont val="Calibri"/>
        <family val="2"/>
        <scheme val="minor"/>
      </rPr>
      <t>2021</t>
    </r>
    <r>
      <rPr>
        <sz val="8"/>
        <rFont val="Calibri"/>
        <family val="2"/>
        <scheme val="minor"/>
      </rPr>
      <t xml:space="preserve">: déduction forfaitaire de CHF 25 millions au montant de la PCS (art. 19a LOF)
</t>
    </r>
    <r>
      <rPr>
        <b/>
        <sz val="8"/>
        <rFont val="Calibri"/>
        <family val="2"/>
        <scheme val="minor"/>
      </rPr>
      <t>Dès 2022</t>
    </r>
    <r>
      <rPr>
        <sz val="8"/>
        <rFont val="Calibri"/>
        <family val="2"/>
        <scheme val="minor"/>
      </rPr>
      <t xml:space="preserve">: reconduction du plafond de l'effort provisoire à 48 points (2022-2023), reprise par l'Etat de certaines dépenses sociales incluses jusqu'ici dans la PCS et application de la déduction forfaitaire complémentaire à la PCS prévue par l'art. 19a LOF.
</t>
    </r>
    <r>
      <rPr>
        <b/>
        <sz val="8"/>
        <rFont val="Calibri"/>
        <family val="2"/>
        <scheme val="minor"/>
      </rPr>
      <t xml:space="preserve">Dès 2024 : </t>
    </r>
    <r>
      <rPr>
        <sz val="8"/>
        <rFont val="Calibri"/>
        <family val="2"/>
        <scheme val="minor"/>
      </rPr>
      <t>augmentation du plafond de l'aide à 10 points + maintent du plafond de l'effort à 48 points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</si>
</sst>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_ ;\-#,##0\ "/>
    <numFmt numFmtId="181" formatCode="#,##0.00_ ;\-#,##0.00\ "/>
    <numFmt numFmtId="182" formatCode="_-* #,##0.000_-;\-* #,##0.000_-;_-* &quot;-&quot;??_-;_-@_-"/>
    <numFmt numFmtId="183" formatCode="0.0"/>
    <numFmt numFmtId="184" formatCode="_-* #,##0.00000_-;\-* #,##0.00000_-;_-* &quot;-&quot;??_-;_-@_-"/>
    <numFmt numFmtId="185" formatCode="_-* #,##0.00000000_-;\-* #,##0.00000000_-;_-* &quot;-&quot;??_-;_-@_-"/>
    <numFmt numFmtId="186" formatCode="_ * #,##0\ ;_ * \-#,##0\ ;_ * &quot;-&quot;??_ ;_ @_ "/>
  </numFmts>
  <fonts count="82"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u/>
      <sz val="10"/>
      <color theme="10"/>
      <name val="Verdana"/>
      <family val="2"/>
    </font>
    <font>
      <b/>
      <sz val="10"/>
      <name val="Verdana"/>
      <family val="2"/>
    </font>
    <font>
      <b/>
      <sz val="16"/>
      <name val="Verdana"/>
      <family val="2"/>
    </font>
    <font>
      <b/>
      <sz val="20"/>
      <name val="Calibri"/>
      <family val="2"/>
      <scheme val="minor"/>
    </font>
    <font>
      <sz val="11"/>
      <color rgb="FF0070C0"/>
      <name val="Calibri"/>
      <family val="2"/>
      <scheme val="minor"/>
    </font>
    <font>
      <sz val="12"/>
      <name val="Calibri"/>
      <family val="2"/>
      <scheme val="minor"/>
    </font>
    <font>
      <sz val="9"/>
      <color indexed="81"/>
      <name val="Tahoma"/>
      <family val="2"/>
    </font>
    <font>
      <i/>
      <sz val="9"/>
      <name val="Calibri"/>
      <family val="2"/>
      <scheme val="minor"/>
    </font>
    <font>
      <u/>
      <sz val="9"/>
      <color indexed="81"/>
      <name val="Tahoma"/>
      <family val="2"/>
    </font>
    <font>
      <i/>
      <sz val="9"/>
      <color theme="0"/>
      <name val="Calibri"/>
      <family val="2"/>
      <scheme val="minor"/>
    </font>
    <font>
      <b/>
      <sz val="8"/>
      <name val="Calibri"/>
      <family val="2"/>
      <scheme val="minor"/>
    </font>
    <font>
      <u/>
      <sz val="8"/>
      <color theme="10"/>
      <name val="Verdana"/>
      <family val="2"/>
    </font>
    <font>
      <u/>
      <sz val="9"/>
      <name val="Calibri"/>
      <family val="2"/>
      <scheme val="minor"/>
    </font>
    <font>
      <sz val="11"/>
      <color rgb="FFFF0000"/>
      <name val="Calibri"/>
      <family val="2"/>
    </font>
  </fonts>
  <fills count="4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rgb="FFC0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59999389629810485"/>
        <bgColor indexed="64"/>
      </patternFill>
    </fill>
  </fills>
  <borders count="34">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rgb="FFC00000"/>
      </left>
      <right style="thin">
        <color rgb="FFC00000"/>
      </right>
      <top style="thin">
        <color rgb="FFC00000"/>
      </top>
      <bottom/>
      <diagonal/>
    </border>
  </borders>
  <cellStyleXfs count="669">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6" fillId="0" borderId="0" applyFont="0" applyFill="0" applyBorder="0" applyAlignment="0" applyProtection="0"/>
    <xf numFmtId="0" fontId="36" fillId="0" borderId="0"/>
    <xf numFmtId="165" fontId="16" fillId="0" borderId="0" applyFont="0" applyFill="0" applyBorder="0" applyAlignment="0" applyProtection="0"/>
    <xf numFmtId="0" fontId="16" fillId="0" borderId="0"/>
    <xf numFmtId="0" fontId="18"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0" fillId="0" borderId="0" applyFont="0" applyFill="0" applyBorder="0" applyAlignment="0" applyProtection="0"/>
    <xf numFmtId="0" fontId="15" fillId="0" borderId="0"/>
    <xf numFmtId="0" fontId="15" fillId="0" borderId="0"/>
    <xf numFmtId="0" fontId="15" fillId="0" borderId="0"/>
    <xf numFmtId="0" fontId="15" fillId="0" borderId="0"/>
    <xf numFmtId="0" fontId="20"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20" fillId="0" borderId="0"/>
    <xf numFmtId="0" fontId="20"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0" fillId="0" borderId="0"/>
    <xf numFmtId="165" fontId="10"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20"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3" fillId="0" borderId="5" applyBorder="0">
      <alignment horizontal="center" textRotation="90"/>
    </xf>
    <xf numFmtId="0" fontId="44" fillId="0" borderId="0"/>
    <xf numFmtId="0" fontId="4"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4" fillId="0" borderId="0" applyFont="0" applyFill="0" applyBorder="0" applyAlignment="0" applyProtection="0"/>
    <xf numFmtId="0" fontId="4" fillId="0" borderId="0"/>
    <xf numFmtId="9" fontId="18"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20" fillId="0" borderId="0"/>
    <xf numFmtId="0" fontId="45" fillId="0" borderId="0">
      <alignment vertical="top"/>
    </xf>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0" borderId="0" applyNumberFormat="0" applyFill="0" applyBorder="0" applyAlignment="0" applyProtection="0"/>
    <xf numFmtId="0" fontId="49" fillId="27" borderId="18" applyNumberFormat="0" applyAlignment="0" applyProtection="0"/>
    <xf numFmtId="0" fontId="50" fillId="0" borderId="19" applyNumberFormat="0" applyFill="0" applyAlignment="0" applyProtection="0"/>
    <xf numFmtId="0" fontId="51" fillId="14" borderId="18" applyNumberFormat="0" applyAlignment="0" applyProtection="0"/>
    <xf numFmtId="0" fontId="52" fillId="10" borderId="0" applyNumberFormat="0" applyBorder="0" applyAlignment="0" applyProtection="0"/>
    <xf numFmtId="165" fontId="22" fillId="0" borderId="0" applyFont="0" applyFill="0" applyBorder="0" applyAlignment="0" applyProtection="0">
      <alignment vertical="top"/>
    </xf>
    <xf numFmtId="0" fontId="53" fillId="28" borderId="0" applyNumberFormat="0" applyBorder="0" applyAlignment="0" applyProtection="0"/>
    <xf numFmtId="0" fontId="25" fillId="0" borderId="0"/>
    <xf numFmtId="0" fontId="54" fillId="11" borderId="0" applyNumberFormat="0" applyBorder="0" applyAlignment="0" applyProtection="0"/>
    <xf numFmtId="0" fontId="55" fillId="27"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1" applyNumberFormat="0" applyFill="0" applyAlignment="0" applyProtection="0"/>
    <xf numFmtId="0" fontId="59" fillId="0" borderId="22" applyNumberFormat="0" applyFill="0" applyAlignment="0" applyProtection="0"/>
    <xf numFmtId="0" fontId="60" fillId="0" borderId="23" applyNumberFormat="0" applyFill="0" applyAlignment="0" applyProtection="0"/>
    <xf numFmtId="0" fontId="60" fillId="0" borderId="0" applyNumberFormat="0" applyFill="0" applyBorder="0" applyAlignment="0" applyProtection="0"/>
    <xf numFmtId="0" fontId="61" fillId="0" borderId="24" applyNumberFormat="0" applyFill="0" applyAlignment="0" applyProtection="0"/>
    <xf numFmtId="0" fontId="62" fillId="29" borderId="25" applyNumberFormat="0" applyAlignment="0" applyProtection="0"/>
    <xf numFmtId="0" fontId="4" fillId="0" borderId="0"/>
    <xf numFmtId="165" fontId="4" fillId="0" borderId="0" applyFont="0" applyFill="0" applyBorder="0" applyAlignment="0" applyProtection="0"/>
    <xf numFmtId="0" fontId="23" fillId="0" borderId="26"/>
    <xf numFmtId="0" fontId="23" fillId="0" borderId="27">
      <alignment vertical="top"/>
    </xf>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68" fillId="0" borderId="0" applyNumberFormat="0" applyFill="0" applyBorder="0" applyAlignment="0" applyProtection="0"/>
  </cellStyleXfs>
  <cellXfs count="735">
    <xf numFmtId="0" fontId="0" fillId="0" borderId="0" xfId="0"/>
    <xf numFmtId="175" fontId="28" fillId="0" borderId="0" xfId="4" applyNumberFormat="1" applyFont="1" applyFill="1" applyBorder="1"/>
    <xf numFmtId="0" fontId="28" fillId="3" borderId="0" xfId="0" applyNumberFormat="1" applyFont="1" applyFill="1" applyAlignment="1">
      <alignment horizontal="left"/>
    </xf>
    <xf numFmtId="0" fontId="28" fillId="3" borderId="0" xfId="0" applyNumberFormat="1" applyFont="1" applyFill="1" applyAlignment="1">
      <alignment horizontal="center"/>
    </xf>
    <xf numFmtId="175" fontId="28" fillId="3" borderId="0" xfId="4" applyNumberFormat="1" applyFont="1" applyFill="1" applyAlignment="1">
      <alignment horizontal="center"/>
    </xf>
    <xf numFmtId="175" fontId="28" fillId="3" borderId="0" xfId="4" applyNumberFormat="1" applyFont="1" applyFill="1"/>
    <xf numFmtId="0" fontId="28" fillId="3" borderId="14" xfId="0" applyNumberFormat="1" applyFont="1" applyFill="1" applyBorder="1" applyAlignment="1">
      <alignment horizontal="center"/>
    </xf>
    <xf numFmtId="0" fontId="28" fillId="3" borderId="5" xfId="0" applyNumberFormat="1" applyFont="1" applyFill="1" applyBorder="1" applyAlignment="1">
      <alignment horizontal="center"/>
    </xf>
    <xf numFmtId="175" fontId="28" fillId="3" borderId="5" xfId="4" applyNumberFormat="1" applyFont="1" applyFill="1" applyBorder="1"/>
    <xf numFmtId="175" fontId="28" fillId="3" borderId="14" xfId="4" applyNumberFormat="1" applyFont="1" applyFill="1" applyBorder="1"/>
    <xf numFmtId="3" fontId="28" fillId="3" borderId="0" xfId="0" applyNumberFormat="1" applyFont="1" applyFill="1"/>
    <xf numFmtId="0" fontId="28" fillId="3" borderId="0" xfId="0" applyFont="1" applyFill="1"/>
    <xf numFmtId="175" fontId="28" fillId="3" borderId="0" xfId="4" applyNumberFormat="1" applyFont="1" applyFill="1" applyBorder="1"/>
    <xf numFmtId="43" fontId="28" fillId="3" borderId="0" xfId="4" applyFont="1" applyFill="1"/>
    <xf numFmtId="0" fontId="28" fillId="3" borderId="0" xfId="0" applyFont="1" applyFill="1" applyAlignment="1">
      <alignment vertical="top" wrapText="1"/>
    </xf>
    <xf numFmtId="43" fontId="28" fillId="3" borderId="0" xfId="0" applyNumberFormat="1" applyFont="1" applyFill="1"/>
    <xf numFmtId="175" fontId="28" fillId="3" borderId="3" xfId="4" applyNumberFormat="1" applyFont="1" applyFill="1" applyBorder="1"/>
    <xf numFmtId="43" fontId="28" fillId="3" borderId="14" xfId="4" applyFont="1" applyFill="1" applyBorder="1"/>
    <xf numFmtId="0" fontId="28" fillId="3" borderId="0" xfId="0" applyFont="1" applyFill="1" applyAlignment="1">
      <alignment horizontal="center"/>
    </xf>
    <xf numFmtId="166" fontId="28" fillId="3" borderId="17" xfId="0" applyNumberFormat="1" applyFont="1" applyFill="1" applyBorder="1" applyAlignment="1">
      <alignment horizontal="center"/>
    </xf>
    <xf numFmtId="0" fontId="30" fillId="3" borderId="0" xfId="0" applyNumberFormat="1" applyFont="1" applyFill="1" applyAlignment="1">
      <alignment horizontal="left"/>
    </xf>
    <xf numFmtId="0" fontId="30" fillId="3" borderId="0" xfId="0" applyNumberFormat="1" applyFont="1" applyFill="1" applyAlignment="1">
      <alignment horizontal="center"/>
    </xf>
    <xf numFmtId="0" fontId="29" fillId="3" borderId="0" xfId="0" applyFont="1" applyFill="1"/>
    <xf numFmtId="4" fontId="28" fillId="3" borderId="0" xfId="0" applyNumberFormat="1" applyFont="1" applyFill="1"/>
    <xf numFmtId="166" fontId="28" fillId="3" borderId="0" xfId="0" applyNumberFormat="1" applyFont="1" applyFill="1" applyAlignment="1">
      <alignment horizontal="left"/>
    </xf>
    <xf numFmtId="0" fontId="28" fillId="3" borderId="14" xfId="0" applyFont="1" applyFill="1" applyBorder="1"/>
    <xf numFmtId="175" fontId="28" fillId="3" borderId="11" xfId="4" applyNumberFormat="1" applyFont="1" applyFill="1" applyBorder="1"/>
    <xf numFmtId="3" fontId="28" fillId="3" borderId="5" xfId="0" applyNumberFormat="1" applyFont="1" applyFill="1" applyBorder="1"/>
    <xf numFmtId="43" fontId="28" fillId="3" borderId="5" xfId="4" applyFont="1" applyFill="1" applyBorder="1"/>
    <xf numFmtId="175" fontId="28" fillId="3" borderId="0" xfId="0" applyNumberFormat="1" applyFont="1" applyFill="1"/>
    <xf numFmtId="175" fontId="28" fillId="4" borderId="14" xfId="4" applyNumberFormat="1" applyFont="1" applyFill="1" applyBorder="1"/>
    <xf numFmtId="175" fontId="28" fillId="3" borderId="9" xfId="4" applyNumberFormat="1" applyFont="1" applyFill="1" applyBorder="1"/>
    <xf numFmtId="3" fontId="28" fillId="3" borderId="0" xfId="11" applyNumberFormat="1" applyFont="1" applyFill="1" applyAlignment="1">
      <alignment vertical="center"/>
    </xf>
    <xf numFmtId="0" fontId="28" fillId="3" borderId="0" xfId="11" applyFont="1" applyFill="1" applyAlignment="1">
      <alignment vertical="center"/>
    </xf>
    <xf numFmtId="175" fontId="28" fillId="3" borderId="0" xfId="4" applyNumberFormat="1" applyFont="1" applyFill="1" applyAlignment="1">
      <alignment vertical="center"/>
    </xf>
    <xf numFmtId="0" fontId="28" fillId="3" borderId="0" xfId="0" applyFont="1" applyFill="1" applyBorder="1"/>
    <xf numFmtId="0" fontId="28" fillId="3" borderId="4" xfId="0" applyFont="1" applyFill="1" applyBorder="1" applyAlignment="1">
      <alignment horizontal="center"/>
    </xf>
    <xf numFmtId="0" fontId="28" fillId="3" borderId="0" xfId="0" quotePrefix="1" applyFont="1" applyFill="1"/>
    <xf numFmtId="0" fontId="28" fillId="3" borderId="5" xfId="0" applyFont="1" applyFill="1" applyBorder="1" applyAlignment="1">
      <alignment horizontal="center"/>
    </xf>
    <xf numFmtId="0" fontId="28" fillId="3" borderId="3" xfId="0" applyFont="1" applyFill="1" applyBorder="1" applyAlignment="1">
      <alignment horizontal="center"/>
    </xf>
    <xf numFmtId="0" fontId="29" fillId="3" borderId="0" xfId="11" applyFont="1" applyFill="1"/>
    <xf numFmtId="175" fontId="28" fillId="3" borderId="4" xfId="4" applyNumberFormat="1" applyFont="1" applyFill="1" applyBorder="1"/>
    <xf numFmtId="175" fontId="28" fillId="4" borderId="5" xfId="4" applyNumberFormat="1" applyFont="1" applyFill="1" applyBorder="1"/>
    <xf numFmtId="0" fontId="28" fillId="3" borderId="0" xfId="11" applyFont="1" applyFill="1" applyBorder="1" applyAlignment="1">
      <alignment vertical="center"/>
    </xf>
    <xf numFmtId="10" fontId="28" fillId="3" borderId="0" xfId="12" applyNumberFormat="1" applyFont="1" applyFill="1" applyAlignment="1">
      <alignment vertical="center"/>
    </xf>
    <xf numFmtId="10" fontId="28" fillId="3" borderId="0" xfId="12" applyNumberFormat="1" applyFont="1" applyFill="1"/>
    <xf numFmtId="4" fontId="28" fillId="3" borderId="14" xfId="0" applyNumberFormat="1" applyFont="1" applyFill="1" applyBorder="1"/>
    <xf numFmtId="10" fontId="28" fillId="3" borderId="14" xfId="12" applyNumberFormat="1" applyFont="1" applyFill="1" applyBorder="1"/>
    <xf numFmtId="0" fontId="27" fillId="5" borderId="14" xfId="0" applyFont="1" applyFill="1" applyBorder="1" applyAlignment="1">
      <alignment horizontal="center" vertical="center" wrapText="1"/>
    </xf>
    <xf numFmtId="169" fontId="28" fillId="3" borderId="0" xfId="11" applyNumberFormat="1" applyFont="1" applyFill="1" applyAlignment="1">
      <alignment vertical="center"/>
    </xf>
    <xf numFmtId="175" fontId="28" fillId="3" borderId="15" xfId="4" applyNumberFormat="1" applyFont="1" applyFill="1" applyBorder="1"/>
    <xf numFmtId="175" fontId="28" fillId="3" borderId="16" xfId="4" applyNumberFormat="1" applyFont="1" applyFill="1" applyBorder="1"/>
    <xf numFmtId="170" fontId="28" fillId="3" borderId="0" xfId="0" applyNumberFormat="1" applyFont="1" applyFill="1"/>
    <xf numFmtId="0" fontId="28" fillId="3" borderId="0" xfId="0" applyFont="1" applyFill="1" applyAlignment="1">
      <alignment vertical="top"/>
    </xf>
    <xf numFmtId="3" fontId="28" fillId="3" borderId="0" xfId="0" applyNumberFormat="1" applyFont="1" applyFill="1" applyAlignment="1">
      <alignment vertical="top"/>
    </xf>
    <xf numFmtId="3" fontId="28" fillId="3" borderId="0" xfId="0" applyNumberFormat="1" applyFont="1" applyFill="1" applyBorder="1" applyAlignment="1">
      <alignment vertical="top" wrapText="1"/>
    </xf>
    <xf numFmtId="0" fontId="28" fillId="3" borderId="14" xfId="0" applyFont="1" applyFill="1" applyBorder="1" applyAlignment="1">
      <alignment horizontal="center"/>
    </xf>
    <xf numFmtId="173" fontId="28" fillId="3" borderId="0" xfId="0" applyNumberFormat="1" applyFont="1" applyFill="1" applyAlignment="1">
      <alignment vertical="top"/>
    </xf>
    <xf numFmtId="175" fontId="28" fillId="3" borderId="12" xfId="4" applyNumberFormat="1" applyFont="1" applyFill="1" applyBorder="1"/>
    <xf numFmtId="43" fontId="28" fillId="3" borderId="4" xfId="4" applyFont="1" applyFill="1" applyBorder="1"/>
    <xf numFmtId="169" fontId="28" fillId="3" borderId="0" xfId="0" applyNumberFormat="1" applyFont="1" applyFill="1"/>
    <xf numFmtId="3" fontId="28" fillId="3" borderId="14" xfId="12" applyNumberFormat="1" applyFont="1" applyFill="1" applyBorder="1"/>
    <xf numFmtId="43" fontId="28" fillId="3" borderId="14" xfId="4" applyNumberFormat="1" applyFont="1" applyFill="1" applyBorder="1"/>
    <xf numFmtId="175" fontId="28" fillId="4" borderId="4" xfId="4" applyNumberFormat="1" applyFont="1" applyFill="1" applyBorder="1"/>
    <xf numFmtId="175" fontId="28" fillId="4" borderId="3" xfId="4" applyNumberFormat="1" applyFont="1" applyFill="1" applyBorder="1"/>
    <xf numFmtId="3" fontId="27" fillId="5" borderId="4" xfId="0" applyNumberFormat="1" applyFont="1" applyFill="1" applyBorder="1"/>
    <xf numFmtId="0" fontId="27" fillId="5" borderId="0" xfId="0" applyFont="1" applyFill="1"/>
    <xf numFmtId="0" fontId="28" fillId="3" borderId="8" xfId="0" applyFont="1" applyFill="1" applyBorder="1" applyAlignment="1">
      <alignment horizontal="center"/>
    </xf>
    <xf numFmtId="0" fontId="27" fillId="5" borderId="3" xfId="0" applyFont="1" applyFill="1" applyBorder="1" applyAlignment="1">
      <alignment horizontal="center"/>
    </xf>
    <xf numFmtId="175" fontId="28" fillId="3" borderId="13" xfId="4" applyNumberFormat="1" applyFont="1" applyFill="1" applyBorder="1"/>
    <xf numFmtId="2" fontId="28" fillId="3" borderId="0" xfId="0" applyNumberFormat="1" applyFont="1" applyFill="1"/>
    <xf numFmtId="175" fontId="28" fillId="4" borderId="11" xfId="4" applyNumberFormat="1" applyFont="1" applyFill="1" applyBorder="1"/>
    <xf numFmtId="171" fontId="28" fillId="3" borderId="0" xfId="0" applyNumberFormat="1" applyFont="1" applyFill="1"/>
    <xf numFmtId="166" fontId="28" fillId="3" borderId="14" xfId="0" applyNumberFormat="1" applyFont="1" applyFill="1" applyBorder="1" applyAlignment="1">
      <alignment horizontal="center"/>
    </xf>
    <xf numFmtId="175" fontId="28" fillId="3" borderId="7" xfId="4" applyNumberFormat="1" applyFont="1" applyFill="1" applyBorder="1"/>
    <xf numFmtId="0" fontId="27" fillId="5" borderId="17" xfId="0" applyFont="1" applyFill="1" applyBorder="1"/>
    <xf numFmtId="0" fontId="27" fillId="5" borderId="6" xfId="0" applyFont="1" applyFill="1" applyBorder="1"/>
    <xf numFmtId="0" fontId="27" fillId="5" borderId="14" xfId="0" applyFont="1" applyFill="1" applyBorder="1" applyAlignment="1">
      <alignment horizontal="center"/>
    </xf>
    <xf numFmtId="43" fontId="28" fillId="3" borderId="0" xfId="4" applyFont="1" applyFill="1" applyBorder="1" applyAlignment="1">
      <alignment vertical="center"/>
    </xf>
    <xf numFmtId="43" fontId="28" fillId="3" borderId="0" xfId="4" applyFont="1" applyFill="1" applyAlignment="1">
      <alignment vertical="center"/>
    </xf>
    <xf numFmtId="172" fontId="28" fillId="3" borderId="0" xfId="0" applyNumberFormat="1" applyFont="1" applyFill="1"/>
    <xf numFmtId="167" fontId="28" fillId="3" borderId="12" xfId="0" applyNumberFormat="1" applyFont="1" applyFill="1" applyBorder="1"/>
    <xf numFmtId="167" fontId="28" fillId="3" borderId="11" xfId="0" applyNumberFormat="1" applyFont="1" applyFill="1" applyBorder="1"/>
    <xf numFmtId="167" fontId="28" fillId="3" borderId="13" xfId="0" applyNumberFormat="1" applyFont="1" applyFill="1" applyBorder="1"/>
    <xf numFmtId="0" fontId="32" fillId="3" borderId="0" xfId="0" applyFont="1" applyFill="1"/>
    <xf numFmtId="0" fontId="33" fillId="3" borderId="5" xfId="0" applyFont="1" applyFill="1" applyBorder="1" applyAlignment="1">
      <alignment horizontal="center"/>
    </xf>
    <xf numFmtId="0" fontId="33" fillId="3" borderId="0" xfId="0" applyFont="1" applyFill="1"/>
    <xf numFmtId="0" fontId="28" fillId="7" borderId="0" xfId="0" applyFont="1" applyFill="1"/>
    <xf numFmtId="4" fontId="28" fillId="3" borderId="0" xfId="0" applyNumberFormat="1" applyFont="1" applyFill="1" applyBorder="1"/>
    <xf numFmtId="175" fontId="28" fillId="7" borderId="0" xfId="4" applyNumberFormat="1" applyFont="1" applyFill="1"/>
    <xf numFmtId="0" fontId="34" fillId="7" borderId="0" xfId="0" applyFont="1" applyFill="1"/>
    <xf numFmtId="175" fontId="34" fillId="7" borderId="0" xfId="4" applyNumberFormat="1" applyFont="1" applyFill="1"/>
    <xf numFmtId="175" fontId="27" fillId="5" borderId="0" xfId="4" applyNumberFormat="1" applyFont="1" applyFill="1"/>
    <xf numFmtId="0" fontId="34" fillId="7" borderId="0" xfId="0" applyFont="1" applyFill="1" applyAlignment="1">
      <alignment horizontal="right"/>
    </xf>
    <xf numFmtId="169" fontId="31" fillId="3" borderId="0" xfId="11" applyNumberFormat="1" applyFont="1" applyFill="1" applyBorder="1" applyAlignment="1">
      <alignment vertical="center"/>
    </xf>
    <xf numFmtId="176" fontId="28" fillId="3" borderId="0" xfId="14" applyNumberFormat="1" applyFont="1" applyFill="1" applyBorder="1" applyAlignment="1">
      <alignment vertical="center"/>
    </xf>
    <xf numFmtId="0" fontId="29" fillId="3" borderId="0" xfId="11" applyFont="1" applyFill="1" applyBorder="1"/>
    <xf numFmtId="176" fontId="29" fillId="3" borderId="0" xfId="14" applyNumberFormat="1" applyFont="1" applyFill="1" applyBorder="1"/>
    <xf numFmtId="0" fontId="28" fillId="3" borderId="0" xfId="15" applyFont="1" applyFill="1"/>
    <xf numFmtId="0" fontId="28" fillId="3" borderId="0" xfId="15" applyFont="1" applyFill="1" applyBorder="1"/>
    <xf numFmtId="176" fontId="28" fillId="3" borderId="0" xfId="14" applyNumberFormat="1" applyFont="1" applyFill="1" applyBorder="1"/>
    <xf numFmtId="165" fontId="28" fillId="3" borderId="5" xfId="14" applyFont="1" applyFill="1" applyBorder="1"/>
    <xf numFmtId="176" fontId="17" fillId="3" borderId="0" xfId="14" applyNumberFormat="1" applyFont="1" applyFill="1" applyBorder="1" applyAlignment="1">
      <alignment horizontal="left"/>
    </xf>
    <xf numFmtId="3" fontId="17" fillId="3" borderId="0" xfId="15" applyNumberFormat="1" applyFont="1" applyFill="1" applyBorder="1" applyAlignment="1">
      <alignment horizontal="right"/>
    </xf>
    <xf numFmtId="176" fontId="28" fillId="3" borderId="0" xfId="15" applyNumberFormat="1" applyFont="1" applyFill="1" applyBorder="1"/>
    <xf numFmtId="3" fontId="28" fillId="3" borderId="0" xfId="15" applyNumberFormat="1" applyFont="1" applyFill="1"/>
    <xf numFmtId="0" fontId="27" fillId="3" borderId="0" xfId="15" applyFont="1" applyFill="1" applyBorder="1" applyAlignment="1">
      <alignment vertical="center"/>
    </xf>
    <xf numFmtId="176" fontId="27" fillId="3" borderId="0" xfId="14" applyNumberFormat="1" applyFont="1" applyFill="1" applyBorder="1" applyAlignment="1">
      <alignment horizontal="center" vertical="center" wrapText="1"/>
    </xf>
    <xf numFmtId="176" fontId="27" fillId="3" borderId="0" xfId="14" applyNumberFormat="1" applyFont="1" applyFill="1" applyBorder="1" applyAlignment="1">
      <alignment vertical="center"/>
    </xf>
    <xf numFmtId="0" fontId="27" fillId="3" borderId="0" xfId="15" applyFont="1" applyFill="1" applyAlignment="1">
      <alignment vertical="center"/>
    </xf>
    <xf numFmtId="175" fontId="28" fillId="3" borderId="14" xfId="4" applyNumberFormat="1" applyFont="1" applyFill="1" applyBorder="1" applyAlignment="1">
      <alignment horizontal="center"/>
    </xf>
    <xf numFmtId="0" fontId="38" fillId="5" borderId="0" xfId="0" applyFont="1" applyFill="1"/>
    <xf numFmtId="175" fontId="28" fillId="3" borderId="0" xfId="15" applyNumberFormat="1" applyFont="1" applyFill="1"/>
    <xf numFmtId="175" fontId="28" fillId="3" borderId="3" xfId="4" applyNumberFormat="1" applyFont="1" applyFill="1" applyBorder="1" applyAlignment="1">
      <alignment horizontal="center"/>
    </xf>
    <xf numFmtId="0" fontId="37" fillId="3" borderId="0" xfId="0" applyFont="1" applyFill="1"/>
    <xf numFmtId="175" fontId="37" fillId="3" borderId="0" xfId="4" applyNumberFormat="1" applyFont="1" applyFill="1"/>
    <xf numFmtId="0" fontId="37" fillId="7" borderId="0" xfId="0" applyFont="1" applyFill="1"/>
    <xf numFmtId="43" fontId="37" fillId="3" borderId="0" xfId="4" applyFont="1" applyFill="1"/>
    <xf numFmtId="0" fontId="39" fillId="3" borderId="0" xfId="0" applyFont="1" applyFill="1"/>
    <xf numFmtId="0" fontId="37" fillId="3" borderId="0" xfId="0" applyFont="1" applyFill="1" applyAlignment="1">
      <alignment horizontal="right"/>
    </xf>
    <xf numFmtId="0" fontId="37" fillId="3" borderId="0" xfId="0" applyFont="1" applyFill="1" applyAlignment="1">
      <alignment horizontal="left"/>
    </xf>
    <xf numFmtId="0" fontId="28" fillId="0" borderId="0" xfId="0" applyFont="1" applyFill="1"/>
    <xf numFmtId="3" fontId="28" fillId="3" borderId="14" xfId="0" applyNumberFormat="1" applyFont="1" applyFill="1" applyBorder="1"/>
    <xf numFmtId="43" fontId="27" fillId="5" borderId="14" xfId="4" applyNumberFormat="1" applyFont="1" applyFill="1" applyBorder="1"/>
    <xf numFmtId="10" fontId="28" fillId="3" borderId="0" xfId="0" applyNumberFormat="1" applyFont="1" applyFill="1" applyBorder="1"/>
    <xf numFmtId="43" fontId="28" fillId="6" borderId="14" xfId="4" applyNumberFormat="1" applyFont="1" applyFill="1" applyBorder="1"/>
    <xf numFmtId="43" fontId="28" fillId="3" borderId="0" xfId="4" applyNumberFormat="1" applyFont="1" applyFill="1"/>
    <xf numFmtId="0" fontId="28" fillId="3" borderId="0" xfId="0" applyFont="1" applyFill="1" applyAlignment="1">
      <alignment vertical="center"/>
    </xf>
    <xf numFmtId="175" fontId="28" fillId="3" borderId="0" xfId="4" applyNumberFormat="1" applyFont="1" applyFill="1" applyBorder="1" applyAlignment="1">
      <alignment horizontal="center"/>
    </xf>
    <xf numFmtId="175" fontId="28" fillId="3" borderId="0" xfId="4" applyNumberFormat="1" applyFont="1" applyFill="1" applyBorder="1" applyAlignment="1">
      <alignment vertical="center"/>
    </xf>
    <xf numFmtId="0" fontId="28" fillId="3" borderId="0" xfId="0" applyFont="1" applyFill="1" applyBorder="1" applyAlignment="1">
      <alignment horizontal="left"/>
    </xf>
    <xf numFmtId="3" fontId="28" fillId="3" borderId="0" xfId="0" applyNumberFormat="1" applyFont="1" applyFill="1" applyBorder="1"/>
    <xf numFmtId="0" fontId="28" fillId="3" borderId="9" xfId="0" applyFont="1" applyFill="1" applyBorder="1" applyAlignment="1">
      <alignment horizontal="center"/>
    </xf>
    <xf numFmtId="3" fontId="28" fillId="3" borderId="4" xfId="0" applyNumberFormat="1" applyFont="1" applyFill="1" applyBorder="1"/>
    <xf numFmtId="166" fontId="28" fillId="3" borderId="6" xfId="0" applyNumberFormat="1" applyFont="1" applyFill="1" applyBorder="1" applyAlignment="1">
      <alignment horizontal="center"/>
    </xf>
    <xf numFmtId="175" fontId="28" fillId="3" borderId="6" xfId="4" applyNumberFormat="1" applyFont="1" applyFill="1" applyBorder="1"/>
    <xf numFmtId="0" fontId="28" fillId="3" borderId="4" xfId="15" applyFont="1" applyFill="1" applyBorder="1" applyAlignment="1">
      <alignment horizontal="center"/>
    </xf>
    <xf numFmtId="0" fontId="28" fillId="3" borderId="5" xfId="15" applyFont="1" applyFill="1" applyBorder="1" applyAlignment="1">
      <alignment horizontal="center"/>
    </xf>
    <xf numFmtId="0" fontId="28" fillId="3" borderId="3" xfId="15" applyFont="1" applyFill="1" applyBorder="1" applyAlignment="1">
      <alignment horizontal="center"/>
    </xf>
    <xf numFmtId="3" fontId="33" fillId="3" borderId="0" xfId="12" applyNumberFormat="1" applyFont="1" applyFill="1" applyBorder="1"/>
    <xf numFmtId="3" fontId="33" fillId="3" borderId="0" xfId="0" applyNumberFormat="1" applyFont="1" applyFill="1"/>
    <xf numFmtId="175" fontId="37" fillId="3" borderId="0" xfId="4" applyNumberFormat="1" applyFont="1" applyFill="1" applyAlignment="1">
      <alignment horizontal="right"/>
    </xf>
    <xf numFmtId="43" fontId="28" fillId="3" borderId="0" xfId="4" applyFont="1" applyFill="1" applyAlignment="1">
      <alignment horizontal="center"/>
    </xf>
    <xf numFmtId="175" fontId="37" fillId="7" borderId="0" xfId="0" applyNumberFormat="1" applyFont="1" applyFill="1"/>
    <xf numFmtId="0" fontId="28" fillId="3" borderId="9" xfId="0" applyFont="1" applyFill="1" applyBorder="1" applyAlignment="1">
      <alignment horizontal="left"/>
    </xf>
    <xf numFmtId="0" fontId="28" fillId="3" borderId="10" xfId="0" applyFont="1" applyFill="1" applyBorder="1" applyAlignment="1">
      <alignment horizontal="left"/>
    </xf>
    <xf numFmtId="0" fontId="28" fillId="3" borderId="8" xfId="0" applyFont="1" applyFill="1" applyBorder="1" applyAlignment="1">
      <alignment horizontal="left"/>
    </xf>
    <xf numFmtId="10" fontId="28" fillId="3" borderId="9" xfId="12" applyNumberFormat="1" applyFont="1" applyFill="1" applyBorder="1"/>
    <xf numFmtId="43" fontId="28" fillId="3" borderId="0" xfId="4" applyFont="1" applyFill="1"/>
    <xf numFmtId="0" fontId="28" fillId="3" borderId="3" xfId="0" applyFont="1" applyFill="1" applyBorder="1"/>
    <xf numFmtId="43" fontId="28" fillId="3" borderId="5" xfId="4" applyNumberFormat="1" applyFont="1" applyFill="1" applyBorder="1"/>
    <xf numFmtId="43" fontId="28" fillId="3" borderId="4" xfId="4" applyNumberFormat="1" applyFont="1" applyFill="1" applyBorder="1"/>
    <xf numFmtId="43" fontId="28" fillId="3" borderId="3" xfId="4" applyNumberFormat="1" applyFont="1" applyFill="1" applyBorder="1"/>
    <xf numFmtId="2" fontId="27" fillId="5" borderId="14" xfId="0" applyNumberFormat="1" applyFont="1" applyFill="1" applyBorder="1" applyAlignment="1">
      <alignment horizontal="center" vertical="top" wrapText="1"/>
    </xf>
    <xf numFmtId="175" fontId="28" fillId="3" borderId="11" xfId="4" applyNumberFormat="1" applyFont="1" applyFill="1" applyBorder="1"/>
    <xf numFmtId="175" fontId="28" fillId="3" borderId="12" xfId="4" applyNumberFormat="1" applyFont="1" applyFill="1" applyBorder="1"/>
    <xf numFmtId="175" fontId="28" fillId="3" borderId="13" xfId="4" applyNumberFormat="1" applyFont="1" applyFill="1" applyBorder="1"/>
    <xf numFmtId="164" fontId="28" fillId="3" borderId="0" xfId="0" applyNumberFormat="1" applyFont="1" applyFill="1"/>
    <xf numFmtId="0" fontId="28" fillId="3" borderId="0" xfId="0" applyFont="1" applyFill="1"/>
    <xf numFmtId="4" fontId="28" fillId="3" borderId="0" xfId="0" applyNumberFormat="1" applyFont="1" applyFill="1"/>
    <xf numFmtId="169" fontId="28" fillId="3" borderId="0" xfId="11" applyNumberFormat="1" applyFont="1" applyFill="1" applyAlignment="1">
      <alignment vertical="center"/>
    </xf>
    <xf numFmtId="177" fontId="28" fillId="3" borderId="0" xfId="4" applyNumberFormat="1" applyFont="1" applyFill="1" applyBorder="1"/>
    <xf numFmtId="175" fontId="28" fillId="3" borderId="0" xfId="4" applyNumberFormat="1" applyFont="1" applyFill="1" applyBorder="1"/>
    <xf numFmtId="175" fontId="28" fillId="3" borderId="3" xfId="4" applyNumberFormat="1" applyFont="1" applyFill="1" applyBorder="1"/>
    <xf numFmtId="175" fontId="28" fillId="3" borderId="0" xfId="0" applyNumberFormat="1" applyFont="1" applyFill="1"/>
    <xf numFmtId="175" fontId="28" fillId="7" borderId="0" xfId="0" applyNumberFormat="1" applyFont="1" applyFill="1"/>
    <xf numFmtId="175" fontId="37" fillId="7" borderId="0" xfId="0" applyNumberFormat="1" applyFont="1" applyFill="1"/>
    <xf numFmtId="43" fontId="37" fillId="7" borderId="0" xfId="4" applyFont="1" applyFill="1"/>
    <xf numFmtId="43" fontId="28" fillId="3" borderId="0" xfId="15" applyNumberFormat="1" applyFont="1" applyFill="1"/>
    <xf numFmtId="176" fontId="7" fillId="3" borderId="0" xfId="14" applyNumberFormat="1" applyFont="1" applyFill="1" applyBorder="1" applyAlignment="1">
      <alignment horizontal="left"/>
    </xf>
    <xf numFmtId="164" fontId="17" fillId="3" borderId="0" xfId="14" applyNumberFormat="1" applyFont="1" applyFill="1" applyBorder="1" applyAlignment="1">
      <alignment horizontal="left"/>
    </xf>
    <xf numFmtId="175" fontId="28" fillId="3" borderId="0" xfId="4" applyNumberFormat="1" applyFont="1" applyFill="1" applyBorder="1" applyAlignment="1">
      <alignment horizontal="center"/>
    </xf>
    <xf numFmtId="175" fontId="28" fillId="3" borderId="4" xfId="4" applyNumberFormat="1" applyFont="1" applyFill="1" applyBorder="1" applyAlignment="1">
      <alignment horizontal="center"/>
    </xf>
    <xf numFmtId="175" fontId="28" fillId="3" borderId="5" xfId="4" applyNumberFormat="1" applyFont="1" applyFill="1" applyBorder="1" applyAlignment="1">
      <alignment horizontal="center"/>
    </xf>
    <xf numFmtId="175" fontId="28" fillId="3" borderId="0" xfId="4" applyNumberFormat="1" applyFont="1" applyFill="1" applyBorder="1"/>
    <xf numFmtId="43" fontId="28" fillId="3" borderId="0" xfId="4" applyFont="1" applyFill="1"/>
    <xf numFmtId="43" fontId="28" fillId="3" borderId="5" xfId="4" applyFont="1" applyFill="1" applyBorder="1"/>
    <xf numFmtId="43" fontId="28" fillId="3" borderId="3" xfId="4" applyFont="1" applyFill="1" applyBorder="1"/>
    <xf numFmtId="43" fontId="28" fillId="3" borderId="0" xfId="4" applyFont="1" applyFill="1" applyBorder="1"/>
    <xf numFmtId="43" fontId="28" fillId="3" borderId="9" xfId="4" applyFont="1" applyFill="1" applyBorder="1"/>
    <xf numFmtId="43" fontId="28" fillId="3" borderId="8" xfId="4" applyFont="1" applyFill="1" applyBorder="1"/>
    <xf numFmtId="43" fontId="28" fillId="3" borderId="10" xfId="4" applyFont="1" applyFill="1" applyBorder="1"/>
    <xf numFmtId="0" fontId="31" fillId="7" borderId="0" xfId="0" applyFont="1" applyFill="1" applyAlignment="1">
      <alignment vertical="center" wrapText="1"/>
    </xf>
    <xf numFmtId="9" fontId="27" fillId="5" borderId="14" xfId="0" applyNumberFormat="1" applyFont="1" applyFill="1" applyBorder="1" applyAlignment="1">
      <alignment horizontal="center"/>
    </xf>
    <xf numFmtId="0" fontId="28" fillId="30" borderId="0" xfId="0" applyFont="1" applyFill="1" applyBorder="1" applyAlignment="1">
      <alignment horizontal="left"/>
    </xf>
    <xf numFmtId="0" fontId="39" fillId="3" borderId="0" xfId="0" applyFont="1" applyFill="1" applyAlignment="1">
      <alignment wrapText="1"/>
    </xf>
    <xf numFmtId="0" fontId="37" fillId="3" borderId="0" xfId="0" applyFont="1" applyFill="1" applyAlignment="1">
      <alignment wrapText="1"/>
    </xf>
    <xf numFmtId="0" fontId="39" fillId="2" borderId="28" xfId="0" applyFont="1" applyFill="1" applyBorder="1" applyAlignment="1">
      <alignment horizontal="center" vertical="center" wrapText="1"/>
    </xf>
    <xf numFmtId="0" fontId="37" fillId="2" borderId="28" xfId="0" applyFont="1" applyFill="1" applyBorder="1" applyAlignment="1">
      <alignment horizontal="center" vertical="center" wrapText="1"/>
    </xf>
    <xf numFmtId="0" fontId="37" fillId="2" borderId="30" xfId="0" applyFont="1" applyFill="1" applyBorder="1"/>
    <xf numFmtId="0" fontId="66" fillId="3" borderId="0" xfId="0" applyFont="1" applyFill="1" applyAlignment="1">
      <alignment horizontal="right"/>
    </xf>
    <xf numFmtId="175" fontId="30" fillId="3" borderId="0" xfId="4" applyNumberFormat="1" applyFont="1" applyFill="1" applyAlignment="1">
      <alignment vertical="center"/>
    </xf>
    <xf numFmtId="0" fontId="30" fillId="3" borderId="0" xfId="0" applyFont="1" applyFill="1" applyAlignment="1">
      <alignment vertical="center"/>
    </xf>
    <xf numFmtId="175" fontId="33" fillId="3" borderId="0" xfId="4" applyNumberFormat="1" applyFont="1" applyFill="1"/>
    <xf numFmtId="175" fontId="33" fillId="3" borderId="5" xfId="4" applyNumberFormat="1" applyFont="1" applyFill="1" applyBorder="1"/>
    <xf numFmtId="175" fontId="33" fillId="3" borderId="14" xfId="4" applyNumberFormat="1" applyFont="1" applyFill="1" applyBorder="1"/>
    <xf numFmtId="175" fontId="33" fillId="3" borderId="0" xfId="4" applyNumberFormat="1" applyFont="1" applyFill="1" applyBorder="1"/>
    <xf numFmtId="175" fontId="0" fillId="3" borderId="0" xfId="4" applyNumberFormat="1" applyFont="1" applyFill="1"/>
    <xf numFmtId="0" fontId="0" fillId="3" borderId="0" xfId="0" applyFill="1"/>
    <xf numFmtId="3" fontId="28" fillId="3" borderId="0" xfId="15" applyNumberFormat="1" applyFont="1" applyFill="1" applyBorder="1"/>
    <xf numFmtId="176" fontId="64" fillId="3" borderId="0" xfId="4" applyNumberFormat="1" applyFont="1" applyFill="1"/>
    <xf numFmtId="0" fontId="17" fillId="3" borderId="0" xfId="15" applyNumberFormat="1" applyFont="1" applyFill="1" applyBorder="1" applyAlignment="1">
      <alignment horizontal="right"/>
    </xf>
    <xf numFmtId="0" fontId="18" fillId="3" borderId="0" xfId="260" applyFill="1"/>
    <xf numFmtId="0" fontId="18" fillId="3" borderId="0" xfId="260" applyFill="1" applyAlignment="1">
      <alignment vertical="center"/>
    </xf>
    <xf numFmtId="0" fontId="18" fillId="3" borderId="0" xfId="260" applyFill="1" applyAlignment="1">
      <alignment horizontal="center" vertical="center"/>
    </xf>
    <xf numFmtId="0" fontId="71" fillId="7" borderId="0" xfId="0" applyFont="1" applyFill="1"/>
    <xf numFmtId="0" fontId="71" fillId="3" borderId="0" xfId="0" applyNumberFormat="1" applyFont="1" applyFill="1" applyAlignment="1">
      <alignment horizontal="left"/>
    </xf>
    <xf numFmtId="1" fontId="71" fillId="3" borderId="0" xfId="11" applyNumberFormat="1" applyFont="1" applyFill="1" applyAlignment="1">
      <alignment horizontal="left" vertical="center"/>
    </xf>
    <xf numFmtId="3" fontId="34" fillId="3" borderId="0" xfId="11" applyNumberFormat="1" applyFont="1" applyFill="1" applyAlignment="1">
      <alignment vertical="center"/>
    </xf>
    <xf numFmtId="0" fontId="34" fillId="3" borderId="0" xfId="0" applyFont="1" applyFill="1"/>
    <xf numFmtId="43" fontId="34" fillId="3" borderId="0" xfId="4" applyFont="1" applyFill="1"/>
    <xf numFmtId="169" fontId="34" fillId="3" borderId="0" xfId="11" applyNumberFormat="1" applyFont="1" applyFill="1" applyAlignment="1">
      <alignment vertical="center"/>
    </xf>
    <xf numFmtId="3" fontId="71" fillId="3" borderId="0" xfId="11" applyNumberFormat="1" applyFont="1" applyFill="1" applyAlignment="1">
      <alignment vertical="center"/>
    </xf>
    <xf numFmtId="169" fontId="71" fillId="3" borderId="0" xfId="0" applyNumberFormat="1" applyFont="1" applyFill="1"/>
    <xf numFmtId="0" fontId="71" fillId="3" borderId="0" xfId="0" applyFont="1" applyFill="1"/>
    <xf numFmtId="175" fontId="71" fillId="3" borderId="0" xfId="4" applyNumberFormat="1" applyFont="1" applyFill="1"/>
    <xf numFmtId="169" fontId="71" fillId="3" borderId="0" xfId="11" applyNumberFormat="1" applyFont="1" applyFill="1" applyAlignment="1">
      <alignment vertical="center"/>
    </xf>
    <xf numFmtId="175" fontId="71" fillId="3" borderId="0" xfId="4" applyNumberFormat="1" applyFont="1" applyFill="1" applyAlignment="1">
      <alignment vertical="center"/>
    </xf>
    <xf numFmtId="175" fontId="71" fillId="3" borderId="0" xfId="4" applyNumberFormat="1" applyFont="1" applyFill="1" applyBorder="1" applyAlignment="1">
      <alignment vertical="center"/>
    </xf>
    <xf numFmtId="43" fontId="71" fillId="3" borderId="0" xfId="4" applyFont="1" applyFill="1" applyAlignment="1">
      <alignment vertical="center"/>
    </xf>
    <xf numFmtId="0" fontId="71" fillId="3" borderId="0" xfId="11" applyFont="1" applyFill="1" applyAlignment="1">
      <alignment vertical="center"/>
    </xf>
    <xf numFmtId="177" fontId="71" fillId="3" borderId="0" xfId="11" applyNumberFormat="1" applyFont="1" applyFill="1" applyAlignment="1">
      <alignment vertical="center"/>
    </xf>
    <xf numFmtId="43" fontId="71" fillId="3" borderId="0" xfId="4" applyFont="1" applyFill="1" applyBorder="1" applyAlignment="1">
      <alignment vertical="center"/>
    </xf>
    <xf numFmtId="0" fontId="71" fillId="3" borderId="0" xfId="11" applyFont="1" applyFill="1" applyBorder="1" applyAlignment="1">
      <alignment vertical="center"/>
    </xf>
    <xf numFmtId="1" fontId="71" fillId="3" borderId="0" xfId="11" applyNumberFormat="1" applyFont="1" applyFill="1" applyAlignment="1">
      <alignment vertical="center"/>
    </xf>
    <xf numFmtId="0" fontId="71" fillId="3" borderId="0" xfId="0" applyFont="1" applyFill="1" applyAlignment="1">
      <alignment vertical="center"/>
    </xf>
    <xf numFmtId="43" fontId="28" fillId="3" borderId="0" xfId="4" applyFont="1" applyFill="1" applyBorder="1" applyAlignment="1">
      <alignment horizontal="center" vertical="center"/>
    </xf>
    <xf numFmtId="0" fontId="68" fillId="7" borderId="0" xfId="668" applyFill="1" applyAlignment="1">
      <alignment horizontal="center" vertical="center" wrapText="1"/>
    </xf>
    <xf numFmtId="0" fontId="68" fillId="7" borderId="0" xfId="668" applyFill="1" applyAlignment="1">
      <alignment vertical="center"/>
    </xf>
    <xf numFmtId="43" fontId="68" fillId="3" borderId="0" xfId="668" applyNumberFormat="1" applyFill="1" applyBorder="1" applyAlignment="1">
      <alignment horizontal="center" vertical="center"/>
    </xf>
    <xf numFmtId="43" fontId="68" fillId="3" borderId="0" xfId="668" applyNumberFormat="1" applyFill="1" applyAlignment="1">
      <alignment horizontal="center" vertical="center" wrapText="1"/>
    </xf>
    <xf numFmtId="43" fontId="68" fillId="3" borderId="0" xfId="668" applyNumberFormat="1" applyFill="1" applyBorder="1" applyAlignment="1">
      <alignment horizontal="left" vertical="center"/>
    </xf>
    <xf numFmtId="175" fontId="27" fillId="5" borderId="4" xfId="4" applyNumberFormat="1" applyFont="1" applyFill="1" applyBorder="1" applyAlignment="1">
      <alignment horizontal="center" vertical="center" wrapText="1"/>
    </xf>
    <xf numFmtId="43" fontId="68" fillId="3" borderId="0" xfId="668" applyNumberFormat="1" applyFill="1" applyAlignment="1">
      <alignment horizontal="center" vertical="center" wrapText="1"/>
    </xf>
    <xf numFmtId="0" fontId="27" fillId="5" borderId="14" xfId="0" applyFont="1" applyFill="1" applyBorder="1" applyAlignment="1">
      <alignment horizontal="center" vertical="center" wrapText="1"/>
    </xf>
    <xf numFmtId="43" fontId="68" fillId="3" borderId="0" xfId="668" applyNumberFormat="1" applyFill="1" applyAlignment="1">
      <alignment horizontal="left" vertical="center"/>
    </xf>
    <xf numFmtId="43" fontId="68" fillId="3" borderId="0" xfId="668" applyNumberFormat="1" applyFill="1" applyBorder="1" applyAlignment="1">
      <alignment horizontal="center" vertical="center" wrapText="1"/>
    </xf>
    <xf numFmtId="0" fontId="28" fillId="3" borderId="0" xfId="0" applyFont="1" applyFill="1" applyAlignment="1">
      <alignment vertical="center"/>
    </xf>
    <xf numFmtId="0" fontId="27" fillId="5" borderId="4" xfId="0" applyFont="1" applyFill="1" applyBorder="1" applyAlignment="1">
      <alignment horizontal="center" vertical="center" wrapText="1"/>
    </xf>
    <xf numFmtId="43" fontId="68" fillId="3" borderId="0" xfId="668" applyNumberFormat="1" applyFill="1" applyAlignment="1">
      <alignment horizontal="center" vertical="center" wrapText="1"/>
    </xf>
    <xf numFmtId="175" fontId="28" fillId="36" borderId="5" xfId="4" applyNumberFormat="1" applyFont="1" applyFill="1" applyBorder="1"/>
    <xf numFmtId="175" fontId="28" fillId="36" borderId="14" xfId="4" applyNumberFormat="1" applyFont="1" applyFill="1" applyBorder="1"/>
    <xf numFmtId="175" fontId="27" fillId="39" borderId="14" xfId="4" applyNumberFormat="1" applyFont="1" applyFill="1" applyBorder="1" applyAlignment="1">
      <alignment horizontal="center" vertical="center" wrapText="1"/>
    </xf>
    <xf numFmtId="9" fontId="27" fillId="39" borderId="5" xfId="12" applyFont="1" applyFill="1" applyBorder="1" applyAlignment="1">
      <alignment horizontal="center"/>
    </xf>
    <xf numFmtId="9" fontId="27" fillId="39" borderId="14" xfId="12" applyFont="1" applyFill="1" applyBorder="1" applyAlignment="1">
      <alignment horizontal="center"/>
    </xf>
    <xf numFmtId="175" fontId="28" fillId="35" borderId="5" xfId="4" applyNumberFormat="1" applyFont="1" applyFill="1" applyBorder="1"/>
    <xf numFmtId="9" fontId="27" fillId="39" borderId="14" xfId="12" applyNumberFormat="1" applyFont="1" applyFill="1" applyBorder="1" applyAlignment="1">
      <alignment horizontal="center" vertical="center" wrapText="1"/>
    </xf>
    <xf numFmtId="0" fontId="27" fillId="39" borderId="14" xfId="0" applyFont="1" applyFill="1" applyBorder="1" applyAlignment="1">
      <alignment horizontal="center" vertical="center" wrapText="1"/>
    </xf>
    <xf numFmtId="9" fontId="27" fillId="39" borderId="14" xfId="12" applyNumberFormat="1" applyFont="1" applyFill="1" applyBorder="1" applyAlignment="1">
      <alignment horizontal="center" vertical="center"/>
    </xf>
    <xf numFmtId="43" fontId="27" fillId="39" borderId="14" xfId="4" applyFont="1" applyFill="1" applyBorder="1" applyAlignment="1">
      <alignment vertical="center" wrapText="1"/>
    </xf>
    <xf numFmtId="175" fontId="28" fillId="35" borderId="11" xfId="4" applyNumberFormat="1" applyFont="1" applyFill="1" applyBorder="1"/>
    <xf numFmtId="175" fontId="28" fillId="35" borderId="14" xfId="4" applyNumberFormat="1" applyFont="1" applyFill="1" applyBorder="1"/>
    <xf numFmtId="0" fontId="27" fillId="39" borderId="4" xfId="0" applyFont="1" applyFill="1" applyBorder="1" applyAlignment="1">
      <alignment horizontal="center" vertical="center" wrapText="1"/>
    </xf>
    <xf numFmtId="175" fontId="28" fillId="3" borderId="8" xfId="4" applyNumberFormat="1" applyFont="1" applyFill="1" applyBorder="1"/>
    <xf numFmtId="0" fontId="27" fillId="39" borderId="12" xfId="0" applyFont="1" applyFill="1" applyBorder="1" applyAlignment="1">
      <alignment horizontal="center" vertical="center" wrapText="1"/>
    </xf>
    <xf numFmtId="175" fontId="28" fillId="36" borderId="4" xfId="4" applyNumberFormat="1" applyFont="1" applyFill="1" applyBorder="1"/>
    <xf numFmtId="175" fontId="28" fillId="36" borderId="3" xfId="4" applyNumberFormat="1" applyFont="1" applyFill="1" applyBorder="1"/>
    <xf numFmtId="180" fontId="27" fillId="5" borderId="14" xfId="4" applyNumberFormat="1" applyFont="1" applyFill="1" applyBorder="1" applyAlignment="1">
      <alignment horizontal="center" vertical="center" wrapText="1"/>
    </xf>
    <xf numFmtId="10" fontId="27" fillId="5" borderId="14" xfId="12" applyNumberFormat="1" applyFont="1" applyFill="1" applyBorder="1" applyAlignment="1">
      <alignment horizontal="center" vertical="center"/>
    </xf>
    <xf numFmtId="175" fontId="28" fillId="0" borderId="11" xfId="4" applyNumberFormat="1" applyFont="1" applyFill="1" applyBorder="1"/>
    <xf numFmtId="10" fontId="27" fillId="5" borderId="4" xfId="12" applyNumberFormat="1" applyFont="1" applyFill="1" applyBorder="1" applyAlignment="1">
      <alignment horizontal="center" vertical="center"/>
    </xf>
    <xf numFmtId="175" fontId="27" fillId="3" borderId="0" xfId="4" applyNumberFormat="1" applyFont="1" applyFill="1" applyBorder="1" applyAlignment="1">
      <alignment horizontal="center" vertical="center" wrapText="1"/>
    </xf>
    <xf numFmtId="10" fontId="27" fillId="3" borderId="0" xfId="12" applyNumberFormat="1" applyFont="1" applyFill="1" applyBorder="1" applyAlignment="1">
      <alignment horizontal="center" vertical="center"/>
    </xf>
    <xf numFmtId="0" fontId="27" fillId="40" borderId="4" xfId="15" applyFont="1" applyFill="1" applyBorder="1" applyAlignment="1">
      <alignment horizontal="center" vertical="center" wrapText="1"/>
    </xf>
    <xf numFmtId="43" fontId="27" fillId="40" borderId="14" xfId="4" quotePrefix="1" applyFont="1" applyFill="1" applyBorder="1" applyAlignment="1">
      <alignment horizontal="center" vertical="center" wrapText="1"/>
    </xf>
    <xf numFmtId="175" fontId="28" fillId="41" borderId="4" xfId="4" applyNumberFormat="1" applyFont="1" applyFill="1" applyBorder="1"/>
    <xf numFmtId="175" fontId="28" fillId="41" borderId="5" xfId="4" applyNumberFormat="1" applyFont="1" applyFill="1" applyBorder="1"/>
    <xf numFmtId="175" fontId="28" fillId="41" borderId="3" xfId="4" applyNumberFormat="1" applyFont="1" applyFill="1" applyBorder="1"/>
    <xf numFmtId="0" fontId="28" fillId="36" borderId="17" xfId="0" applyFont="1" applyFill="1" applyBorder="1"/>
    <xf numFmtId="0" fontId="28" fillId="36" borderId="7" xfId="0" applyFont="1" applyFill="1" applyBorder="1"/>
    <xf numFmtId="43" fontId="28" fillId="36" borderId="14" xfId="4" applyNumberFormat="1" applyFont="1" applyFill="1" applyBorder="1"/>
    <xf numFmtId="3" fontId="28" fillId="3" borderId="8" xfId="12" applyNumberFormat="1" applyFont="1" applyFill="1" applyBorder="1"/>
    <xf numFmtId="3" fontId="28" fillId="3" borderId="9" xfId="12" applyNumberFormat="1" applyFont="1" applyFill="1" applyBorder="1"/>
    <xf numFmtId="3" fontId="28" fillId="36" borderId="17" xfId="12" applyNumberFormat="1" applyFont="1" applyFill="1" applyBorder="1"/>
    <xf numFmtId="0" fontId="27" fillId="37" borderId="12" xfId="0" applyFont="1" applyFill="1" applyBorder="1" applyAlignment="1">
      <alignment horizontal="center" vertical="center" wrapText="1"/>
    </xf>
    <xf numFmtId="0" fontId="28" fillId="3" borderId="8" xfId="15" applyFont="1" applyFill="1" applyBorder="1"/>
    <xf numFmtId="0" fontId="28" fillId="3" borderId="9" xfId="15" applyFont="1" applyFill="1" applyBorder="1"/>
    <xf numFmtId="3" fontId="17" fillId="3" borderId="11" xfId="15" applyNumberFormat="1" applyFont="1" applyFill="1" applyBorder="1" applyAlignment="1">
      <alignment horizontal="right"/>
    </xf>
    <xf numFmtId="1" fontId="73" fillId="3" borderId="0" xfId="11" applyNumberFormat="1" applyFont="1" applyFill="1" applyAlignment="1">
      <alignment horizontal="left" vertical="center"/>
    </xf>
    <xf numFmtId="0" fontId="73" fillId="3" borderId="0" xfId="0" applyFont="1" applyFill="1" applyAlignment="1">
      <alignment horizontal="left" vertical="center"/>
    </xf>
    <xf numFmtId="0" fontId="73" fillId="3" borderId="0" xfId="0" applyNumberFormat="1" applyFont="1" applyFill="1" applyAlignment="1">
      <alignment horizontal="left"/>
    </xf>
    <xf numFmtId="0" fontId="28" fillId="3" borderId="0" xfId="0" applyNumberFormat="1" applyFont="1" applyFill="1" applyAlignment="1">
      <alignment horizontal="center" vertical="center"/>
    </xf>
    <xf numFmtId="0" fontId="27" fillId="5" borderId="4" xfId="0" applyFont="1" applyFill="1" applyBorder="1" applyAlignment="1">
      <alignment horizontal="center" vertical="center" wrapText="1"/>
    </xf>
    <xf numFmtId="14" fontId="27" fillId="40" borderId="3" xfId="15" applyNumberFormat="1" applyFont="1" applyFill="1" applyBorder="1" applyAlignment="1">
      <alignment horizontal="center" vertical="center" wrapText="1"/>
    </xf>
    <xf numFmtId="0" fontId="67" fillId="3" borderId="0" xfId="0" applyNumberFormat="1" applyFont="1" applyFill="1" applyBorder="1" applyAlignment="1">
      <alignment wrapText="1"/>
    </xf>
    <xf numFmtId="43" fontId="28" fillId="36" borderId="5" xfId="4" applyNumberFormat="1" applyFont="1" applyFill="1" applyBorder="1"/>
    <xf numFmtId="49" fontId="67" fillId="3" borderId="0" xfId="4" applyNumberFormat="1" applyFont="1" applyFill="1" applyBorder="1" applyAlignment="1">
      <alignment vertical="center" wrapText="1"/>
    </xf>
    <xf numFmtId="0" fontId="29" fillId="3" borderId="0" xfId="11" applyFont="1" applyFill="1" applyAlignment="1"/>
    <xf numFmtId="0" fontId="34" fillId="3" borderId="0" xfId="0" applyFont="1" applyFill="1" applyBorder="1"/>
    <xf numFmtId="0" fontId="28" fillId="3" borderId="0" xfId="11" applyFont="1" applyFill="1" applyBorder="1" applyAlignment="1">
      <alignment horizontal="right" vertical="center"/>
    </xf>
    <xf numFmtId="0" fontId="28" fillId="3" borderId="0" xfId="0" applyFont="1" applyFill="1" applyAlignment="1">
      <alignment horizontal="right"/>
    </xf>
    <xf numFmtId="3" fontId="28" fillId="3" borderId="0" xfId="0" applyNumberFormat="1" applyFont="1" applyFill="1" applyBorder="1" applyAlignment="1">
      <alignment horizontal="right"/>
    </xf>
    <xf numFmtId="3" fontId="28" fillId="3" borderId="7" xfId="0" applyNumberFormat="1" applyFont="1" applyFill="1" applyBorder="1" applyAlignment="1">
      <alignment horizontal="right"/>
    </xf>
    <xf numFmtId="0" fontId="71" fillId="3" borderId="0" xfId="0" applyFont="1" applyFill="1" applyAlignment="1"/>
    <xf numFmtId="10" fontId="28" fillId="3" borderId="7" xfId="0" applyNumberFormat="1" applyFont="1" applyFill="1" applyBorder="1"/>
    <xf numFmtId="175" fontId="28" fillId="36" borderId="4" xfId="4" quotePrefix="1" applyNumberFormat="1" applyFont="1" applyFill="1" applyBorder="1"/>
    <xf numFmtId="175" fontId="28" fillId="36" borderId="5" xfId="4" quotePrefix="1" applyNumberFormat="1" applyFont="1" applyFill="1" applyBorder="1"/>
    <xf numFmtId="0" fontId="67" fillId="3" borderId="0" xfId="0" applyFont="1" applyFill="1" applyBorder="1" applyAlignment="1">
      <alignment vertical="center" wrapText="1"/>
    </xf>
    <xf numFmtId="0" fontId="67" fillId="3" borderId="0" xfId="11" applyFont="1" applyFill="1" applyBorder="1" applyAlignment="1">
      <alignment vertical="center" wrapText="1"/>
    </xf>
    <xf numFmtId="0" fontId="67" fillId="3" borderId="0" xfId="0" applyFont="1" applyFill="1" applyBorder="1" applyAlignment="1"/>
    <xf numFmtId="175" fontId="28" fillId="36" borderId="11" xfId="4" applyNumberFormat="1" applyFont="1" applyFill="1" applyBorder="1"/>
    <xf numFmtId="2" fontId="27" fillId="5" borderId="4" xfId="0" applyNumberFormat="1" applyFont="1" applyFill="1" applyBorder="1" applyAlignment="1">
      <alignment horizontal="center" vertical="top" wrapText="1"/>
    </xf>
    <xf numFmtId="0" fontId="33" fillId="3" borderId="4" xfId="0" applyFont="1" applyFill="1" applyBorder="1" applyAlignment="1">
      <alignment horizontal="left"/>
    </xf>
    <xf numFmtId="0" fontId="33" fillId="3" borderId="8" xfId="0" applyFont="1" applyFill="1" applyBorder="1" applyAlignment="1">
      <alignment horizontal="center"/>
    </xf>
    <xf numFmtId="0" fontId="33" fillId="3" borderId="9" xfId="0" applyFont="1" applyFill="1" applyBorder="1" applyAlignment="1">
      <alignment horizontal="center"/>
    </xf>
    <xf numFmtId="0" fontId="33" fillId="3" borderId="10" xfId="0" applyFont="1" applyFill="1" applyBorder="1" applyAlignment="1">
      <alignment horizontal="center"/>
    </xf>
    <xf numFmtId="43" fontId="33" fillId="3" borderId="0" xfId="4" applyFont="1" applyFill="1" applyBorder="1"/>
    <xf numFmtId="166" fontId="28" fillId="3" borderId="10" xfId="0" applyNumberFormat="1" applyFont="1" applyFill="1" applyBorder="1" applyAlignment="1">
      <alignment horizontal="center"/>
    </xf>
    <xf numFmtId="0" fontId="33" fillId="3" borderId="5" xfId="0" applyFont="1" applyFill="1" applyBorder="1" applyAlignment="1">
      <alignment horizontal="left"/>
    </xf>
    <xf numFmtId="0" fontId="33" fillId="3" borderId="3" xfId="0" applyFont="1" applyFill="1" applyBorder="1" applyAlignment="1">
      <alignment horizontal="left"/>
    </xf>
    <xf numFmtId="180" fontId="33" fillId="3" borderId="4" xfId="4" applyNumberFormat="1" applyFont="1" applyFill="1" applyBorder="1"/>
    <xf numFmtId="180" fontId="33" fillId="3" borderId="5" xfId="4" applyNumberFormat="1" applyFont="1" applyFill="1" applyBorder="1"/>
    <xf numFmtId="180" fontId="33" fillId="3" borderId="3" xfId="4" applyNumberFormat="1" applyFont="1" applyFill="1" applyBorder="1"/>
    <xf numFmtId="43" fontId="68" fillId="3" borderId="0" xfId="668" applyNumberFormat="1" applyFill="1" applyAlignment="1">
      <alignment horizontal="left" vertical="center"/>
    </xf>
    <xf numFmtId="43" fontId="68" fillId="3" borderId="0" xfId="668" applyNumberFormat="1" applyFill="1" applyBorder="1" applyAlignment="1">
      <alignment horizontal="right" vertical="center"/>
    </xf>
    <xf numFmtId="175" fontId="28" fillId="41" borderId="3" xfId="4" applyNumberFormat="1" applyFont="1" applyFill="1" applyBorder="1" applyAlignment="1">
      <alignment horizontal="center"/>
    </xf>
    <xf numFmtId="43" fontId="33" fillId="5" borderId="14" xfId="4" applyFont="1" applyFill="1" applyBorder="1"/>
    <xf numFmtId="172" fontId="28" fillId="5" borderId="14" xfId="12" applyNumberFormat="1" applyFont="1" applyFill="1" applyBorder="1"/>
    <xf numFmtId="3" fontId="28" fillId="3" borderId="10" xfId="12" applyNumberFormat="1" applyFont="1" applyFill="1" applyBorder="1"/>
    <xf numFmtId="43" fontId="28" fillId="3" borderId="12" xfId="4" applyFont="1" applyFill="1" applyBorder="1"/>
    <xf numFmtId="43" fontId="28" fillId="3" borderId="11" xfId="4" applyFont="1" applyFill="1" applyBorder="1"/>
    <xf numFmtId="43" fontId="28" fillId="3" borderId="13" xfId="4" applyFont="1" applyFill="1" applyBorder="1"/>
    <xf numFmtId="43" fontId="28" fillId="3" borderId="7" xfId="4" applyFont="1" applyFill="1" applyBorder="1"/>
    <xf numFmtId="175" fontId="28" fillId="36" borderId="3" xfId="4" quotePrefix="1" applyNumberFormat="1" applyFont="1" applyFill="1" applyBorder="1"/>
    <xf numFmtId="43" fontId="28" fillId="3" borderId="0" xfId="4" applyNumberFormat="1" applyFont="1" applyFill="1" applyBorder="1"/>
    <xf numFmtId="3" fontId="28" fillId="3" borderId="17" xfId="12" applyNumberFormat="1" applyFont="1" applyFill="1" applyBorder="1"/>
    <xf numFmtId="177" fontId="28" fillId="3" borderId="7" xfId="4" applyNumberFormat="1" applyFont="1" applyFill="1" applyBorder="1"/>
    <xf numFmtId="43" fontId="28" fillId="36" borderId="4" xfId="4" applyNumberFormat="1" applyFont="1" applyFill="1" applyBorder="1"/>
    <xf numFmtId="0" fontId="69" fillId="3" borderId="0" xfId="260" applyFont="1" applyFill="1" applyAlignment="1">
      <alignment horizontal="left" vertical="center" indent="1"/>
    </xf>
    <xf numFmtId="0" fontId="68" fillId="7" borderId="8" xfId="668" applyFill="1" applyBorder="1" applyAlignment="1">
      <alignment horizontal="left" vertical="center" indent="1"/>
    </xf>
    <xf numFmtId="0" fontId="68" fillId="7" borderId="9" xfId="668" applyFill="1" applyBorder="1" applyAlignment="1">
      <alignment horizontal="left" vertical="center" indent="1"/>
    </xf>
    <xf numFmtId="0" fontId="68" fillId="7" borderId="10" xfId="668" applyFill="1" applyBorder="1" applyAlignment="1">
      <alignment horizontal="left" vertical="center" indent="1"/>
    </xf>
    <xf numFmtId="0" fontId="68" fillId="35" borderId="10" xfId="668" applyFill="1" applyBorder="1" applyAlignment="1">
      <alignment horizontal="left" vertical="center" indent="1"/>
    </xf>
    <xf numFmtId="0" fontId="68" fillId="32" borderId="17" xfId="668" applyFill="1" applyBorder="1" applyAlignment="1">
      <alignment horizontal="left" vertical="center" indent="1"/>
    </xf>
    <xf numFmtId="43" fontId="68" fillId="3" borderId="0" xfId="668" applyNumberFormat="1" applyFill="1" applyAlignment="1">
      <alignment vertical="center" wrapText="1"/>
    </xf>
    <xf numFmtId="175" fontId="28" fillId="3" borderId="14" xfId="4" applyNumberFormat="1" applyFont="1" applyFill="1" applyBorder="1" applyProtection="1"/>
    <xf numFmtId="43" fontId="28" fillId="3" borderId="14" xfId="4" applyNumberFormat="1" applyFont="1" applyFill="1" applyBorder="1" applyProtection="1"/>
    <xf numFmtId="43" fontId="28" fillId="36" borderId="5" xfId="4" applyNumberFormat="1" applyFont="1" applyFill="1" applyBorder="1" applyProtection="1"/>
    <xf numFmtId="43" fontId="28" fillId="36" borderId="14" xfId="4" applyNumberFormat="1" applyFont="1" applyFill="1" applyBorder="1" applyProtection="1"/>
    <xf numFmtId="175" fontId="28" fillId="36" borderId="5" xfId="4" applyNumberFormat="1" applyFont="1" applyFill="1" applyBorder="1" applyProtection="1"/>
    <xf numFmtId="175" fontId="28" fillId="36" borderId="14" xfId="4" applyNumberFormat="1" applyFont="1" applyFill="1" applyBorder="1" applyProtection="1"/>
    <xf numFmtId="3" fontId="27" fillId="38" borderId="4" xfId="0" applyNumberFormat="1"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3" fontId="27" fillId="38" borderId="14" xfId="0" applyNumberFormat="1" applyFont="1" applyFill="1" applyBorder="1" applyAlignment="1">
      <alignment horizontal="center"/>
    </xf>
    <xf numFmtId="166" fontId="27" fillId="38" borderId="14" xfId="0" applyNumberFormat="1" applyFont="1" applyFill="1" applyBorder="1" applyAlignment="1">
      <alignment horizontal="center"/>
    </xf>
    <xf numFmtId="175" fontId="27" fillId="38" borderId="14" xfId="4" applyNumberFormat="1" applyFont="1" applyFill="1" applyBorder="1" applyAlignment="1">
      <alignment horizontal="center"/>
    </xf>
    <xf numFmtId="0" fontId="27" fillId="38" borderId="14" xfId="0" applyNumberFormat="1" applyFont="1" applyFill="1" applyBorder="1" applyAlignment="1">
      <alignment horizontal="center"/>
    </xf>
    <xf numFmtId="0" fontId="27" fillId="8" borderId="4" xfId="0" applyFont="1" applyFill="1" applyBorder="1" applyAlignment="1">
      <alignment horizontal="center" vertical="center" wrapText="1"/>
    </xf>
    <xf numFmtId="0" fontId="27" fillId="8" borderId="14" xfId="0" applyFont="1" applyFill="1" applyBorder="1" applyAlignment="1">
      <alignment horizontal="center" vertical="center" wrapText="1"/>
    </xf>
    <xf numFmtId="175" fontId="28" fillId="42" borderId="5" xfId="4" applyNumberFormat="1" applyFont="1" applyFill="1" applyBorder="1"/>
    <xf numFmtId="175" fontId="28" fillId="42" borderId="14" xfId="4" applyNumberFormat="1" applyFont="1" applyFill="1" applyBorder="1"/>
    <xf numFmtId="0" fontId="70" fillId="3" borderId="0" xfId="260" applyFont="1" applyFill="1" applyAlignment="1">
      <alignment horizontal="left" vertical="center" indent="1"/>
    </xf>
    <xf numFmtId="175" fontId="28" fillId="3" borderId="6" xfId="4" applyNumberFormat="1" applyFont="1" applyFill="1" applyBorder="1" applyAlignment="1">
      <alignment vertical="center"/>
    </xf>
    <xf numFmtId="43" fontId="28" fillId="3" borderId="14" xfId="4" applyNumberFormat="1" applyFont="1" applyFill="1" applyBorder="1" applyAlignment="1">
      <alignment vertical="center"/>
    </xf>
    <xf numFmtId="175" fontId="28" fillId="3" borderId="7" xfId="4" applyNumberFormat="1" applyFont="1" applyFill="1" applyBorder="1" applyAlignment="1">
      <alignment vertical="center"/>
    </xf>
    <xf numFmtId="0" fontId="29" fillId="3" borderId="0" xfId="11" applyFont="1" applyFill="1" applyAlignment="1">
      <alignment vertical="center"/>
    </xf>
    <xf numFmtId="175" fontId="28" fillId="3" borderId="8" xfId="4" applyNumberFormat="1" applyFont="1" applyFill="1" applyBorder="1" applyAlignment="1">
      <alignment vertical="center"/>
    </xf>
    <xf numFmtId="43" fontId="28" fillId="3" borderId="4" xfId="4" applyNumberFormat="1" applyFont="1" applyFill="1" applyBorder="1" applyAlignment="1">
      <alignment vertical="center"/>
    </xf>
    <xf numFmtId="175" fontId="28" fillId="3" borderId="0" xfId="0" applyNumberFormat="1" applyFont="1" applyFill="1" applyAlignment="1">
      <alignment vertical="center"/>
    </xf>
    <xf numFmtId="175" fontId="28" fillId="3" borderId="9" xfId="4" applyNumberFormat="1" applyFont="1" applyFill="1" applyBorder="1" applyAlignment="1">
      <alignment vertical="center"/>
    </xf>
    <xf numFmtId="43" fontId="28" fillId="3" borderId="5" xfId="4" applyNumberFormat="1" applyFont="1" applyFill="1" applyBorder="1" applyAlignment="1">
      <alignment vertical="center"/>
    </xf>
    <xf numFmtId="181" fontId="27" fillId="39" borderId="14" xfId="4" applyNumberFormat="1" applyFont="1" applyFill="1" applyBorder="1" applyAlignment="1">
      <alignment horizontal="center" vertical="center"/>
    </xf>
    <xf numFmtId="0" fontId="28" fillId="36" borderId="14" xfId="0" applyFont="1" applyFill="1" applyBorder="1" applyAlignment="1">
      <alignment horizontal="center" vertical="center" wrapText="1"/>
    </xf>
    <xf numFmtId="175" fontId="33" fillId="33" borderId="3" xfId="0" applyNumberFormat="1" applyFont="1" applyFill="1" applyBorder="1"/>
    <xf numFmtId="175" fontId="33" fillId="33" borderId="14" xfId="0" applyNumberFormat="1" applyFont="1" applyFill="1" applyBorder="1"/>
    <xf numFmtId="175" fontId="28" fillId="33" borderId="7" xfId="0" applyNumberFormat="1" applyFont="1" applyFill="1" applyBorder="1"/>
    <xf numFmtId="175" fontId="28" fillId="5" borderId="3" xfId="0" applyNumberFormat="1" applyFont="1" applyFill="1" applyBorder="1"/>
    <xf numFmtId="175" fontId="28" fillId="42" borderId="4" xfId="4" applyNumberFormat="1" applyFont="1" applyFill="1" applyBorder="1"/>
    <xf numFmtId="175" fontId="28" fillId="42" borderId="3" xfId="4" applyNumberFormat="1" applyFont="1" applyFill="1" applyBorder="1"/>
    <xf numFmtId="167" fontId="27" fillId="39" borderId="14" xfId="12" applyNumberFormat="1" applyFont="1" applyFill="1" applyBorder="1" applyAlignment="1">
      <alignment horizontal="center" vertical="center" wrapText="1"/>
    </xf>
    <xf numFmtId="172" fontId="33" fillId="35" borderId="11" xfId="0" applyNumberFormat="1" applyFont="1" applyFill="1" applyBorder="1" applyAlignment="1">
      <alignment horizontal="center"/>
    </xf>
    <xf numFmtId="172" fontId="33" fillId="35" borderId="5" xfId="0" applyNumberFormat="1" applyFont="1" applyFill="1" applyBorder="1" applyAlignment="1">
      <alignment horizontal="center"/>
    </xf>
    <xf numFmtId="172" fontId="33" fillId="35" borderId="14" xfId="0" applyNumberFormat="1" applyFont="1" applyFill="1" applyBorder="1" applyAlignment="1">
      <alignment horizontal="center"/>
    </xf>
    <xf numFmtId="175" fontId="27" fillId="5" borderId="14" xfId="4" applyNumberFormat="1" applyFont="1" applyFill="1" applyBorder="1" applyAlignment="1">
      <alignment horizontal="center" vertical="center" wrapText="1"/>
    </xf>
    <xf numFmtId="167" fontId="27" fillId="5" borderId="14" xfId="12" applyNumberFormat="1" applyFont="1" applyFill="1" applyBorder="1" applyAlignment="1">
      <alignment horizontal="center" vertical="center" wrapText="1"/>
    </xf>
    <xf numFmtId="172" fontId="33" fillId="36" borderId="5" xfId="0" applyNumberFormat="1" applyFont="1" applyFill="1" applyBorder="1" applyAlignment="1">
      <alignment horizontal="center"/>
    </xf>
    <xf numFmtId="172" fontId="33" fillId="36" borderId="14" xfId="0" applyNumberFormat="1" applyFont="1" applyFill="1" applyBorder="1" applyAlignment="1">
      <alignment horizontal="center"/>
    </xf>
    <xf numFmtId="175" fontId="27" fillId="40" borderId="14" xfId="4" applyNumberFormat="1" applyFont="1" applyFill="1" applyBorder="1" applyAlignment="1">
      <alignment horizontal="center" vertical="center" wrapText="1"/>
    </xf>
    <xf numFmtId="167" fontId="27" fillId="40" borderId="14" xfId="12" applyNumberFormat="1" applyFont="1" applyFill="1" applyBorder="1" applyAlignment="1">
      <alignment horizontal="center" vertical="center" wrapText="1"/>
    </xf>
    <xf numFmtId="172" fontId="33" fillId="41" borderId="5" xfId="0" applyNumberFormat="1" applyFont="1" applyFill="1" applyBorder="1" applyAlignment="1">
      <alignment horizontal="center"/>
    </xf>
    <xf numFmtId="172" fontId="33" fillId="41" borderId="14" xfId="0" applyNumberFormat="1" applyFont="1" applyFill="1" applyBorder="1" applyAlignment="1">
      <alignment horizontal="center"/>
    </xf>
    <xf numFmtId="0" fontId="68" fillId="43" borderId="8" xfId="668" applyFill="1" applyBorder="1" applyAlignment="1">
      <alignment horizontal="left" vertical="center" indent="1"/>
    </xf>
    <xf numFmtId="0" fontId="68" fillId="43" borderId="9" xfId="668" applyFill="1" applyBorder="1" applyAlignment="1">
      <alignment horizontal="left" vertical="center" indent="1"/>
    </xf>
    <xf numFmtId="175" fontId="28" fillId="42" borderId="5" xfId="4" applyNumberFormat="1" applyFont="1" applyFill="1" applyBorder="1" applyProtection="1"/>
    <xf numFmtId="175" fontId="28" fillId="42" borderId="14" xfId="4" applyNumberFormat="1" applyFont="1" applyFill="1" applyBorder="1" applyProtection="1"/>
    <xf numFmtId="0" fontId="27" fillId="5" borderId="4" xfId="0" applyFont="1" applyFill="1" applyBorder="1" applyAlignment="1">
      <alignment horizontal="center" vertical="center" wrapText="1"/>
    </xf>
    <xf numFmtId="0" fontId="27" fillId="5" borderId="14" xfId="0" applyFont="1" applyFill="1" applyBorder="1" applyAlignment="1">
      <alignment horizontal="center" vertical="center" wrapText="1"/>
    </xf>
    <xf numFmtId="43" fontId="27" fillId="5" borderId="4" xfId="4" applyFont="1" applyFill="1" applyBorder="1" applyAlignment="1">
      <alignment horizontal="center" vertical="center" wrapText="1"/>
    </xf>
    <xf numFmtId="43" fontId="68" fillId="3" borderId="0" xfId="668" applyNumberFormat="1" applyFill="1" applyAlignment="1">
      <alignment horizontal="left" vertical="center"/>
    </xf>
    <xf numFmtId="175" fontId="28" fillId="44" borderId="5" xfId="4" applyNumberFormat="1" applyFont="1" applyFill="1" applyBorder="1"/>
    <xf numFmtId="175" fontId="28" fillId="44" borderId="0" xfId="4" applyNumberFormat="1" applyFont="1" applyFill="1" applyBorder="1"/>
    <xf numFmtId="0" fontId="68" fillId="34" borderId="17" xfId="668" applyFill="1" applyBorder="1" applyAlignment="1">
      <alignment horizontal="left" vertical="center" wrapText="1" indent="1"/>
    </xf>
    <xf numFmtId="177" fontId="28" fillId="3" borderId="5" xfId="4" applyNumberFormat="1" applyFont="1" applyFill="1" applyBorder="1"/>
    <xf numFmtId="177" fontId="28" fillId="44" borderId="4" xfId="4" applyNumberFormat="1" applyFont="1" applyFill="1" applyBorder="1"/>
    <xf numFmtId="177" fontId="28" fillId="44" borderId="5" xfId="4" applyNumberFormat="1" applyFont="1" applyFill="1" applyBorder="1"/>
    <xf numFmtId="177" fontId="28" fillId="44" borderId="3" xfId="4" applyNumberFormat="1" applyFont="1" applyFill="1" applyBorder="1"/>
    <xf numFmtId="43" fontId="28" fillId="3" borderId="12" xfId="4" applyNumberFormat="1" applyFont="1" applyFill="1" applyBorder="1"/>
    <xf numFmtId="43" fontId="28" fillId="3" borderId="11" xfId="4" applyNumberFormat="1" applyFont="1" applyFill="1" applyBorder="1"/>
    <xf numFmtId="0" fontId="28" fillId="36" borderId="4" xfId="0" applyFont="1" applyFill="1" applyBorder="1" applyAlignment="1">
      <alignment horizontal="center" vertical="center" wrapText="1"/>
    </xf>
    <xf numFmtId="175" fontId="28" fillId="35" borderId="12" xfId="4" applyNumberFormat="1" applyFont="1" applyFill="1" applyBorder="1"/>
    <xf numFmtId="175" fontId="28" fillId="35" borderId="13" xfId="4" applyNumberFormat="1" applyFont="1" applyFill="1" applyBorder="1"/>
    <xf numFmtId="0" fontId="68" fillId="5" borderId="17" xfId="668" applyFill="1" applyBorder="1" applyAlignment="1">
      <alignment horizontal="left" vertical="center" wrapText="1" indent="1"/>
    </xf>
    <xf numFmtId="177" fontId="27" fillId="5" borderId="4" xfId="0" applyNumberFormat="1" applyFont="1" applyFill="1" applyBorder="1" applyAlignment="1">
      <alignment horizontal="center" vertical="center" wrapText="1"/>
    </xf>
    <xf numFmtId="179" fontId="27" fillId="5" borderId="4" xfId="4" applyNumberFormat="1" applyFont="1" applyFill="1" applyBorder="1" applyAlignment="1">
      <alignment horizontal="center" vertical="center" wrapText="1"/>
    </xf>
    <xf numFmtId="175" fontId="28" fillId="4" borderId="4" xfId="0" applyNumberFormat="1" applyFont="1" applyFill="1" applyBorder="1"/>
    <xf numFmtId="175" fontId="28" fillId="4" borderId="5" xfId="0" applyNumberFormat="1" applyFont="1" applyFill="1" applyBorder="1"/>
    <xf numFmtId="175" fontId="28" fillId="4" borderId="3" xfId="0" applyNumberFormat="1" applyFont="1" applyFill="1" applyBorder="1"/>
    <xf numFmtId="175" fontId="28" fillId="4" borderId="14" xfId="0" applyNumberFormat="1" applyFont="1" applyFill="1" applyBorder="1"/>
    <xf numFmtId="183" fontId="27" fillId="5" borderId="14" xfId="0" applyNumberFormat="1" applyFont="1" applyFill="1" applyBorder="1" applyAlignment="1">
      <alignment horizontal="center" vertical="top" wrapText="1"/>
    </xf>
    <xf numFmtId="16" fontId="79" fillId="36" borderId="17" xfId="668" applyNumberFormat="1" applyFont="1" applyFill="1" applyBorder="1" applyAlignment="1">
      <alignment horizontal="center" vertical="center"/>
    </xf>
    <xf numFmtId="0" fontId="79" fillId="36" borderId="6" xfId="668" applyFont="1" applyFill="1" applyBorder="1" applyAlignment="1">
      <alignment horizontal="center" vertical="center"/>
    </xf>
    <xf numFmtId="0" fontId="79" fillId="36" borderId="7" xfId="668" applyFont="1" applyFill="1" applyBorder="1" applyAlignment="1">
      <alignment horizontal="center" vertical="center"/>
    </xf>
    <xf numFmtId="43" fontId="1" fillId="31" borderId="4" xfId="4" applyFont="1" applyFill="1" applyBorder="1"/>
    <xf numFmtId="43" fontId="1" fillId="31" borderId="5" xfId="4" applyFont="1" applyFill="1" applyBorder="1"/>
    <xf numFmtId="43" fontId="1" fillId="31" borderId="3" xfId="4" applyFont="1" applyFill="1" applyBorder="1"/>
    <xf numFmtId="43" fontId="28" fillId="36" borderId="5" xfId="4" applyFont="1" applyFill="1" applyBorder="1"/>
    <xf numFmtId="184" fontId="28" fillId="3" borderId="0" xfId="4" applyNumberFormat="1" applyFont="1" applyFill="1"/>
    <xf numFmtId="175" fontId="28" fillId="44" borderId="14" xfId="4" applyNumberFormat="1" applyFont="1" applyFill="1" applyBorder="1"/>
    <xf numFmtId="175" fontId="28" fillId="44" borderId="6" xfId="4" applyNumberFormat="1" applyFont="1" applyFill="1" applyBorder="1"/>
    <xf numFmtId="0" fontId="28" fillId="3" borderId="4" xfId="0" applyFont="1" applyFill="1" applyBorder="1" applyAlignment="1">
      <alignment horizontal="left"/>
    </xf>
    <xf numFmtId="0" fontId="28" fillId="3" borderId="5" xfId="0" applyFont="1" applyFill="1" applyBorder="1" applyAlignment="1">
      <alignment horizontal="left"/>
    </xf>
    <xf numFmtId="0" fontId="28" fillId="3" borderId="3" xfId="0" applyFont="1" applyFill="1" applyBorder="1" applyAlignment="1">
      <alignment horizontal="left"/>
    </xf>
    <xf numFmtId="175" fontId="28" fillId="4" borderId="7" xfId="4" applyNumberFormat="1" applyFont="1" applyFill="1" applyBorder="1"/>
    <xf numFmtId="0" fontId="27" fillId="33" borderId="4" xfId="0" applyFont="1" applyFill="1" applyBorder="1" applyAlignment="1">
      <alignment horizontal="center" vertical="center" wrapText="1"/>
    </xf>
    <xf numFmtId="43" fontId="28" fillId="3" borderId="0" xfId="4" applyFont="1" applyFill="1" applyAlignment="1">
      <alignment vertical="top"/>
    </xf>
    <xf numFmtId="43" fontId="28" fillId="36" borderId="14" xfId="4" applyFont="1" applyFill="1" applyBorder="1"/>
    <xf numFmtId="164" fontId="37" fillId="7" borderId="0" xfId="0" applyNumberFormat="1" applyFont="1" applyFill="1"/>
    <xf numFmtId="43" fontId="27" fillId="38" borderId="4" xfId="4" applyFont="1" applyFill="1" applyBorder="1" applyAlignment="1">
      <alignment horizontal="center" vertical="center" wrapText="1"/>
    </xf>
    <xf numFmtId="0" fontId="27" fillId="38" borderId="4" xfId="0" applyFont="1" applyFill="1" applyBorder="1" applyAlignment="1">
      <alignment horizontal="center" vertical="center" wrapText="1"/>
    </xf>
    <xf numFmtId="167" fontId="27" fillId="40" borderId="4" xfId="12" applyNumberFormat="1" applyFont="1" applyFill="1" applyBorder="1" applyAlignment="1">
      <alignment horizontal="center" vertical="center" wrapText="1"/>
    </xf>
    <xf numFmtId="167" fontId="27" fillId="38" borderId="4" xfId="12" applyNumberFormat="1" applyFont="1" applyFill="1" applyBorder="1" applyAlignment="1">
      <alignment horizontal="center" vertical="center" wrapText="1"/>
    </xf>
    <xf numFmtId="167" fontId="27" fillId="5" borderId="4" xfId="12" applyNumberFormat="1" applyFont="1" applyFill="1" applyBorder="1" applyAlignment="1">
      <alignment horizontal="center" vertical="center" wrapText="1"/>
    </xf>
    <xf numFmtId="167" fontId="27" fillId="39" borderId="4" xfId="12" applyNumberFormat="1" applyFont="1" applyFill="1" applyBorder="1" applyAlignment="1">
      <alignment horizontal="center" vertical="center" wrapText="1"/>
    </xf>
    <xf numFmtId="0" fontId="71" fillId="7" borderId="0" xfId="0" applyFont="1" applyFill="1" applyProtection="1"/>
    <xf numFmtId="0" fontId="68" fillId="7" borderId="0" xfId="668" applyFill="1" applyAlignment="1" applyProtection="1">
      <alignment horizontal="center" vertical="center"/>
    </xf>
    <xf numFmtId="0" fontId="68" fillId="7" borderId="0" xfId="668" applyFill="1" applyAlignment="1" applyProtection="1">
      <alignment horizontal="center" vertical="center" wrapText="1"/>
    </xf>
    <xf numFmtId="0" fontId="42" fillId="7" borderId="0" xfId="0" applyFont="1" applyFill="1" applyAlignment="1" applyProtection="1">
      <alignment horizontal="center" vertical="center"/>
    </xf>
    <xf numFmtId="0" fontId="28" fillId="7" borderId="0" xfId="0" applyFont="1" applyFill="1" applyProtection="1"/>
    <xf numFmtId="0" fontId="30" fillId="7" borderId="0" xfId="0" applyFont="1" applyFill="1" applyProtection="1"/>
    <xf numFmtId="0" fontId="28" fillId="6" borderId="33" xfId="0" applyFont="1" applyFill="1" applyBorder="1" applyAlignment="1" applyProtection="1">
      <alignment horizontal="center"/>
    </xf>
    <xf numFmtId="0" fontId="67" fillId="7" borderId="0" xfId="0" applyFont="1" applyFill="1" applyBorder="1" applyAlignment="1" applyProtection="1">
      <alignment vertical="center" wrapText="1"/>
    </xf>
    <xf numFmtId="0" fontId="28" fillId="6" borderId="14" xfId="0" applyFont="1" applyFill="1" applyBorder="1" applyAlignment="1" applyProtection="1">
      <alignment horizontal="center"/>
    </xf>
    <xf numFmtId="14" fontId="28" fillId="6" borderId="14" xfId="0" applyNumberFormat="1" applyFont="1" applyFill="1" applyBorder="1" applyAlignment="1" applyProtection="1">
      <alignment horizontal="center"/>
    </xf>
    <xf numFmtId="0" fontId="30" fillId="7" borderId="0" xfId="0" applyFont="1" applyFill="1" applyBorder="1" applyProtection="1"/>
    <xf numFmtId="0" fontId="28" fillId="7" borderId="0" xfId="0" applyFont="1" applyFill="1" applyBorder="1" applyProtection="1"/>
    <xf numFmtId="0" fontId="28" fillId="7" borderId="0" xfId="0" applyFont="1" applyFill="1" applyBorder="1" applyAlignment="1" applyProtection="1">
      <alignment wrapText="1"/>
    </xf>
    <xf numFmtId="3" fontId="28" fillId="6" borderId="14" xfId="0" applyNumberFormat="1" applyFont="1" applyFill="1" applyBorder="1" applyProtection="1"/>
    <xf numFmtId="0" fontId="75" fillId="7" borderId="0" xfId="0" applyFont="1" applyFill="1" applyBorder="1" applyAlignment="1" applyProtection="1">
      <alignment horizontal="left" indent="8"/>
    </xf>
    <xf numFmtId="3" fontId="28" fillId="46" borderId="14" xfId="0" applyNumberFormat="1" applyFont="1" applyFill="1" applyBorder="1" applyProtection="1"/>
    <xf numFmtId="3" fontId="28" fillId="7" borderId="14" xfId="0" applyNumberFormat="1" applyFont="1" applyFill="1" applyBorder="1" applyAlignment="1" applyProtection="1">
      <alignment horizontal="right"/>
    </xf>
    <xf numFmtId="9" fontId="28" fillId="6" borderId="14" xfId="0" applyNumberFormat="1" applyFont="1" applyFill="1" applyBorder="1" applyAlignment="1" applyProtection="1">
      <alignment horizontal="center" vertical="top" wrapText="1"/>
    </xf>
    <xf numFmtId="9" fontId="28" fillId="7" borderId="0" xfId="0" applyNumberFormat="1" applyFont="1" applyFill="1" applyBorder="1" applyAlignment="1" applyProtection="1">
      <alignment horizontal="center" vertical="top" wrapText="1"/>
    </xf>
    <xf numFmtId="2" fontId="28" fillId="7" borderId="0" xfId="0" applyNumberFormat="1" applyFont="1" applyFill="1" applyBorder="1" applyAlignment="1" applyProtection="1">
      <alignment horizontal="center"/>
    </xf>
    <xf numFmtId="10" fontId="28" fillId="7" borderId="14" xfId="0" applyNumberFormat="1" applyFont="1" applyFill="1" applyBorder="1" applyAlignment="1" applyProtection="1">
      <alignment horizontal="center" vertical="top" wrapText="1"/>
    </xf>
    <xf numFmtId="10" fontId="28" fillId="6" borderId="14" xfId="0" applyNumberFormat="1" applyFont="1" applyFill="1" applyBorder="1" applyAlignment="1" applyProtection="1">
      <alignment horizontal="center"/>
    </xf>
    <xf numFmtId="0" fontId="28" fillId="7" borderId="0" xfId="0" quotePrefix="1" applyFont="1" applyFill="1" applyBorder="1" applyAlignment="1" applyProtection="1"/>
    <xf numFmtId="10" fontId="28" fillId="6" borderId="17" xfId="0" applyNumberFormat="1" applyFont="1" applyFill="1" applyBorder="1" applyAlignment="1" applyProtection="1">
      <alignment horizontal="center"/>
    </xf>
    <xf numFmtId="170" fontId="28" fillId="7" borderId="0" xfId="0" applyNumberFormat="1" applyFont="1" applyFill="1" applyBorder="1" applyProtection="1"/>
    <xf numFmtId="0" fontId="29" fillId="7" borderId="0" xfId="0" applyFont="1" applyFill="1" applyProtection="1"/>
    <xf numFmtId="174" fontId="28" fillId="7" borderId="0" xfId="0" applyNumberFormat="1" applyFont="1" applyFill="1" applyBorder="1" applyProtection="1"/>
    <xf numFmtId="0" fontId="28" fillId="7" borderId="0" xfId="0" applyFont="1" applyFill="1" applyBorder="1" applyAlignment="1" applyProtection="1">
      <alignment horizontal="left" vertical="top"/>
    </xf>
    <xf numFmtId="3" fontId="28" fillId="7" borderId="14" xfId="0" applyNumberFormat="1" applyFont="1" applyFill="1" applyBorder="1" applyAlignment="1" applyProtection="1">
      <alignment horizontal="center"/>
    </xf>
    <xf numFmtId="3" fontId="28" fillId="7" borderId="0" xfId="0" applyNumberFormat="1" applyFont="1" applyFill="1" applyBorder="1" applyProtection="1"/>
    <xf numFmtId="0" fontId="28" fillId="7" borderId="0" xfId="0" applyFont="1" applyFill="1" applyBorder="1" applyAlignment="1" applyProtection="1">
      <alignment horizontal="left"/>
    </xf>
    <xf numFmtId="43" fontId="28" fillId="6" borderId="14" xfId="4" applyFont="1" applyFill="1" applyBorder="1" applyAlignment="1" applyProtection="1">
      <alignment horizontal="center"/>
    </xf>
    <xf numFmtId="43" fontId="28" fillId="7" borderId="0" xfId="4" applyFont="1" applyFill="1" applyBorder="1" applyProtection="1"/>
    <xf numFmtId="2" fontId="28" fillId="7" borderId="14" xfId="0" applyNumberFormat="1" applyFont="1" applyFill="1" applyBorder="1" applyAlignment="1" applyProtection="1"/>
    <xf numFmtId="0" fontId="28" fillId="7" borderId="0" xfId="0" applyFont="1" applyFill="1" applyBorder="1" applyAlignment="1" applyProtection="1"/>
    <xf numFmtId="0" fontId="28" fillId="7" borderId="0" xfId="0" applyFont="1" applyFill="1" applyBorder="1" applyAlignment="1" applyProtection="1">
      <alignment vertical="center" wrapText="1"/>
    </xf>
    <xf numFmtId="2" fontId="28" fillId="7" borderId="0" xfId="0" applyNumberFormat="1" applyFont="1" applyFill="1" applyBorder="1" applyAlignment="1" applyProtection="1">
      <alignment vertical="center"/>
    </xf>
    <xf numFmtId="0" fontId="28" fillId="7" borderId="0" xfId="0" applyFont="1" applyFill="1" applyBorder="1" applyAlignment="1" applyProtection="1">
      <alignment vertical="center"/>
    </xf>
    <xf numFmtId="0" fontId="28" fillId="7" borderId="0" xfId="0" applyFont="1" applyFill="1" applyAlignment="1" applyProtection="1">
      <alignment vertical="center"/>
    </xf>
    <xf numFmtId="2" fontId="28" fillId="7" borderId="14" xfId="4" applyNumberFormat="1" applyFont="1" applyFill="1" applyBorder="1" applyProtection="1"/>
    <xf numFmtId="43" fontId="28" fillId="7" borderId="14" xfId="4" applyFont="1" applyFill="1" applyBorder="1" applyProtection="1"/>
    <xf numFmtId="9" fontId="28" fillId="6" borderId="14" xfId="0" applyNumberFormat="1" applyFont="1" applyFill="1" applyBorder="1" applyAlignment="1" applyProtection="1">
      <alignment horizontal="center"/>
    </xf>
    <xf numFmtId="3" fontId="28" fillId="7" borderId="0" xfId="0" applyNumberFormat="1" applyFont="1" applyFill="1" applyProtection="1"/>
    <xf numFmtId="2" fontId="28" fillId="7" borderId="0" xfId="0" applyNumberFormat="1" applyFont="1" applyFill="1" applyProtection="1"/>
    <xf numFmtId="0" fontId="28" fillId="7" borderId="0" xfId="0" applyFont="1" applyFill="1" applyAlignment="1" applyProtection="1">
      <alignment vertical="top"/>
    </xf>
    <xf numFmtId="0" fontId="28" fillId="7" borderId="4" xfId="0" applyFont="1" applyFill="1" applyBorder="1" applyAlignment="1" applyProtection="1">
      <alignment horizontal="center" vertical="center" wrapText="1"/>
    </xf>
    <xf numFmtId="0" fontId="28" fillId="7" borderId="14" xfId="0" applyFont="1" applyFill="1" applyBorder="1" applyProtection="1"/>
    <xf numFmtId="43" fontId="28" fillId="6" borderId="17" xfId="4" applyFont="1" applyFill="1" applyBorder="1" applyProtection="1"/>
    <xf numFmtId="9" fontId="28" fillId="6" borderId="14" xfId="12" applyFont="1" applyFill="1" applyBorder="1" applyProtection="1"/>
    <xf numFmtId="175" fontId="28" fillId="7" borderId="14" xfId="4" applyNumberFormat="1" applyFont="1" applyFill="1" applyBorder="1" applyProtection="1"/>
    <xf numFmtId="0" fontId="28" fillId="6" borderId="14" xfId="0" applyFont="1" applyFill="1" applyBorder="1" applyAlignment="1" applyProtection="1">
      <alignment horizontal="center" vertical="top" wrapText="1"/>
    </xf>
    <xf numFmtId="176" fontId="28" fillId="7" borderId="14" xfId="4" applyNumberFormat="1" applyFont="1" applyFill="1" applyBorder="1" applyProtection="1"/>
    <xf numFmtId="10" fontId="28" fillId="7" borderId="3" xfId="12" applyNumberFormat="1" applyFont="1" applyFill="1" applyBorder="1" applyProtection="1"/>
    <xf numFmtId="164" fontId="28" fillId="7" borderId="0" xfId="0" applyNumberFormat="1" applyFont="1" applyFill="1" applyProtection="1"/>
    <xf numFmtId="171" fontId="28" fillId="7" borderId="0" xfId="0" applyNumberFormat="1" applyFont="1" applyFill="1" applyProtection="1"/>
    <xf numFmtId="177" fontId="28" fillId="6" borderId="14" xfId="4" applyNumberFormat="1" applyFont="1" applyFill="1" applyBorder="1" applyAlignment="1" applyProtection="1">
      <alignment horizontal="center" vertical="center" wrapText="1"/>
    </xf>
    <xf numFmtId="0" fontId="75" fillId="7" borderId="0" xfId="0" applyFont="1" applyFill="1" applyProtection="1"/>
    <xf numFmtId="0" fontId="28" fillId="7" borderId="0" xfId="0" applyFont="1" applyFill="1" applyBorder="1" applyAlignment="1" applyProtection="1">
      <alignment horizontal="right"/>
    </xf>
    <xf numFmtId="182" fontId="28" fillId="6" borderId="14" xfId="4" applyNumberFormat="1" applyFont="1" applyFill="1" applyBorder="1" applyAlignment="1" applyProtection="1">
      <alignment horizontal="center" vertical="center" wrapText="1"/>
    </xf>
    <xf numFmtId="175" fontId="28" fillId="6" borderId="14" xfId="4" applyNumberFormat="1" applyFont="1" applyFill="1" applyBorder="1" applyProtection="1"/>
    <xf numFmtId="182" fontId="28" fillId="7" borderId="14" xfId="4" applyNumberFormat="1" applyFont="1" applyFill="1" applyBorder="1" applyProtection="1"/>
    <xf numFmtId="0" fontId="67" fillId="7" borderId="0" xfId="0" applyFont="1" applyFill="1" applyAlignment="1" applyProtection="1">
      <alignment horizontal="right"/>
    </xf>
    <xf numFmtId="0" fontId="67" fillId="7" borderId="0" xfId="0" applyFont="1" applyFill="1" applyAlignment="1" applyProtection="1">
      <alignment horizontal="center"/>
    </xf>
    <xf numFmtId="175" fontId="28" fillId="33" borderId="14" xfId="4" applyNumberFormat="1" applyFont="1" applyFill="1" applyBorder="1" applyProtection="1"/>
    <xf numFmtId="43" fontId="75" fillId="7" borderId="0" xfId="4" applyFont="1" applyFill="1" applyProtection="1"/>
    <xf numFmtId="171" fontId="28" fillId="7" borderId="0" xfId="0" applyNumberFormat="1" applyFont="1" applyFill="1" applyBorder="1" applyProtection="1"/>
    <xf numFmtId="175" fontId="28" fillId="7" borderId="0" xfId="4" applyNumberFormat="1" applyFont="1" applyFill="1" applyBorder="1" applyProtection="1"/>
    <xf numFmtId="178" fontId="28" fillId="7" borderId="0" xfId="0" quotePrefix="1" applyNumberFormat="1" applyFont="1" applyFill="1" applyAlignment="1" applyProtection="1">
      <alignment horizontal="right"/>
    </xf>
    <xf numFmtId="175" fontId="28" fillId="7" borderId="0" xfId="4" applyNumberFormat="1" applyFont="1" applyFill="1" applyProtection="1"/>
    <xf numFmtId="168" fontId="28" fillId="6" borderId="14" xfId="12" applyNumberFormat="1" applyFont="1" applyFill="1" applyBorder="1" applyProtection="1"/>
    <xf numFmtId="164" fontId="28" fillId="7" borderId="0" xfId="0" applyNumberFormat="1" applyFont="1" applyFill="1" applyBorder="1" applyProtection="1"/>
    <xf numFmtId="43" fontId="42" fillId="3" borderId="5" xfId="4" applyFont="1" applyFill="1" applyBorder="1" applyProtection="1"/>
    <xf numFmtId="43" fontId="42" fillId="3" borderId="5" xfId="4" applyFont="1" applyFill="1" applyBorder="1" applyAlignment="1" applyProtection="1">
      <alignment horizontal="center"/>
    </xf>
    <xf numFmtId="43" fontId="28" fillId="3" borderId="0" xfId="4" applyFont="1" applyFill="1" applyProtection="1"/>
    <xf numFmtId="43" fontId="28" fillId="3" borderId="5" xfId="4" applyFont="1" applyFill="1" applyBorder="1" applyProtection="1"/>
    <xf numFmtId="43" fontId="42" fillId="3" borderId="0" xfId="4" applyFont="1" applyFill="1" applyBorder="1" applyProtection="1"/>
    <xf numFmtId="43" fontId="28" fillId="3" borderId="9" xfId="4" applyFont="1" applyFill="1" applyBorder="1" applyProtection="1"/>
    <xf numFmtId="43" fontId="28" fillId="3" borderId="8" xfId="4" applyFont="1" applyFill="1" applyBorder="1" applyProtection="1"/>
    <xf numFmtId="43" fontId="28" fillId="3" borderId="4" xfId="4" applyFont="1" applyFill="1" applyBorder="1" applyAlignment="1" applyProtection="1">
      <alignment horizontal="center"/>
    </xf>
    <xf numFmtId="43" fontId="28" fillId="3" borderId="4" xfId="4" applyFont="1" applyFill="1" applyBorder="1" applyAlignment="1" applyProtection="1">
      <alignment horizontal="center" vertical="top" wrapText="1"/>
    </xf>
    <xf numFmtId="175" fontId="28" fillId="3" borderId="4" xfId="4" applyNumberFormat="1" applyFont="1" applyFill="1" applyBorder="1" applyProtection="1"/>
    <xf numFmtId="43" fontId="28" fillId="3" borderId="5" xfId="4" applyFont="1" applyFill="1" applyBorder="1" applyAlignment="1" applyProtection="1">
      <alignment horizontal="center"/>
    </xf>
    <xf numFmtId="43" fontId="28" fillId="3" borderId="5" xfId="4" applyFont="1" applyFill="1" applyBorder="1" applyAlignment="1" applyProtection="1">
      <alignment horizontal="center" vertical="top" wrapText="1"/>
    </xf>
    <xf numFmtId="175" fontId="28" fillId="3" borderId="11" xfId="4" applyNumberFormat="1" applyFont="1" applyFill="1" applyBorder="1" applyProtection="1"/>
    <xf numFmtId="43" fontId="28" fillId="3" borderId="9" xfId="4" applyFont="1" applyFill="1" applyBorder="1" applyAlignment="1" applyProtection="1">
      <alignment horizontal="center" vertical="top" wrapText="1"/>
    </xf>
    <xf numFmtId="175" fontId="28" fillId="3" borderId="5" xfId="4" applyNumberFormat="1" applyFont="1" applyFill="1" applyBorder="1" applyProtection="1"/>
    <xf numFmtId="43" fontId="42" fillId="3" borderId="9" xfId="4" applyFont="1" applyFill="1" applyBorder="1" applyProtection="1"/>
    <xf numFmtId="43" fontId="28" fillId="3" borderId="10" xfId="4" applyFont="1" applyFill="1" applyBorder="1" applyProtection="1"/>
    <xf numFmtId="43" fontId="28" fillId="3" borderId="3" xfId="4" applyFont="1" applyFill="1" applyBorder="1" applyAlignment="1" applyProtection="1">
      <alignment horizontal="center"/>
    </xf>
    <xf numFmtId="43" fontId="28" fillId="3" borderId="10" xfId="4" applyFont="1" applyFill="1" applyBorder="1" applyAlignment="1" applyProtection="1">
      <alignment horizontal="center" vertical="top" wrapText="1"/>
    </xf>
    <xf numFmtId="175" fontId="28" fillId="3" borderId="5" xfId="4" applyNumberFormat="1" applyFont="1" applyFill="1" applyBorder="1" applyAlignment="1" applyProtection="1">
      <alignment horizontal="center"/>
    </xf>
    <xf numFmtId="175" fontId="42" fillId="3" borderId="5" xfId="4" applyNumberFormat="1" applyFont="1" applyFill="1" applyBorder="1" applyProtection="1"/>
    <xf numFmtId="175" fontId="28" fillId="3" borderId="4" xfId="4" applyNumberFormat="1" applyFont="1" applyFill="1" applyBorder="1" applyAlignment="1" applyProtection="1">
      <alignment horizontal="center"/>
    </xf>
    <xf numFmtId="175" fontId="28" fillId="3" borderId="3" xfId="4" applyNumberFormat="1" applyFont="1" applyFill="1" applyBorder="1" applyAlignment="1" applyProtection="1">
      <alignment horizontal="center"/>
    </xf>
    <xf numFmtId="175" fontId="31" fillId="3" borderId="5" xfId="4" applyNumberFormat="1" applyFont="1" applyFill="1" applyBorder="1" applyProtection="1"/>
    <xf numFmtId="175" fontId="81" fillId="3" borderId="5" xfId="4" applyNumberFormat="1" applyFont="1" applyFill="1" applyBorder="1" applyProtection="1"/>
    <xf numFmtId="175" fontId="28" fillId="3" borderId="3" xfId="4" applyNumberFormat="1" applyFont="1" applyFill="1" applyBorder="1" applyProtection="1"/>
    <xf numFmtId="43" fontId="72" fillId="3" borderId="4" xfId="4" applyFont="1" applyFill="1" applyBorder="1" applyProtection="1"/>
    <xf numFmtId="43" fontId="72" fillId="3" borderId="5" xfId="4" applyFont="1" applyFill="1" applyBorder="1" applyProtection="1"/>
    <xf numFmtId="3" fontId="75" fillId="7" borderId="0" xfId="0" applyNumberFormat="1" applyFont="1" applyFill="1" applyAlignment="1" applyProtection="1">
      <alignment horizontal="center" vertical="center"/>
    </xf>
    <xf numFmtId="185" fontId="28" fillId="3" borderId="0" xfId="4" applyNumberFormat="1" applyFont="1" applyFill="1"/>
    <xf numFmtId="43" fontId="42" fillId="0" borderId="5" xfId="4" applyFont="1" applyFill="1" applyBorder="1" applyProtection="1"/>
    <xf numFmtId="3" fontId="37" fillId="3" borderId="0" xfId="4" applyNumberFormat="1" applyFont="1" applyFill="1"/>
    <xf numFmtId="3" fontId="27" fillId="5" borderId="0" xfId="4" applyNumberFormat="1" applyFont="1" applyFill="1"/>
    <xf numFmtId="3" fontId="37" fillId="2" borderId="28" xfId="0" applyNumberFormat="1" applyFont="1" applyFill="1" applyBorder="1" applyAlignment="1">
      <alignment horizontal="center" vertical="center" wrapText="1"/>
    </xf>
    <xf numFmtId="3" fontId="37" fillId="2" borderId="29" xfId="4" applyNumberFormat="1" applyFont="1" applyFill="1" applyBorder="1" applyAlignment="1">
      <alignment horizontal="center" vertical="center" wrapText="1"/>
    </xf>
    <xf numFmtId="186" fontId="37" fillId="3" borderId="0" xfId="4" applyNumberFormat="1" applyFont="1" applyFill="1"/>
    <xf numFmtId="186" fontId="37" fillId="2" borderId="0" xfId="4" applyNumberFormat="1" applyFont="1" applyFill="1"/>
    <xf numFmtId="186" fontId="37" fillId="3" borderId="16" xfId="4" applyNumberFormat="1" applyFont="1" applyFill="1" applyBorder="1"/>
    <xf numFmtId="186" fontId="39" fillId="3" borderId="0" xfId="4" applyNumberFormat="1" applyFont="1" applyFill="1"/>
    <xf numFmtId="186" fontId="27" fillId="5" borderId="0" xfId="4" applyNumberFormat="1" applyFont="1" applyFill="1"/>
    <xf numFmtId="186" fontId="37" fillId="3" borderId="0" xfId="4" applyNumberFormat="1" applyFont="1" applyFill="1" applyAlignment="1">
      <alignment horizontal="center"/>
    </xf>
    <xf numFmtId="186" fontId="37" fillId="2" borderId="0" xfId="4" applyNumberFormat="1" applyFont="1" applyFill="1" applyAlignment="1">
      <alignment wrapText="1"/>
    </xf>
    <xf numFmtId="186" fontId="39" fillId="3" borderId="0" xfId="0" applyNumberFormat="1" applyFont="1" applyFill="1" applyAlignment="1">
      <alignment wrapText="1"/>
    </xf>
    <xf numFmtId="186" fontId="37" fillId="3" borderId="0" xfId="4" applyNumberFormat="1" applyFont="1" applyFill="1" applyAlignment="1">
      <alignment wrapText="1"/>
    </xf>
    <xf numFmtId="186" fontId="39" fillId="3" borderId="0" xfId="4" applyNumberFormat="1" applyFont="1" applyFill="1" applyAlignment="1">
      <alignment horizontal="center"/>
    </xf>
    <xf numFmtId="186" fontId="37" fillId="3" borderId="0" xfId="0" applyNumberFormat="1" applyFont="1" applyFill="1"/>
    <xf numFmtId="3" fontId="37" fillId="31" borderId="30" xfId="0" applyNumberFormat="1" applyFont="1" applyFill="1" applyBorder="1" applyAlignment="1">
      <alignment horizontal="right"/>
    </xf>
    <xf numFmtId="3" fontId="37" fillId="31" borderId="30" xfId="4" applyNumberFormat="1" applyFont="1" applyFill="1" applyBorder="1" applyAlignment="1">
      <alignment horizontal="right"/>
    </xf>
    <xf numFmtId="3" fontId="37" fillId="31" borderId="0" xfId="4" applyNumberFormat="1" applyFont="1" applyFill="1" applyAlignment="1">
      <alignment horizontal="right"/>
    </xf>
    <xf numFmtId="3" fontId="37" fillId="31" borderId="31" xfId="0" applyNumberFormat="1" applyFont="1" applyFill="1" applyBorder="1" applyAlignment="1">
      <alignment horizontal="right"/>
    </xf>
    <xf numFmtId="3" fontId="37" fillId="31" borderId="32" xfId="4" applyNumberFormat="1" applyFont="1" applyFill="1" applyBorder="1" applyAlignment="1">
      <alignment horizontal="right"/>
    </xf>
    <xf numFmtId="3" fontId="37" fillId="31" borderId="16" xfId="4" applyNumberFormat="1" applyFont="1" applyFill="1" applyBorder="1" applyAlignment="1">
      <alignment horizontal="right"/>
    </xf>
    <xf numFmtId="179" fontId="71" fillId="3" borderId="0" xfId="4" applyNumberFormat="1" applyFont="1" applyFill="1" applyAlignment="1" applyProtection="1">
      <alignment horizontal="left"/>
    </xf>
    <xf numFmtId="43" fontId="28" fillId="3" borderId="0" xfId="4" applyFont="1" applyFill="1" applyAlignment="1" applyProtection="1">
      <alignment horizontal="center"/>
    </xf>
    <xf numFmtId="43" fontId="68" fillId="3" borderId="0" xfId="668" applyNumberFormat="1" applyFill="1" applyBorder="1" applyAlignment="1" applyProtection="1">
      <alignment horizontal="right" vertical="center"/>
    </xf>
    <xf numFmtId="43" fontId="68" fillId="3" borderId="0" xfId="668" applyNumberFormat="1" applyFill="1" applyAlignment="1" applyProtection="1">
      <alignment horizontal="center" vertical="center" wrapText="1"/>
    </xf>
    <xf numFmtId="43" fontId="68" fillId="3" borderId="0" xfId="668" applyNumberFormat="1" applyFill="1" applyAlignment="1" applyProtection="1">
      <alignment horizontal="left" vertical="center"/>
    </xf>
    <xf numFmtId="175" fontId="28" fillId="3" borderId="0" xfId="4" applyNumberFormat="1" applyFont="1" applyFill="1" applyProtection="1"/>
    <xf numFmtId="175" fontId="28" fillId="3" borderId="0" xfId="4" applyNumberFormat="1" applyFont="1" applyFill="1" applyAlignment="1" applyProtection="1">
      <alignment horizontal="center"/>
    </xf>
    <xf numFmtId="175" fontId="42" fillId="3" borderId="0" xfId="4" applyNumberFormat="1" applyFont="1" applyFill="1" applyProtection="1"/>
    <xf numFmtId="179" fontId="73" fillId="3" borderId="0" xfId="4" applyNumberFormat="1" applyFont="1" applyFill="1" applyAlignment="1" applyProtection="1">
      <alignment horizontal="left"/>
    </xf>
    <xf numFmtId="43" fontId="28" fillId="3" borderId="0" xfId="4" applyFont="1" applyFill="1" applyBorder="1" applyAlignment="1" applyProtection="1">
      <alignment horizontal="left"/>
    </xf>
    <xf numFmtId="175" fontId="28" fillId="3" borderId="0" xfId="4" applyNumberFormat="1" applyFont="1" applyFill="1" applyBorder="1" applyAlignment="1" applyProtection="1">
      <alignment horizontal="left"/>
    </xf>
    <xf numFmtId="179" fontId="28" fillId="3" borderId="0" xfId="4" applyNumberFormat="1" applyFont="1" applyFill="1" applyAlignment="1" applyProtection="1">
      <alignment horizontal="left"/>
    </xf>
    <xf numFmtId="43" fontId="28" fillId="3" borderId="0" xfId="4" applyFont="1" applyFill="1" applyBorder="1" applyAlignment="1" applyProtection="1">
      <alignment horizontal="center"/>
    </xf>
    <xf numFmtId="43" fontId="29" fillId="3" borderId="0" xfId="4" applyFont="1" applyFill="1" applyProtection="1"/>
    <xf numFmtId="43" fontId="41" fillId="38" borderId="4" xfId="4" applyFont="1" applyFill="1" applyBorder="1" applyAlignment="1" applyProtection="1">
      <alignment horizontal="center" vertical="center" wrapText="1"/>
    </xf>
    <xf numFmtId="43" fontId="27" fillId="38" borderId="4" xfId="4" applyFont="1" applyFill="1" applyBorder="1" applyAlignment="1" applyProtection="1">
      <alignment horizontal="center" vertical="center" wrapText="1"/>
    </xf>
    <xf numFmtId="175" fontId="27" fillId="38" borderId="4" xfId="4" applyNumberFormat="1" applyFont="1" applyFill="1" applyBorder="1" applyAlignment="1" applyProtection="1">
      <alignment horizontal="center" vertical="center" wrapText="1"/>
    </xf>
    <xf numFmtId="3" fontId="41" fillId="38" borderId="4" xfId="0" applyNumberFormat="1" applyFont="1" applyFill="1" applyBorder="1" applyAlignment="1" applyProtection="1">
      <alignment horizontal="center" vertical="center" wrapText="1"/>
    </xf>
    <xf numFmtId="43" fontId="27" fillId="3" borderId="0" xfId="4" applyFont="1" applyFill="1" applyBorder="1" applyAlignment="1" applyProtection="1">
      <alignment horizontal="center" vertical="center" textRotation="90" wrapText="1"/>
    </xf>
    <xf numFmtId="43" fontId="28" fillId="3" borderId="0" xfId="4" applyFont="1" applyFill="1" applyAlignment="1" applyProtection="1">
      <alignment horizontal="center" vertical="top" wrapText="1"/>
    </xf>
    <xf numFmtId="0" fontId="27" fillId="38" borderId="4" xfId="0" applyFont="1" applyFill="1" applyBorder="1" applyAlignment="1" applyProtection="1">
      <alignment horizontal="center" vertical="center" wrapText="1"/>
    </xf>
    <xf numFmtId="175" fontId="28" fillId="3" borderId="0" xfId="4" applyNumberFormat="1" applyFont="1" applyFill="1" applyAlignment="1" applyProtection="1">
      <alignment horizontal="center" vertical="top" wrapText="1"/>
    </xf>
    <xf numFmtId="43" fontId="41" fillId="38" borderId="4" xfId="4" applyFont="1" applyFill="1" applyBorder="1" applyAlignment="1" applyProtection="1">
      <alignment horizontal="center"/>
    </xf>
    <xf numFmtId="43" fontId="27" fillId="38" borderId="12" xfId="4" applyFont="1" applyFill="1" applyBorder="1" applyAlignment="1" applyProtection="1">
      <alignment horizontal="center"/>
    </xf>
    <xf numFmtId="43" fontId="27" fillId="38" borderId="14" xfId="4" applyFont="1" applyFill="1" applyBorder="1" applyAlignment="1" applyProtection="1">
      <alignment horizontal="center"/>
    </xf>
    <xf numFmtId="175" fontId="27" fillId="38" borderId="14" xfId="4" applyNumberFormat="1" applyFont="1" applyFill="1" applyBorder="1" applyAlignment="1" applyProtection="1">
      <alignment horizontal="center"/>
    </xf>
    <xf numFmtId="0" fontId="41" fillId="38" borderId="4" xfId="4" quotePrefix="1" applyNumberFormat="1" applyFont="1" applyFill="1" applyBorder="1" applyAlignment="1" applyProtection="1">
      <alignment horizontal="center"/>
    </xf>
    <xf numFmtId="14" fontId="41" fillId="38" borderId="4" xfId="0" applyNumberFormat="1" applyFont="1" applyFill="1" applyBorder="1" applyAlignment="1" applyProtection="1">
      <alignment horizontal="center"/>
    </xf>
    <xf numFmtId="175" fontId="2" fillId="36" borderId="14" xfId="4" applyNumberFormat="1" applyFont="1" applyFill="1" applyBorder="1" applyAlignment="1" applyProtection="1">
      <alignment horizontal="center" vertical="center" wrapText="1"/>
    </xf>
    <xf numFmtId="179" fontId="28" fillId="3" borderId="5" xfId="4" applyNumberFormat="1" applyFont="1" applyFill="1" applyBorder="1" applyAlignment="1" applyProtection="1">
      <alignment horizontal="center"/>
    </xf>
    <xf numFmtId="43" fontId="28" fillId="42" borderId="9" xfId="4" applyFont="1" applyFill="1" applyBorder="1" applyProtection="1"/>
    <xf numFmtId="43" fontId="28" fillId="3" borderId="0" xfId="4" applyFont="1" applyFill="1" applyBorder="1" applyAlignment="1" applyProtection="1">
      <alignment horizontal="center" vertical="top" wrapText="1"/>
    </xf>
    <xf numFmtId="43" fontId="63" fillId="3" borderId="0" xfId="4" applyFont="1" applyFill="1" applyProtection="1"/>
    <xf numFmtId="0" fontId="28" fillId="3" borderId="4" xfId="28" applyFont="1" applyFill="1" applyBorder="1" applyAlignment="1" applyProtection="1">
      <alignment horizontal="center"/>
    </xf>
    <xf numFmtId="0" fontId="28" fillId="3" borderId="5" xfId="28" applyFont="1" applyFill="1" applyBorder="1" applyAlignment="1" applyProtection="1">
      <alignment horizontal="center"/>
    </xf>
    <xf numFmtId="43" fontId="42" fillId="3" borderId="11" xfId="4" applyFont="1" applyFill="1" applyBorder="1" applyProtection="1"/>
    <xf numFmtId="43" fontId="28" fillId="0" borderId="0" xfId="4" applyFont="1" applyFill="1" applyProtection="1"/>
    <xf numFmtId="179" fontId="28" fillId="0" borderId="5" xfId="4" applyNumberFormat="1" applyFont="1" applyFill="1" applyBorder="1" applyAlignment="1" applyProtection="1">
      <alignment horizontal="center"/>
    </xf>
    <xf numFmtId="43" fontId="64" fillId="3" borderId="0" xfId="4" applyFont="1" applyFill="1" applyProtection="1"/>
    <xf numFmtId="179" fontId="28" fillId="3" borderId="14" xfId="4" applyNumberFormat="1" applyFont="1" applyFill="1" applyBorder="1" applyAlignment="1" applyProtection="1">
      <alignment horizontal="center"/>
    </xf>
    <xf numFmtId="175" fontId="28" fillId="3" borderId="17" xfId="4" applyNumberFormat="1" applyFont="1" applyFill="1" applyBorder="1" applyAlignment="1" applyProtection="1">
      <alignment horizontal="center"/>
    </xf>
    <xf numFmtId="43" fontId="28" fillId="3" borderId="0" xfId="4" applyFont="1" applyFill="1" applyBorder="1" applyProtection="1"/>
    <xf numFmtId="43" fontId="28" fillId="3" borderId="14" xfId="4" applyFont="1" applyFill="1" applyBorder="1" applyProtection="1"/>
    <xf numFmtId="180" fontId="28" fillId="3" borderId="14" xfId="4" applyNumberFormat="1" applyFont="1" applyFill="1" applyBorder="1" applyAlignment="1" applyProtection="1">
      <alignment horizontal="center"/>
    </xf>
    <xf numFmtId="175" fontId="28" fillId="3" borderId="0" xfId="4" applyNumberFormat="1" applyFont="1" applyFill="1" applyBorder="1" applyProtection="1"/>
    <xf numFmtId="179" fontId="28" fillId="3" borderId="0" xfId="4" applyNumberFormat="1" applyFont="1" applyFill="1" applyAlignment="1" applyProtection="1">
      <alignment horizontal="center"/>
    </xf>
    <xf numFmtId="43" fontId="28" fillId="3" borderId="0" xfId="4" quotePrefix="1" applyFont="1" applyFill="1" applyProtection="1"/>
    <xf numFmtId="0" fontId="21" fillId="7" borderId="16" xfId="260" applyFont="1" applyFill="1" applyBorder="1" applyAlignment="1">
      <alignment horizontal="center" vertical="center"/>
    </xf>
    <xf numFmtId="0" fontId="21" fillId="7" borderId="13" xfId="260" applyFont="1" applyFill="1" applyBorder="1" applyAlignment="1">
      <alignment horizontal="center" vertical="center"/>
    </xf>
    <xf numFmtId="0" fontId="21" fillId="5" borderId="6" xfId="260" applyFont="1" applyFill="1" applyBorder="1" applyAlignment="1">
      <alignment horizontal="center" vertical="center" wrapText="1"/>
    </xf>
    <xf numFmtId="0" fontId="21" fillId="5" borderId="7" xfId="260" applyFont="1" applyFill="1" applyBorder="1" applyAlignment="1">
      <alignment horizontal="center" vertical="center" wrapText="1"/>
    </xf>
    <xf numFmtId="0" fontId="21" fillId="43" borderId="15" xfId="260" applyFont="1" applyFill="1" applyBorder="1" applyAlignment="1">
      <alignment horizontal="center" vertical="center" wrapText="1"/>
    </xf>
    <xf numFmtId="0" fontId="21" fillId="43" borderId="12" xfId="260" applyFont="1" applyFill="1" applyBorder="1" applyAlignment="1">
      <alignment horizontal="center" vertical="center" wrapText="1"/>
    </xf>
    <xf numFmtId="0" fontId="21" fillId="43" borderId="11" xfId="260" applyFont="1" applyFill="1" applyBorder="1" applyAlignment="1">
      <alignment horizontal="center" vertical="center" wrapText="1"/>
    </xf>
    <xf numFmtId="0" fontId="21" fillId="43" borderId="0" xfId="260" applyFont="1" applyFill="1" applyBorder="1" applyAlignment="1">
      <alignment horizontal="center" vertical="center" wrapText="1"/>
    </xf>
    <xf numFmtId="0" fontId="21" fillId="32" borderId="6" xfId="260" applyFont="1" applyFill="1" applyBorder="1" applyAlignment="1">
      <alignment horizontal="center" vertical="center" wrapText="1"/>
    </xf>
    <xf numFmtId="0" fontId="21" fillId="32" borderId="7" xfId="260" applyFont="1" applyFill="1" applyBorder="1" applyAlignment="1">
      <alignment horizontal="center" vertical="center" wrapText="1"/>
    </xf>
    <xf numFmtId="0" fontId="21" fillId="7" borderId="15" xfId="260" applyFont="1" applyFill="1" applyBorder="1" applyAlignment="1">
      <alignment horizontal="center" vertical="center"/>
    </xf>
    <xf numFmtId="0" fontId="21" fillId="7" borderId="12" xfId="260" applyFont="1" applyFill="1" applyBorder="1" applyAlignment="1">
      <alignment horizontal="center" vertical="center"/>
    </xf>
    <xf numFmtId="0" fontId="21" fillId="35" borderId="16" xfId="260" applyFont="1" applyFill="1" applyBorder="1" applyAlignment="1">
      <alignment horizontal="center" vertical="center" wrapText="1"/>
    </xf>
    <xf numFmtId="0" fontId="21" fillId="35" borderId="13" xfId="260" applyFont="1" applyFill="1" applyBorder="1" applyAlignment="1">
      <alignment horizontal="center" vertical="center" wrapText="1"/>
    </xf>
    <xf numFmtId="0" fontId="21" fillId="7" borderId="15" xfId="260" applyFont="1" applyFill="1" applyBorder="1" applyAlignment="1">
      <alignment horizontal="center" vertical="center" wrapText="1"/>
    </xf>
    <xf numFmtId="0" fontId="21" fillId="7" borderId="12" xfId="260" applyFont="1" applyFill="1" applyBorder="1" applyAlignment="1">
      <alignment horizontal="center" vertical="center" wrapText="1"/>
    </xf>
    <xf numFmtId="0" fontId="21" fillId="7" borderId="11" xfId="260" applyFont="1" applyFill="1" applyBorder="1" applyAlignment="1">
      <alignment horizontal="center" vertical="center" wrapText="1"/>
    </xf>
    <xf numFmtId="0" fontId="21" fillId="7" borderId="16" xfId="260" applyFont="1" applyFill="1" applyBorder="1" applyAlignment="1">
      <alignment horizontal="center" vertical="center" wrapText="1"/>
    </xf>
    <xf numFmtId="0" fontId="21" fillId="7" borderId="13" xfId="260" applyFont="1" applyFill="1" applyBorder="1" applyAlignment="1">
      <alignment horizontal="center" vertical="center" wrapText="1"/>
    </xf>
    <xf numFmtId="0" fontId="21" fillId="34" borderId="6" xfId="260" applyFont="1" applyFill="1" applyBorder="1" applyAlignment="1">
      <alignment horizontal="center" vertical="center" wrapText="1"/>
    </xf>
    <xf numFmtId="0" fontId="21" fillId="34" borderId="7" xfId="260" applyFont="1" applyFill="1" applyBorder="1" applyAlignment="1">
      <alignment horizontal="center" vertical="center" wrapText="1"/>
    </xf>
    <xf numFmtId="0" fontId="28" fillId="7" borderId="0" xfId="0" applyFont="1" applyFill="1" applyAlignment="1" applyProtection="1">
      <alignment horizontal="center"/>
    </xf>
    <xf numFmtId="0" fontId="28" fillId="7" borderId="17" xfId="0" applyFont="1" applyFill="1" applyBorder="1" applyAlignment="1" applyProtection="1">
      <alignment horizontal="center"/>
    </xf>
    <xf numFmtId="0" fontId="28" fillId="7" borderId="7" xfId="0" applyFont="1" applyFill="1" applyBorder="1" applyAlignment="1" applyProtection="1">
      <alignment horizontal="center"/>
    </xf>
    <xf numFmtId="0" fontId="28" fillId="7" borderId="6" xfId="0" applyFont="1" applyFill="1" applyBorder="1" applyAlignment="1" applyProtection="1">
      <alignment horizontal="center"/>
    </xf>
    <xf numFmtId="0" fontId="67" fillId="7" borderId="4" xfId="0" applyFont="1" applyFill="1" applyBorder="1" applyAlignment="1" applyProtection="1">
      <alignment horizontal="center" vertical="center" wrapText="1"/>
    </xf>
    <xf numFmtId="0" fontId="67" fillId="7" borderId="5" xfId="0" applyFont="1" applyFill="1" applyBorder="1" applyAlignment="1" applyProtection="1">
      <alignment horizontal="center" vertical="center" wrapText="1"/>
    </xf>
    <xf numFmtId="0" fontId="67" fillId="7" borderId="3" xfId="0" applyFont="1" applyFill="1" applyBorder="1" applyAlignment="1" applyProtection="1">
      <alignment horizontal="center" vertical="center" wrapText="1"/>
    </xf>
    <xf numFmtId="0" fontId="66" fillId="7" borderId="8" xfId="0" applyFont="1" applyFill="1" applyBorder="1" applyAlignment="1" applyProtection="1">
      <alignment horizontal="left" vertical="center" wrapText="1"/>
    </xf>
    <xf numFmtId="0" fontId="66" fillId="7" borderId="15" xfId="0" applyFont="1" applyFill="1" applyBorder="1" applyAlignment="1" applyProtection="1">
      <alignment horizontal="left" vertical="center" wrapText="1"/>
    </xf>
    <xf numFmtId="0" fontId="66" fillId="7" borderId="12" xfId="0" applyFont="1" applyFill="1" applyBorder="1" applyAlignment="1" applyProtection="1">
      <alignment horizontal="left" vertical="center" wrapText="1"/>
    </xf>
    <xf numFmtId="0" fontId="66" fillId="7" borderId="9" xfId="0" applyFont="1" applyFill="1" applyBorder="1" applyAlignment="1" applyProtection="1">
      <alignment horizontal="left" vertical="center" wrapText="1"/>
    </xf>
    <xf numFmtId="0" fontId="66" fillId="7" borderId="0" xfId="0" applyFont="1" applyFill="1" applyBorder="1" applyAlignment="1" applyProtection="1">
      <alignment horizontal="left" vertical="center" wrapText="1"/>
    </xf>
    <xf numFmtId="0" fontId="66" fillId="7" borderId="11" xfId="0" applyFont="1" applyFill="1" applyBorder="1" applyAlignment="1" applyProtection="1">
      <alignment horizontal="left" vertical="center" wrapText="1"/>
    </xf>
    <xf numFmtId="0" fontId="66" fillId="7" borderId="10" xfId="0" applyFont="1" applyFill="1" applyBorder="1" applyAlignment="1" applyProtection="1">
      <alignment horizontal="left" vertical="center" wrapText="1"/>
    </xf>
    <xf numFmtId="0" fontId="66" fillId="7" borderId="16" xfId="0" applyFont="1" applyFill="1" applyBorder="1" applyAlignment="1" applyProtection="1">
      <alignment horizontal="left" vertical="center" wrapText="1"/>
    </xf>
    <xf numFmtId="0" fontId="66" fillId="7" borderId="13" xfId="0" applyFont="1" applyFill="1" applyBorder="1" applyAlignment="1" applyProtection="1">
      <alignment horizontal="left" vertical="center" wrapText="1"/>
    </xf>
    <xf numFmtId="0" fontId="40" fillId="3" borderId="0" xfId="0" applyFont="1" applyFill="1" applyAlignment="1">
      <alignment horizontal="center"/>
    </xf>
    <xf numFmtId="15" fontId="35" fillId="8" borderId="0" xfId="0" applyNumberFormat="1" applyFont="1" applyFill="1" applyAlignment="1" applyProtection="1">
      <alignment horizontal="center"/>
      <protection locked="0"/>
    </xf>
    <xf numFmtId="0" fontId="67" fillId="3" borderId="0" xfId="0" applyFont="1" applyFill="1" applyAlignment="1">
      <alignment horizontal="left" vertical="top" wrapText="1"/>
    </xf>
    <xf numFmtId="43" fontId="28" fillId="32" borderId="4" xfId="4" applyFont="1" applyFill="1" applyBorder="1" applyAlignment="1" applyProtection="1">
      <alignment horizontal="center" vertical="center" wrapText="1"/>
    </xf>
    <xf numFmtId="43" fontId="28" fillId="32" borderId="3" xfId="4" applyFont="1" applyFill="1" applyBorder="1" applyAlignment="1" applyProtection="1">
      <alignment horizontal="center" vertical="center" wrapText="1"/>
    </xf>
    <xf numFmtId="175" fontId="27" fillId="5" borderId="4" xfId="4" applyNumberFormat="1" applyFont="1" applyFill="1" applyBorder="1" applyAlignment="1" applyProtection="1">
      <alignment horizontal="center" vertical="center" wrapText="1"/>
    </xf>
    <xf numFmtId="175" fontId="27" fillId="5" borderId="3" xfId="4" applyNumberFormat="1" applyFont="1" applyFill="1" applyBorder="1" applyAlignment="1" applyProtection="1">
      <alignment horizontal="center" vertical="center" wrapText="1"/>
    </xf>
    <xf numFmtId="43" fontId="27" fillId="5" borderId="17" xfId="4" applyFont="1" applyFill="1" applyBorder="1" applyAlignment="1" applyProtection="1">
      <alignment horizontal="center"/>
    </xf>
    <xf numFmtId="43" fontId="27" fillId="5" borderId="6" xfId="4" applyFont="1" applyFill="1" applyBorder="1" applyAlignment="1" applyProtection="1">
      <alignment horizontal="center"/>
    </xf>
    <xf numFmtId="43" fontId="27" fillId="5" borderId="7" xfId="4" applyFont="1" applyFill="1" applyBorder="1" applyAlignment="1" applyProtection="1">
      <alignment horizontal="center"/>
    </xf>
    <xf numFmtId="175" fontId="2" fillId="36" borderId="8" xfId="4" applyNumberFormat="1" applyFont="1" applyFill="1" applyBorder="1" applyAlignment="1" applyProtection="1">
      <alignment horizontal="center" vertical="center" wrapText="1"/>
    </xf>
    <xf numFmtId="175" fontId="2" fillId="36" borderId="12" xfId="4" applyNumberFormat="1" applyFont="1" applyFill="1" applyBorder="1" applyAlignment="1" applyProtection="1">
      <alignment horizontal="center" vertical="center" wrapText="1"/>
    </xf>
    <xf numFmtId="175" fontId="27" fillId="5" borderId="5" xfId="4" applyNumberFormat="1" applyFont="1" applyFill="1" applyBorder="1" applyAlignment="1" applyProtection="1">
      <alignment horizontal="center" vertical="center" wrapText="1"/>
    </xf>
    <xf numFmtId="179" fontId="27" fillId="38" borderId="4" xfId="4" applyNumberFormat="1" applyFont="1" applyFill="1" applyBorder="1" applyAlignment="1" applyProtection="1">
      <alignment horizontal="center" vertical="center" wrapText="1"/>
    </xf>
    <xf numFmtId="179" fontId="27" fillId="38" borderId="3" xfId="4" applyNumberFormat="1" applyFont="1" applyFill="1" applyBorder="1" applyAlignment="1" applyProtection="1">
      <alignment horizontal="center" vertical="center" wrapText="1"/>
    </xf>
    <xf numFmtId="43" fontId="27" fillId="38" borderId="8" xfId="4" applyFont="1" applyFill="1" applyBorder="1" applyAlignment="1" applyProtection="1">
      <alignment horizontal="center" vertical="center" wrapText="1"/>
    </xf>
    <xf numFmtId="43" fontId="27" fillId="38" borderId="10" xfId="4" applyFont="1" applyFill="1" applyBorder="1" applyAlignment="1" applyProtection="1">
      <alignment horizontal="center" vertical="center" wrapText="1"/>
    </xf>
    <xf numFmtId="175" fontId="27" fillId="38" borderId="4" xfId="4" applyNumberFormat="1" applyFont="1" applyFill="1" applyBorder="1" applyAlignment="1" applyProtection="1">
      <alignment horizontal="center" vertical="center" wrapText="1"/>
    </xf>
    <xf numFmtId="175" fontId="27" fillId="38" borderId="3" xfId="4" applyNumberFormat="1" applyFont="1" applyFill="1" applyBorder="1" applyAlignment="1" applyProtection="1">
      <alignment horizontal="center" vertical="center" wrapText="1"/>
    </xf>
    <xf numFmtId="43" fontId="27" fillId="38" borderId="4" xfId="4" applyFont="1" applyFill="1" applyBorder="1" applyAlignment="1" applyProtection="1">
      <alignment horizontal="center" vertical="center" wrapText="1"/>
    </xf>
    <xf numFmtId="43" fontId="27" fillId="38" borderId="5" xfId="4" applyFont="1" applyFill="1" applyBorder="1" applyAlignment="1" applyProtection="1">
      <alignment horizontal="center" vertical="center" wrapText="1"/>
    </xf>
    <xf numFmtId="43" fontId="27" fillId="38" borderId="3" xfId="4" applyFont="1" applyFill="1" applyBorder="1" applyAlignment="1" applyProtection="1">
      <alignment horizontal="center" vertical="center" wrapText="1"/>
    </xf>
    <xf numFmtId="3" fontId="27" fillId="38" borderId="4" xfId="0" applyNumberFormat="1" applyFont="1" applyFill="1" applyBorder="1" applyAlignment="1">
      <alignment horizontal="center" vertical="center" wrapText="1"/>
    </xf>
    <xf numFmtId="3" fontId="27" fillId="38" borderId="3" xfId="0" applyNumberFormat="1" applyFont="1" applyFill="1" applyBorder="1" applyAlignment="1">
      <alignment horizontal="center" vertical="center" wrapText="1"/>
    </xf>
    <xf numFmtId="0" fontId="27" fillId="38" borderId="4" xfId="0" applyFont="1" applyFill="1" applyBorder="1" applyAlignment="1">
      <alignment horizontal="center" vertical="center" wrapText="1"/>
    </xf>
    <xf numFmtId="0" fontId="27" fillId="38" borderId="3" xfId="0" applyFont="1" applyFill="1" applyBorder="1" applyAlignment="1">
      <alignment horizontal="center" vertical="center" wrapText="1"/>
    </xf>
    <xf numFmtId="0" fontId="27" fillId="38" borderId="4" xfId="0" applyNumberFormat="1" applyFont="1" applyFill="1" applyBorder="1" applyAlignment="1">
      <alignment horizontal="center" vertical="center" wrapText="1"/>
    </xf>
    <xf numFmtId="0" fontId="27" fillId="38" borderId="3" xfId="0" applyNumberFormat="1"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175" fontId="27" fillId="38" borderId="3"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43" fontId="27" fillId="38" borderId="3" xfId="4" applyFont="1" applyFill="1" applyBorder="1" applyAlignment="1">
      <alignment horizontal="center" vertical="center" wrapText="1"/>
    </xf>
    <xf numFmtId="0" fontId="27" fillId="39" borderId="17" xfId="0" applyFont="1" applyFill="1" applyBorder="1" applyAlignment="1">
      <alignment horizontal="center" vertical="center" wrapText="1"/>
    </xf>
    <xf numFmtId="0" fontId="27" fillId="39" borderId="15" xfId="0" applyFont="1" applyFill="1" applyBorder="1" applyAlignment="1">
      <alignment horizontal="center" vertical="center" wrapText="1"/>
    </xf>
    <xf numFmtId="0" fontId="27" fillId="39" borderId="4"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39" borderId="13" xfId="0" applyFont="1" applyFill="1" applyBorder="1" applyAlignment="1">
      <alignment horizontal="center" vertical="center" wrapText="1"/>
    </xf>
    <xf numFmtId="0" fontId="27" fillId="39" borderId="8" xfId="0" applyFont="1" applyFill="1" applyBorder="1" applyAlignment="1">
      <alignment horizontal="center" vertical="center" wrapText="1"/>
    </xf>
    <xf numFmtId="0" fontId="27" fillId="39" borderId="10" xfId="0" applyFont="1" applyFill="1" applyBorder="1" applyAlignment="1">
      <alignment horizontal="center" vertical="center" wrapText="1"/>
    </xf>
    <xf numFmtId="0" fontId="27" fillId="39" borderId="5" xfId="0" applyFont="1" applyFill="1" applyBorder="1" applyAlignment="1">
      <alignment horizontal="center" vertical="center" wrapText="1"/>
    </xf>
    <xf numFmtId="4" fontId="28" fillId="3" borderId="17" xfId="0" applyNumberFormat="1" applyFont="1" applyFill="1" applyBorder="1" applyAlignment="1">
      <alignment horizontal="left" vertical="center"/>
    </xf>
    <xf numFmtId="4" fontId="28" fillId="3" borderId="7" xfId="0" applyNumberFormat="1" applyFont="1" applyFill="1" applyBorder="1" applyAlignment="1">
      <alignment horizontal="left" vertical="center"/>
    </xf>
    <xf numFmtId="4" fontId="28" fillId="3" borderId="8" xfId="0" applyNumberFormat="1" applyFont="1" applyFill="1" applyBorder="1" applyAlignment="1">
      <alignment horizontal="left" vertical="center"/>
    </xf>
    <xf numFmtId="4" fontId="28" fillId="3" borderId="12" xfId="0" applyNumberFormat="1" applyFont="1" applyFill="1" applyBorder="1" applyAlignment="1">
      <alignment horizontal="left" vertical="center"/>
    </xf>
    <xf numFmtId="4" fontId="28" fillId="3" borderId="9" xfId="0" applyNumberFormat="1" applyFont="1" applyFill="1" applyBorder="1" applyAlignment="1">
      <alignment horizontal="left" vertical="center"/>
    </xf>
    <xf numFmtId="4" fontId="28" fillId="3" borderId="11" xfId="0" applyNumberFormat="1" applyFont="1" applyFill="1" applyBorder="1" applyAlignment="1">
      <alignment horizontal="left" vertical="center"/>
    </xf>
    <xf numFmtId="0" fontId="28" fillId="35" borderId="17" xfId="0" applyFont="1" applyFill="1" applyBorder="1" applyAlignment="1">
      <alignment horizontal="center"/>
    </xf>
    <xf numFmtId="0" fontId="28" fillId="35" borderId="6" xfId="0" applyFont="1" applyFill="1" applyBorder="1" applyAlignment="1">
      <alignment horizontal="center"/>
    </xf>
    <xf numFmtId="0" fontId="28" fillId="35" borderId="7" xfId="0" applyFont="1" applyFill="1" applyBorder="1" applyAlignment="1">
      <alignment horizontal="center"/>
    </xf>
    <xf numFmtId="10" fontId="27" fillId="39" borderId="14" xfId="12" applyNumberFormat="1" applyFont="1" applyFill="1" applyBorder="1" applyAlignment="1">
      <alignment horizontal="center" vertical="center" wrapText="1"/>
    </xf>
    <xf numFmtId="10" fontId="27" fillId="39" borderId="4" xfId="12" applyNumberFormat="1" applyFont="1" applyFill="1" applyBorder="1" applyAlignment="1">
      <alignment horizontal="center" vertical="center" wrapText="1"/>
    </xf>
    <xf numFmtId="0" fontId="27" fillId="39" borderId="17" xfId="0" applyFont="1" applyFill="1" applyBorder="1" applyAlignment="1">
      <alignment horizontal="center" vertical="center"/>
    </xf>
    <xf numFmtId="0" fontId="27" fillId="39" borderId="6" xfId="0" applyFont="1" applyFill="1" applyBorder="1" applyAlignment="1">
      <alignment horizontal="center" vertical="center"/>
    </xf>
    <xf numFmtId="0" fontId="27" fillId="39" borderId="7" xfId="0" applyFont="1" applyFill="1" applyBorder="1" applyAlignment="1">
      <alignment horizontal="center" vertical="center"/>
    </xf>
    <xf numFmtId="0" fontId="27" fillId="5" borderId="14" xfId="0" applyFont="1" applyFill="1" applyBorder="1" applyAlignment="1">
      <alignment horizontal="center" vertical="center" wrapText="1"/>
    </xf>
    <xf numFmtId="0" fontId="28" fillId="3" borderId="17" xfId="0" applyFont="1" applyFill="1" applyBorder="1" applyAlignment="1">
      <alignment horizontal="left"/>
    </xf>
    <xf numFmtId="0" fontId="28" fillId="3" borderId="7" xfId="0" applyFont="1" applyFill="1" applyBorder="1" applyAlignment="1">
      <alignment horizontal="left"/>
    </xf>
    <xf numFmtId="0" fontId="28" fillId="3" borderId="8" xfId="0" applyFont="1" applyFill="1" applyBorder="1" applyAlignment="1">
      <alignment horizontal="left"/>
    </xf>
    <xf numFmtId="0" fontId="28" fillId="3" borderId="12" xfId="0" applyFont="1" applyFill="1" applyBorder="1" applyAlignment="1">
      <alignment horizontal="left"/>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17"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175" fontId="27" fillId="5" borderId="4" xfId="4" applyNumberFormat="1" applyFont="1" applyFill="1" applyBorder="1" applyAlignment="1">
      <alignment horizontal="center" vertical="center" wrapText="1"/>
    </xf>
    <xf numFmtId="175" fontId="27" fillId="5" borderId="3" xfId="4" applyNumberFormat="1" applyFont="1" applyFill="1" applyBorder="1" applyAlignment="1">
      <alignment horizontal="center" vertical="center" wrapText="1"/>
    </xf>
    <xf numFmtId="43" fontId="27" fillId="5" borderId="4" xfId="4" applyFont="1" applyFill="1" applyBorder="1" applyAlignment="1">
      <alignment horizontal="center" vertical="center" wrapText="1"/>
    </xf>
    <xf numFmtId="43" fontId="27" fillId="5" borderId="3" xfId="4" applyFont="1" applyFill="1" applyBorder="1" applyAlignment="1">
      <alignment horizontal="center" vertical="center" wrapText="1"/>
    </xf>
    <xf numFmtId="175" fontId="27" fillId="5" borderId="5" xfId="4" applyNumberFormat="1" applyFont="1" applyFill="1" applyBorder="1" applyAlignment="1">
      <alignment horizontal="center" vertical="center" wrapText="1"/>
    </xf>
    <xf numFmtId="43" fontId="68" fillId="3" borderId="0" xfId="668" applyNumberFormat="1" applyFill="1" applyAlignment="1">
      <alignment horizontal="left" vertical="center"/>
    </xf>
    <xf numFmtId="0" fontId="27" fillId="5" borderId="1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10" xfId="0" applyFont="1" applyFill="1" applyBorder="1" applyAlignment="1">
      <alignment horizontal="center" vertical="center" wrapText="1"/>
    </xf>
    <xf numFmtId="43" fontId="28" fillId="45" borderId="17" xfId="4" applyNumberFormat="1" applyFont="1" applyFill="1" applyBorder="1" applyAlignment="1">
      <alignment horizontal="center"/>
    </xf>
    <xf numFmtId="43" fontId="28" fillId="45" borderId="6" xfId="4" applyNumberFormat="1" applyFont="1" applyFill="1" applyBorder="1" applyAlignment="1">
      <alignment horizontal="center"/>
    </xf>
    <xf numFmtId="43" fontId="28" fillId="45" borderId="7" xfId="4" applyNumberFormat="1" applyFont="1" applyFill="1" applyBorder="1" applyAlignment="1">
      <alignment horizontal="center"/>
    </xf>
    <xf numFmtId="0" fontId="27" fillId="5" borderId="11" xfId="0" applyFont="1" applyFill="1" applyBorder="1" applyAlignment="1">
      <alignment horizontal="center" vertical="center" wrapText="1"/>
    </xf>
    <xf numFmtId="0" fontId="27" fillId="40" borderId="4" xfId="15" applyFont="1" applyFill="1" applyBorder="1" applyAlignment="1">
      <alignment horizontal="center" vertical="center" wrapText="1"/>
    </xf>
    <xf numFmtId="0" fontId="27" fillId="40" borderId="5" xfId="15" applyFont="1" applyFill="1" applyBorder="1" applyAlignment="1">
      <alignment horizontal="center" vertical="center" wrapText="1"/>
    </xf>
    <xf numFmtId="0" fontId="27" fillId="40" borderId="3" xfId="15" applyFont="1" applyFill="1" applyBorder="1" applyAlignment="1">
      <alignment horizontal="center" vertical="center" wrapText="1"/>
    </xf>
    <xf numFmtId="0" fontId="27" fillId="40" borderId="8" xfId="15" applyFont="1" applyFill="1" applyBorder="1" applyAlignment="1">
      <alignment horizontal="center" vertical="center" wrapText="1"/>
    </xf>
    <xf numFmtId="0" fontId="27" fillId="40" borderId="10" xfId="15" applyFont="1" applyFill="1" applyBorder="1" applyAlignment="1">
      <alignment horizontal="center" vertical="center" wrapText="1"/>
    </xf>
    <xf numFmtId="167" fontId="27" fillId="40" borderId="15" xfId="12" applyNumberFormat="1" applyFont="1" applyFill="1" applyBorder="1" applyAlignment="1">
      <alignment horizontal="center" vertical="center" wrapText="1"/>
    </xf>
    <xf numFmtId="167" fontId="27" fillId="40" borderId="12" xfId="12" applyNumberFormat="1" applyFont="1" applyFill="1" applyBorder="1" applyAlignment="1">
      <alignment horizontal="center" vertical="center" wrapText="1"/>
    </xf>
    <xf numFmtId="0" fontId="27" fillId="38" borderId="8" xfId="0" applyFont="1" applyFill="1" applyBorder="1" applyAlignment="1">
      <alignment horizontal="center" vertical="center" wrapText="1"/>
    </xf>
    <xf numFmtId="0" fontId="27" fillId="38" borderId="10" xfId="0" applyFont="1" applyFill="1" applyBorder="1" applyAlignment="1">
      <alignment horizontal="center" vertical="center" wrapText="1"/>
    </xf>
    <xf numFmtId="167" fontId="27" fillId="39" borderId="8" xfId="12" applyNumberFormat="1" applyFont="1" applyFill="1" applyBorder="1" applyAlignment="1">
      <alignment horizontal="center" vertical="center" wrapText="1"/>
    </xf>
    <xf numFmtId="167" fontId="27" fillId="39" borderId="15" xfId="12" applyNumberFormat="1" applyFont="1" applyFill="1" applyBorder="1" applyAlignment="1">
      <alignment horizontal="center" vertical="center" wrapText="1"/>
    </xf>
    <xf numFmtId="167" fontId="27" fillId="39" borderId="12" xfId="12" applyNumberFormat="1" applyFont="1" applyFill="1" applyBorder="1" applyAlignment="1">
      <alignment horizontal="center" vertical="center" wrapText="1"/>
    </xf>
    <xf numFmtId="167" fontId="27" fillId="5" borderId="15" xfId="12" applyNumberFormat="1" applyFont="1" applyFill="1" applyBorder="1" applyAlignment="1">
      <alignment horizontal="center" vertical="center" wrapText="1"/>
    </xf>
    <xf numFmtId="167" fontId="27" fillId="5" borderId="12" xfId="12" applyNumberFormat="1" applyFont="1" applyFill="1" applyBorder="1" applyAlignment="1">
      <alignment horizontal="center" vertical="center" wrapText="1"/>
    </xf>
  </cellXfs>
  <cellStyles count="669">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Lien hypertexte" xfId="668" builtinId="8"/>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13">
    <dxf>
      <fill>
        <patternFill>
          <bgColor rgb="FF00B050"/>
        </patternFill>
      </fill>
    </dxf>
    <dxf>
      <fill>
        <patternFill>
          <bgColor rgb="FF00B050"/>
        </patternFill>
      </fill>
    </dxf>
    <dxf>
      <fill>
        <patternFill>
          <bgColor rgb="FF00B050"/>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rgb="FF00B050"/>
        </patternFill>
      </fill>
    </dxf>
    <dxf>
      <fill>
        <patternFill>
          <bgColor rgb="FF00B050"/>
        </patternFill>
      </fill>
    </dxf>
  </dxfs>
  <tableStyles count="0" defaultTableStyle="TableStyleMedium9" defaultPivotStyle="PivotStyleLight16"/>
  <colors>
    <mruColors>
      <color rgb="FFBF5201"/>
      <color rgb="FF00DE64"/>
      <color rgb="FF05FF76"/>
      <color rgb="FF23CF33"/>
      <color rgb="FFD97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7AA1-60A5-488A-A872-466268BDE675}">
  <dimension ref="A1:C19"/>
  <sheetViews>
    <sheetView zoomScaleNormal="100" workbookViewId="0"/>
  </sheetViews>
  <sheetFormatPr baseColWidth="10" defaultColWidth="11" defaultRowHeight="12.75" x14ac:dyDescent="0.2"/>
  <cols>
    <col min="1" max="1" width="38" style="328" customWidth="1"/>
    <col min="2" max="2" width="43.625" style="203" customWidth="1"/>
    <col min="3" max="3" width="43.625" style="202" customWidth="1"/>
    <col min="4" max="16384" width="11" style="202"/>
  </cols>
  <sheetData>
    <row r="1" spans="1:3" ht="26.45" customHeight="1" x14ac:dyDescent="0.2">
      <c r="A1" s="352" t="s">
        <v>395</v>
      </c>
    </row>
    <row r="2" spans="1:3" ht="24" customHeight="1" x14ac:dyDescent="0.2">
      <c r="A2" s="329" t="s">
        <v>547</v>
      </c>
      <c r="B2" s="618" t="s">
        <v>409</v>
      </c>
      <c r="C2" s="619"/>
    </row>
    <row r="3" spans="1:3" ht="24" customHeight="1" x14ac:dyDescent="0.2">
      <c r="A3" s="330" t="s">
        <v>520</v>
      </c>
      <c r="B3" s="620" t="s">
        <v>439</v>
      </c>
      <c r="C3" s="620"/>
    </row>
    <row r="4" spans="1:3" ht="24" customHeight="1" x14ac:dyDescent="0.2">
      <c r="A4" s="330" t="s">
        <v>398</v>
      </c>
      <c r="B4" s="620" t="s">
        <v>485</v>
      </c>
      <c r="C4" s="620"/>
    </row>
    <row r="5" spans="1:3" ht="24" customHeight="1" x14ac:dyDescent="0.2">
      <c r="A5" s="331" t="s">
        <v>408</v>
      </c>
      <c r="B5" s="621" t="s">
        <v>440</v>
      </c>
      <c r="C5" s="622"/>
    </row>
    <row r="6" spans="1:3" ht="7.5" customHeight="1" x14ac:dyDescent="0.2"/>
    <row r="7" spans="1:3" ht="45" customHeight="1" x14ac:dyDescent="0.2">
      <c r="A7" s="392" t="s">
        <v>423</v>
      </c>
      <c r="B7" s="623" t="s">
        <v>538</v>
      </c>
      <c r="C7" s="624"/>
    </row>
    <row r="8" spans="1:3" ht="24" customHeight="1" x14ac:dyDescent="0.2">
      <c r="A8" s="332" t="s">
        <v>537</v>
      </c>
      <c r="B8" s="616" t="s">
        <v>539</v>
      </c>
      <c r="C8" s="617"/>
    </row>
    <row r="9" spans="1:3" ht="7.5" customHeight="1" x14ac:dyDescent="0.2"/>
    <row r="10" spans="1:3" ht="45" customHeight="1" x14ac:dyDescent="0.2">
      <c r="A10" s="402" t="s">
        <v>546</v>
      </c>
      <c r="B10" s="606" t="s">
        <v>540</v>
      </c>
      <c r="C10" s="607"/>
    </row>
    <row r="11" spans="1:3" ht="30" customHeight="1" x14ac:dyDescent="0.2">
      <c r="A11" s="382" t="s">
        <v>258</v>
      </c>
      <c r="B11" s="608" t="s">
        <v>396</v>
      </c>
      <c r="C11" s="609"/>
    </row>
    <row r="12" spans="1:3" ht="30" customHeight="1" x14ac:dyDescent="0.2">
      <c r="A12" s="383" t="s">
        <v>542</v>
      </c>
      <c r="B12" s="610" t="s">
        <v>438</v>
      </c>
      <c r="C12" s="610"/>
    </row>
    <row r="13" spans="1:3" ht="30" customHeight="1" x14ac:dyDescent="0.2">
      <c r="A13" s="383" t="s">
        <v>541</v>
      </c>
      <c r="B13" s="611" t="s">
        <v>397</v>
      </c>
      <c r="C13" s="610"/>
    </row>
    <row r="14" spans="1:3" ht="24" customHeight="1" x14ac:dyDescent="0.2">
      <c r="A14" s="410" t="s">
        <v>399</v>
      </c>
      <c r="B14" s="411" t="s">
        <v>400</v>
      </c>
      <c r="C14" s="412" t="s">
        <v>401</v>
      </c>
    </row>
    <row r="15" spans="1:3" ht="7.5" customHeight="1" x14ac:dyDescent="0.2"/>
    <row r="16" spans="1:3" ht="24" customHeight="1" x14ac:dyDescent="0.2">
      <c r="A16" s="333" t="s">
        <v>407</v>
      </c>
      <c r="B16" s="612" t="s">
        <v>543</v>
      </c>
      <c r="C16" s="613"/>
    </row>
    <row r="17" spans="1:3" ht="7.5" customHeight="1" x14ac:dyDescent="0.2">
      <c r="B17" s="204"/>
    </row>
    <row r="18" spans="1:3" ht="24" customHeight="1" x14ac:dyDescent="0.2">
      <c r="A18" s="329" t="s">
        <v>425</v>
      </c>
      <c r="B18" s="614" t="s">
        <v>544</v>
      </c>
      <c r="C18" s="615"/>
    </row>
    <row r="19" spans="1:3" ht="24" customHeight="1" x14ac:dyDescent="0.2">
      <c r="A19" s="331" t="s">
        <v>402</v>
      </c>
      <c r="B19" s="604" t="s">
        <v>548</v>
      </c>
      <c r="C19" s="605"/>
    </row>
  </sheetData>
  <sheetProtection sheet="1" objects="1" scenarios="1"/>
  <mergeCells count="13">
    <mergeCell ref="B8:C8"/>
    <mergeCell ref="B2:C2"/>
    <mergeCell ref="B3:C3"/>
    <mergeCell ref="B4:C4"/>
    <mergeCell ref="B5:C5"/>
    <mergeCell ref="B7:C7"/>
    <mergeCell ref="B19:C19"/>
    <mergeCell ref="B10:C10"/>
    <mergeCell ref="B11:C11"/>
    <mergeCell ref="B12:C12"/>
    <mergeCell ref="B13:C13"/>
    <mergeCell ref="B16:C16"/>
    <mergeCell ref="B18:C18"/>
  </mergeCells>
  <hyperlinks>
    <hyperlink ref="A2" location="Paramètres!A1" display="Paramétrage du système" xr:uid="{BBC8A613-61B5-4A5C-8539-BACDC2EB90C1}"/>
    <hyperlink ref="A3" location="Recherche!A1" display="Résumé par commune" xr:uid="{914287E3-17F7-433D-B4A0-0185864640C0}"/>
    <hyperlink ref="A4" location="Données!A1" display="Données saisies" xr:uid="{13B56647-1FE3-41F8-B3FD-A2001CD5863F}"/>
    <hyperlink ref="A5" location="VPI!A1" display="Valeur du point d'impôt péréquatif (VPI)" xr:uid="{EF64F556-BDED-4A47-92A9-01649819B5F2}"/>
    <hyperlink ref="A8" location="Ecrêtage!A1" display="Détail écrêtage" xr:uid="{30313161-3EA3-413C-A1FF-1AA5DF37EBA6}"/>
    <hyperlink ref="A11" location="Population!A1" display="Population" xr:uid="{EB7AF72B-EF98-4405-8D9C-5649DEA917C0}"/>
    <hyperlink ref="A12" location="Solidarité!A1" display="Solidarité" xr:uid="{B4DEC7AC-11F5-433C-AAFF-E84C5E8125E3}"/>
    <hyperlink ref="A13" location="DT!A1" display="Dépenses thématiques (DT)" xr:uid="{BC6E28BE-1F7A-44E2-B13B-DF9AFD02365B}"/>
    <hyperlink ref="A14" location="Effort!A1" display="Plafond de l'effort" xr:uid="{E66483E2-EF22-4C79-995E-014AC22AF508}"/>
    <hyperlink ref="B14" location="Aide!A1" display="Plafond de l'aide" xr:uid="{7F6E5FE6-8556-4E3B-AA4A-1A5388348FAA}"/>
    <hyperlink ref="A16" location="'Facture policière'!A1" display="Facture policière" xr:uid="{27A18F56-0333-42B2-B4AC-6E784EE84614}"/>
    <hyperlink ref="A18" location="Synthèse!A1" display="Synthèse" xr:uid="{7FC7A801-78C4-4FE0-81C4-0E3F6B07D24F}"/>
    <hyperlink ref="A19" location="'Décompte vs acomptes'!A1" display="Acomptes vs Décompte" xr:uid="{FD8DF11C-672C-4310-A721-79361D41A756}"/>
    <hyperlink ref="C14" location="Taux!A1" display="Plafond du taux" xr:uid="{BC18F71E-E60D-4300-B8D3-91E894DB1FEB}"/>
    <hyperlink ref="A7" location="PCS!A1" display="Participation à la cohésion sociale (PCS)" xr:uid="{E3489D3D-B727-448F-9585-ADA813A95D36}"/>
    <hyperlink ref="A10" location="'Péréquation directe'!A1" display="Péréquation directe" xr:uid="{5FA54ED3-C648-4139-9448-FE897237670D}"/>
  </hyperlinks>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6" tint="0.39997558519241921"/>
  </sheetPr>
  <dimension ref="A1:L306"/>
  <sheetViews>
    <sheetView workbookViewId="0">
      <pane ySplit="5" topLeftCell="A6" activePane="bottomLeft" state="frozen"/>
      <selection pane="bottomLeft" activeCell="A6" sqref="A6"/>
    </sheetView>
  </sheetViews>
  <sheetFormatPr baseColWidth="10" defaultColWidth="11" defaultRowHeight="15" x14ac:dyDescent="0.25"/>
  <cols>
    <col min="1" max="1" width="7.25" style="11" customWidth="1"/>
    <col min="2" max="2" width="21.25" style="11" customWidth="1"/>
    <col min="3" max="3" width="10.125" style="11" customWidth="1"/>
    <col min="4" max="4" width="20.5" style="11" customWidth="1"/>
    <col min="5" max="5" width="12" style="11" bestFit="1" customWidth="1"/>
    <col min="6" max="6" width="10.625" style="12" customWidth="1"/>
    <col min="7" max="7" width="12.5" style="13" bestFit="1" customWidth="1"/>
    <col min="8" max="8" width="11.125" style="11" bestFit="1" customWidth="1"/>
    <col min="9" max="9" width="13.875" style="5" customWidth="1"/>
    <col min="10" max="16384" width="11" style="11"/>
  </cols>
  <sheetData>
    <row r="1" spans="1:12" s="214" customFormat="1" ht="26.25" x14ac:dyDescent="0.4">
      <c r="A1" s="207" t="s">
        <v>569</v>
      </c>
      <c r="B1" s="212"/>
      <c r="C1" s="213"/>
      <c r="D1" s="213"/>
      <c r="E1" s="314" t="s">
        <v>403</v>
      </c>
      <c r="F1" s="230" t="s">
        <v>395</v>
      </c>
      <c r="G1" s="389" t="s">
        <v>404</v>
      </c>
      <c r="I1" s="215"/>
      <c r="J1" s="293"/>
      <c r="K1" s="293"/>
      <c r="L1" s="293"/>
    </row>
    <row r="2" spans="1:12" s="158" customFormat="1" ht="15.75" customHeight="1" x14ac:dyDescent="0.25">
      <c r="A2" s="278" t="str">
        <f>Paramètres!B4</f>
        <v>Acomptes 2024</v>
      </c>
      <c r="B2" s="32"/>
      <c r="C2" s="60"/>
      <c r="D2" s="60"/>
      <c r="F2" s="174"/>
      <c r="G2" s="175"/>
      <c r="I2" s="5"/>
      <c r="J2" s="299"/>
      <c r="K2" s="299"/>
      <c r="L2" s="299"/>
    </row>
    <row r="3" spans="1:12" ht="26.45" customHeight="1" x14ac:dyDescent="0.25">
      <c r="J3" s="299"/>
      <c r="K3" s="299"/>
      <c r="L3" s="299"/>
    </row>
    <row r="4" spans="1:12" ht="36.75" customHeight="1" x14ac:dyDescent="0.25">
      <c r="A4" s="701" t="s">
        <v>44</v>
      </c>
      <c r="B4" s="701" t="s">
        <v>84</v>
      </c>
      <c r="C4" s="701" t="s">
        <v>258</v>
      </c>
      <c r="D4" s="701" t="s">
        <v>493</v>
      </c>
      <c r="E4" s="238" t="s">
        <v>300</v>
      </c>
      <c r="F4" s="709" t="s">
        <v>71</v>
      </c>
      <c r="G4" s="707" t="s">
        <v>482</v>
      </c>
      <c r="H4" s="701" t="s">
        <v>422</v>
      </c>
      <c r="I4" s="707" t="s">
        <v>498</v>
      </c>
      <c r="J4" s="299"/>
      <c r="K4" s="299"/>
      <c r="L4" s="299"/>
    </row>
    <row r="5" spans="1:12" x14ac:dyDescent="0.25">
      <c r="A5" s="703"/>
      <c r="B5" s="703"/>
      <c r="C5" s="703"/>
      <c r="D5" s="703"/>
      <c r="E5" s="183">
        <f>+Paramètres!B36</f>
        <v>0.27</v>
      </c>
      <c r="F5" s="710"/>
      <c r="G5" s="711"/>
      <c r="H5" s="703"/>
      <c r="I5" s="708"/>
    </row>
    <row r="6" spans="1:12" x14ac:dyDescent="0.25">
      <c r="A6" s="38">
        <f>Données!A6</f>
        <v>5401</v>
      </c>
      <c r="B6" s="27" t="str">
        <f>Données!B6</f>
        <v>Aigle</v>
      </c>
      <c r="C6" s="31">
        <f>Données!Z6</f>
        <v>10937</v>
      </c>
      <c r="D6" s="179">
        <f>Ecrêtage!E6</f>
        <v>26.937692375893892</v>
      </c>
      <c r="E6" s="179">
        <f>IF($D$306-D6&lt;0,0,$D$306-D6)</f>
        <v>20.971286263964419</v>
      </c>
      <c r="F6" s="179">
        <f>+Données!X6</f>
        <v>66</v>
      </c>
      <c r="G6" s="295">
        <f>-((C6*E6*F6)*$E$5)</f>
        <v>-4087247.9092252031</v>
      </c>
      <c r="H6" s="124">
        <f>F6/$F$306</f>
        <v>0.97526892106619001</v>
      </c>
      <c r="I6" s="42">
        <f t="shared" ref="I6" si="0">G6*H6</f>
        <v>-3986165.8585601049</v>
      </c>
    </row>
    <row r="7" spans="1:12" x14ac:dyDescent="0.25">
      <c r="A7" s="38">
        <f>Données!A7</f>
        <v>5402</v>
      </c>
      <c r="B7" s="27" t="str">
        <f>Données!B7</f>
        <v>Bex</v>
      </c>
      <c r="C7" s="31">
        <f>Données!Z7</f>
        <v>8151</v>
      </c>
      <c r="D7" s="179">
        <f>Ecrêtage!E7</f>
        <v>23.549525263468926</v>
      </c>
      <c r="E7" s="179">
        <f t="shared" ref="E7:E70" si="1">IF($D$306-D7&lt;0,0,$D$306-D7)</f>
        <v>24.359453376389386</v>
      </c>
      <c r="F7" s="179">
        <f>+Données!X7</f>
        <v>71</v>
      </c>
      <c r="G7" s="296">
        <f t="shared" ref="G7:G70" si="2">-((C7*E7*F7)*$E$5)</f>
        <v>-3806278.348708109</v>
      </c>
      <c r="H7" s="124">
        <f t="shared" ref="H7:H70" si="3">F7/$F$306</f>
        <v>1.049152930237871</v>
      </c>
      <c r="I7" s="42">
        <f t="shared" ref="I7:I70" si="4">G7*H7</f>
        <v>-3993368.0828480776</v>
      </c>
    </row>
    <row r="8" spans="1:12" x14ac:dyDescent="0.25">
      <c r="A8" s="38">
        <f>Données!A8</f>
        <v>5403</v>
      </c>
      <c r="B8" s="27" t="str">
        <f>Données!B8</f>
        <v>Chessel</v>
      </c>
      <c r="C8" s="31">
        <f>Données!Z8</f>
        <v>528</v>
      </c>
      <c r="D8" s="179">
        <f>Ecrêtage!E8</f>
        <v>25.60715442890443</v>
      </c>
      <c r="E8" s="179">
        <f t="shared" si="1"/>
        <v>22.301824210953882</v>
      </c>
      <c r="F8" s="179">
        <f>+Données!X8</f>
        <v>65</v>
      </c>
      <c r="G8" s="296">
        <f t="shared" si="2"/>
        <v>-206657.62386838306</v>
      </c>
      <c r="H8" s="124">
        <f t="shared" si="3"/>
        <v>0.96049211923185374</v>
      </c>
      <c r="I8" s="42">
        <f t="shared" si="4"/>
        <v>-198493.01910476256</v>
      </c>
    </row>
    <row r="9" spans="1:12" x14ac:dyDescent="0.25">
      <c r="A9" s="38">
        <f>Données!A9</f>
        <v>5404</v>
      </c>
      <c r="B9" s="27" t="str">
        <f>Données!B9</f>
        <v>Corbeyrier</v>
      </c>
      <c r="C9" s="31">
        <f>Données!Z9</f>
        <v>440</v>
      </c>
      <c r="D9" s="179">
        <f>Ecrêtage!E9</f>
        <v>26.507218775593778</v>
      </c>
      <c r="E9" s="179">
        <f t="shared" si="1"/>
        <v>21.401759864264534</v>
      </c>
      <c r="F9" s="179">
        <f>+Données!X9</f>
        <v>74</v>
      </c>
      <c r="G9" s="296">
        <f t="shared" si="2"/>
        <v>-188147.1513187224</v>
      </c>
      <c r="H9" s="124">
        <f t="shared" si="3"/>
        <v>1.0934833357408797</v>
      </c>
      <c r="I9" s="42">
        <f t="shared" si="4"/>
        <v>-205735.77463414063</v>
      </c>
    </row>
    <row r="10" spans="1:12" x14ac:dyDescent="0.25">
      <c r="A10" s="38">
        <f>Données!A10</f>
        <v>5405</v>
      </c>
      <c r="B10" s="27" t="str">
        <f>Données!B10</f>
        <v>Gryon</v>
      </c>
      <c r="C10" s="31">
        <f>Données!Z10</f>
        <v>1389</v>
      </c>
      <c r="D10" s="179">
        <f>Ecrêtage!E10</f>
        <v>52.760759351496795</v>
      </c>
      <c r="E10" s="179">
        <f t="shared" si="1"/>
        <v>0</v>
      </c>
      <c r="F10" s="179">
        <f>+Données!X10</f>
        <v>73.5</v>
      </c>
      <c r="G10" s="296">
        <f t="shared" si="2"/>
        <v>0</v>
      </c>
      <c r="H10" s="124">
        <f t="shared" si="3"/>
        <v>1.0860949348237114</v>
      </c>
      <c r="I10" s="42">
        <f t="shared" si="4"/>
        <v>0</v>
      </c>
    </row>
    <row r="11" spans="1:12" x14ac:dyDescent="0.25">
      <c r="A11" s="38">
        <f>Données!A11</f>
        <v>5406</v>
      </c>
      <c r="B11" s="27" t="str">
        <f>Données!B11</f>
        <v>Lavey-Morcles</v>
      </c>
      <c r="C11" s="31">
        <f>Données!Z11</f>
        <v>979</v>
      </c>
      <c r="D11" s="179">
        <f>Ecrêtage!E11</f>
        <v>22.585281124155955</v>
      </c>
      <c r="E11" s="179">
        <f t="shared" si="1"/>
        <v>25.323697515702356</v>
      </c>
      <c r="F11" s="179">
        <f>+Données!X11</f>
        <v>71.5</v>
      </c>
      <c r="G11" s="296">
        <f t="shared" si="2"/>
        <v>-478607.62694928068</v>
      </c>
      <c r="H11" s="124">
        <f t="shared" si="3"/>
        <v>1.0565413311550391</v>
      </c>
      <c r="I11" s="42">
        <f t="shared" si="4"/>
        <v>-505668.7392779474</v>
      </c>
    </row>
    <row r="12" spans="1:12" x14ac:dyDescent="0.25">
      <c r="A12" s="38">
        <f>Données!A12</f>
        <v>5407</v>
      </c>
      <c r="B12" s="27" t="str">
        <f>Données!B12</f>
        <v>Leysin</v>
      </c>
      <c r="C12" s="31">
        <f>Données!Z12</f>
        <v>3743</v>
      </c>
      <c r="D12" s="179">
        <f>Ecrêtage!E12</f>
        <v>24.0022490072637</v>
      </c>
      <c r="E12" s="179">
        <f t="shared" si="1"/>
        <v>23.906729632594612</v>
      </c>
      <c r="F12" s="179">
        <f>+Données!X12</f>
        <v>78</v>
      </c>
      <c r="G12" s="296">
        <f t="shared" si="2"/>
        <v>-1884509.6426517225</v>
      </c>
      <c r="H12" s="124">
        <f t="shared" si="3"/>
        <v>1.1525905430782244</v>
      </c>
      <c r="I12" s="42">
        <f t="shared" si="4"/>
        <v>-2172067.9924600995</v>
      </c>
    </row>
    <row r="13" spans="1:12" x14ac:dyDescent="0.25">
      <c r="A13" s="38">
        <f>Données!A13</f>
        <v>5408</v>
      </c>
      <c r="B13" s="27" t="str">
        <f>Données!B13</f>
        <v>Noville</v>
      </c>
      <c r="C13" s="31">
        <f>Données!Z13</f>
        <v>1169</v>
      </c>
      <c r="D13" s="179">
        <f>Ecrêtage!E13</f>
        <v>35.903175439597007</v>
      </c>
      <c r="E13" s="179">
        <f t="shared" si="1"/>
        <v>12.005803200261305</v>
      </c>
      <c r="F13" s="179">
        <f>+Données!X13</f>
        <v>75</v>
      </c>
      <c r="G13" s="296">
        <f t="shared" si="2"/>
        <v>-284204.37480738567</v>
      </c>
      <c r="H13" s="124">
        <f t="shared" si="3"/>
        <v>1.1082601375752159</v>
      </c>
      <c r="I13" s="42">
        <f t="shared" si="4"/>
        <v>-314972.37952351145</v>
      </c>
    </row>
    <row r="14" spans="1:12" x14ac:dyDescent="0.25">
      <c r="A14" s="38">
        <f>Données!A14</f>
        <v>5409</v>
      </c>
      <c r="B14" s="27" t="str">
        <f>Données!B14</f>
        <v>Ollon</v>
      </c>
      <c r="C14" s="31">
        <f>Données!Z14</f>
        <v>7967</v>
      </c>
      <c r="D14" s="179">
        <f>Ecrêtage!E14</f>
        <v>50.951385754415696</v>
      </c>
      <c r="E14" s="179">
        <f t="shared" si="1"/>
        <v>0</v>
      </c>
      <c r="F14" s="179">
        <f>+Données!X14</f>
        <v>68</v>
      </c>
      <c r="G14" s="296">
        <f t="shared" si="2"/>
        <v>0</v>
      </c>
      <c r="H14" s="124">
        <f t="shared" si="3"/>
        <v>1.0048225247348623</v>
      </c>
      <c r="I14" s="42">
        <f t="shared" si="4"/>
        <v>0</v>
      </c>
    </row>
    <row r="15" spans="1:12" x14ac:dyDescent="0.25">
      <c r="A15" s="38">
        <f>Données!A15</f>
        <v>5410</v>
      </c>
      <c r="B15" s="27" t="str">
        <f>Données!B15</f>
        <v>Ormont-Dessous</v>
      </c>
      <c r="C15" s="31">
        <f>Données!Z15</f>
        <v>1178</v>
      </c>
      <c r="D15" s="179">
        <f>Ecrêtage!E15</f>
        <v>32.608598071424893</v>
      </c>
      <c r="E15" s="179">
        <f t="shared" si="1"/>
        <v>15.300380568433418</v>
      </c>
      <c r="F15" s="179">
        <f>+Données!X15</f>
        <v>77</v>
      </c>
      <c r="G15" s="296">
        <f t="shared" si="2"/>
        <v>-374715.80635688693</v>
      </c>
      <c r="H15" s="124">
        <f t="shared" si="3"/>
        <v>1.1378137412438882</v>
      </c>
      <c r="I15" s="42">
        <f t="shared" si="4"/>
        <v>-426356.79353414988</v>
      </c>
    </row>
    <row r="16" spans="1:12" x14ac:dyDescent="0.25">
      <c r="A16" s="38">
        <f>Données!A16</f>
        <v>5411</v>
      </c>
      <c r="B16" s="27" t="str">
        <f>Données!B16</f>
        <v>Ormont-Dessus</v>
      </c>
      <c r="C16" s="31">
        <f>Données!Z16</f>
        <v>1425</v>
      </c>
      <c r="D16" s="179">
        <f>Ecrêtage!E16</f>
        <v>53.445577377654672</v>
      </c>
      <c r="E16" s="179">
        <f t="shared" si="1"/>
        <v>0</v>
      </c>
      <c r="F16" s="179">
        <f>+Données!X16</f>
        <v>76</v>
      </c>
      <c r="G16" s="296">
        <f t="shared" si="2"/>
        <v>0</v>
      </c>
      <c r="H16" s="124">
        <f t="shared" si="3"/>
        <v>1.1230369394095521</v>
      </c>
      <c r="I16" s="42">
        <f t="shared" si="4"/>
        <v>0</v>
      </c>
    </row>
    <row r="17" spans="1:9" x14ac:dyDescent="0.25">
      <c r="A17" s="38">
        <f>Données!A17</f>
        <v>5412</v>
      </c>
      <c r="B17" s="27" t="str">
        <f>Données!B17</f>
        <v>Rennaz</v>
      </c>
      <c r="C17" s="31">
        <f>Données!Z17</f>
        <v>929</v>
      </c>
      <c r="D17" s="179">
        <f>Ecrêtage!E17</f>
        <v>34.700226517527035</v>
      </c>
      <c r="E17" s="179">
        <f t="shared" si="1"/>
        <v>13.208752122331276</v>
      </c>
      <c r="F17" s="179">
        <f>+Données!X17</f>
        <v>69</v>
      </c>
      <c r="G17" s="296">
        <f t="shared" si="2"/>
        <v>-228607.43934426046</v>
      </c>
      <c r="H17" s="124">
        <f t="shared" si="3"/>
        <v>1.0195993265691985</v>
      </c>
      <c r="I17" s="42">
        <f t="shared" si="4"/>
        <v>-233087.99120411687</v>
      </c>
    </row>
    <row r="18" spans="1:9" x14ac:dyDescent="0.25">
      <c r="A18" s="38">
        <f>Données!A18</f>
        <v>5413</v>
      </c>
      <c r="B18" s="27" t="str">
        <f>Données!B18</f>
        <v>Roche</v>
      </c>
      <c r="C18" s="31">
        <f>Données!Z18</f>
        <v>1940</v>
      </c>
      <c r="D18" s="179">
        <f>Ecrêtage!E18</f>
        <v>21.954427595007076</v>
      </c>
      <c r="E18" s="179">
        <f t="shared" si="1"/>
        <v>25.954551044851236</v>
      </c>
      <c r="F18" s="179">
        <f>+Données!X18</f>
        <v>68</v>
      </c>
      <c r="G18" s="296">
        <f t="shared" si="2"/>
        <v>-924459.58093592944</v>
      </c>
      <c r="H18" s="124">
        <f t="shared" si="3"/>
        <v>1.0048225247348623</v>
      </c>
      <c r="I18" s="42">
        <f t="shared" si="4"/>
        <v>-928917.81013137347</v>
      </c>
    </row>
    <row r="19" spans="1:9" x14ac:dyDescent="0.25">
      <c r="A19" s="38">
        <f>Données!A19</f>
        <v>5414</v>
      </c>
      <c r="B19" s="27" t="str">
        <f>Données!B19</f>
        <v>Villeneuve</v>
      </c>
      <c r="C19" s="31">
        <f>Données!Z19</f>
        <v>5979</v>
      </c>
      <c r="D19" s="179">
        <f>Ecrêtage!E19</f>
        <v>27.7420386414178</v>
      </c>
      <c r="E19" s="179">
        <f t="shared" si="1"/>
        <v>20.166939998440512</v>
      </c>
      <c r="F19" s="179">
        <f>+Données!X19</f>
        <v>67.5</v>
      </c>
      <c r="G19" s="296">
        <f t="shared" si="2"/>
        <v>-2197536.4967185669</v>
      </c>
      <c r="H19" s="124">
        <f t="shared" si="3"/>
        <v>0.99743412381769425</v>
      </c>
      <c r="I19" s="42">
        <f t="shared" si="4"/>
        <v>-2191897.8901618891</v>
      </c>
    </row>
    <row r="20" spans="1:9" x14ac:dyDescent="0.25">
      <c r="A20" s="38">
        <f>Données!A20</f>
        <v>5415</v>
      </c>
      <c r="B20" s="27" t="str">
        <f>Données!B20</f>
        <v>Yvorne</v>
      </c>
      <c r="C20" s="31">
        <f>Données!Z20</f>
        <v>1088</v>
      </c>
      <c r="D20" s="179">
        <f>Ecrêtage!E20</f>
        <v>30.949999785753455</v>
      </c>
      <c r="E20" s="179">
        <f t="shared" si="1"/>
        <v>16.958978854104856</v>
      </c>
      <c r="F20" s="179">
        <f>+Données!X20</f>
        <v>71.5</v>
      </c>
      <c r="G20" s="296">
        <f t="shared" si="2"/>
        <v>-356203.67841500178</v>
      </c>
      <c r="H20" s="124">
        <f t="shared" si="3"/>
        <v>1.0565413311550391</v>
      </c>
      <c r="I20" s="42">
        <f t="shared" si="4"/>
        <v>-376343.90855490748</v>
      </c>
    </row>
    <row r="21" spans="1:9" x14ac:dyDescent="0.25">
      <c r="A21" s="38">
        <f>Données!A21</f>
        <v>5422</v>
      </c>
      <c r="B21" s="27" t="str">
        <f>Données!B21</f>
        <v>Aubonne</v>
      </c>
      <c r="C21" s="31">
        <f>Données!Z21</f>
        <v>3792</v>
      </c>
      <c r="D21" s="179">
        <f>Ecrêtage!E21</f>
        <v>78.462174804098865</v>
      </c>
      <c r="E21" s="179">
        <f t="shared" si="1"/>
        <v>0</v>
      </c>
      <c r="F21" s="179">
        <f>+Données!X21</f>
        <v>70</v>
      </c>
      <c r="G21" s="296">
        <f t="shared" si="2"/>
        <v>0</v>
      </c>
      <c r="H21" s="124">
        <f t="shared" si="3"/>
        <v>1.0343761284035349</v>
      </c>
      <c r="I21" s="42">
        <f t="shared" si="4"/>
        <v>0</v>
      </c>
    </row>
    <row r="22" spans="1:9" x14ac:dyDescent="0.25">
      <c r="A22" s="38">
        <f>Données!A22</f>
        <v>5423</v>
      </c>
      <c r="B22" s="27" t="str">
        <f>Données!B22</f>
        <v>Ballens</v>
      </c>
      <c r="C22" s="31">
        <f>Données!Z22</f>
        <v>590</v>
      </c>
      <c r="D22" s="179">
        <f>Ecrêtage!E22</f>
        <v>29.399258648711406</v>
      </c>
      <c r="E22" s="179">
        <f t="shared" si="1"/>
        <v>18.509719991146905</v>
      </c>
      <c r="F22" s="179">
        <f>+Données!X22</f>
        <v>73</v>
      </c>
      <c r="G22" s="296">
        <f t="shared" si="2"/>
        <v>-215247.68280504827</v>
      </c>
      <c r="H22" s="124">
        <f t="shared" si="3"/>
        <v>1.0787065339065434</v>
      </c>
      <c r="I22" s="42">
        <f t="shared" si="4"/>
        <v>-232189.08185004871</v>
      </c>
    </row>
    <row r="23" spans="1:9" x14ac:dyDescent="0.25">
      <c r="A23" s="38">
        <f>Données!A23</f>
        <v>5424</v>
      </c>
      <c r="B23" s="27" t="str">
        <f>Données!B23</f>
        <v>Berolle</v>
      </c>
      <c r="C23" s="31">
        <f>Données!Z23</f>
        <v>303</v>
      </c>
      <c r="D23" s="179">
        <f>Ecrêtage!E23</f>
        <v>33.872058662819924</v>
      </c>
      <c r="E23" s="179">
        <f t="shared" si="1"/>
        <v>14.036919977038387</v>
      </c>
      <c r="F23" s="179">
        <f>+Données!X23</f>
        <v>75.5</v>
      </c>
      <c r="G23" s="296">
        <f t="shared" si="2"/>
        <v>-86701.211960774046</v>
      </c>
      <c r="H23" s="124">
        <f t="shared" si="3"/>
        <v>1.115648538492384</v>
      </c>
      <c r="I23" s="42">
        <f t="shared" si="4"/>
        <v>-96728.080409555972</v>
      </c>
    </row>
    <row r="24" spans="1:9" x14ac:dyDescent="0.25">
      <c r="A24" s="38">
        <f>Données!A24</f>
        <v>5425</v>
      </c>
      <c r="B24" s="27" t="str">
        <f>Données!B24</f>
        <v>Bière</v>
      </c>
      <c r="C24" s="31">
        <f>Données!Z24</f>
        <v>1683</v>
      </c>
      <c r="D24" s="179">
        <f>Ecrêtage!E24</f>
        <v>25.101948232657289</v>
      </c>
      <c r="E24" s="179">
        <f t="shared" si="1"/>
        <v>22.807030407201022</v>
      </c>
      <c r="F24" s="179">
        <f>+Données!X24</f>
        <v>69</v>
      </c>
      <c r="G24" s="296">
        <f t="shared" si="2"/>
        <v>-715098.24542619893</v>
      </c>
      <c r="H24" s="124">
        <f t="shared" si="3"/>
        <v>1.0195993265691985</v>
      </c>
      <c r="I24" s="42">
        <f t="shared" si="4"/>
        <v>-729113.68946736783</v>
      </c>
    </row>
    <row r="25" spans="1:9" x14ac:dyDescent="0.25">
      <c r="A25" s="38">
        <f>Données!A25</f>
        <v>5426</v>
      </c>
      <c r="B25" s="27" t="str">
        <f>Données!B25</f>
        <v>Bougy-Villars</v>
      </c>
      <c r="C25" s="31">
        <f>Données!Z25</f>
        <v>506</v>
      </c>
      <c r="D25" s="179">
        <f>Ecrêtage!E25</f>
        <v>122.42043580394439</v>
      </c>
      <c r="E25" s="179">
        <f t="shared" si="1"/>
        <v>0</v>
      </c>
      <c r="F25" s="179">
        <f>+Données!X25</f>
        <v>64.5</v>
      </c>
      <c r="G25" s="296">
        <f t="shared" si="2"/>
        <v>0</v>
      </c>
      <c r="H25" s="124">
        <f t="shared" si="3"/>
        <v>0.95310371831468566</v>
      </c>
      <c r="I25" s="42">
        <f t="shared" si="4"/>
        <v>0</v>
      </c>
    </row>
    <row r="26" spans="1:9" x14ac:dyDescent="0.25">
      <c r="A26" s="38">
        <f>Données!A26</f>
        <v>5427</v>
      </c>
      <c r="B26" s="27" t="str">
        <f>Données!B26</f>
        <v>Féchy</v>
      </c>
      <c r="C26" s="31">
        <f>Données!Z26</f>
        <v>887</v>
      </c>
      <c r="D26" s="179">
        <f>Ecrêtage!E26</f>
        <v>97.994800957744332</v>
      </c>
      <c r="E26" s="179">
        <f t="shared" si="1"/>
        <v>0</v>
      </c>
      <c r="F26" s="179">
        <f>+Données!X26</f>
        <v>64</v>
      </c>
      <c r="G26" s="296">
        <f t="shared" si="2"/>
        <v>0</v>
      </c>
      <c r="H26" s="124">
        <f t="shared" si="3"/>
        <v>0.94571531739751757</v>
      </c>
      <c r="I26" s="42">
        <f t="shared" si="4"/>
        <v>0</v>
      </c>
    </row>
    <row r="27" spans="1:9" x14ac:dyDescent="0.25">
      <c r="A27" s="38">
        <f>Données!A27</f>
        <v>5428</v>
      </c>
      <c r="B27" s="27" t="str">
        <f>Données!B27</f>
        <v>Gimel</v>
      </c>
      <c r="C27" s="31">
        <f>Données!Z27</f>
        <v>2414</v>
      </c>
      <c r="D27" s="179">
        <f>Ecrêtage!E27</f>
        <v>29.559681360964838</v>
      </c>
      <c r="E27" s="179">
        <f t="shared" si="1"/>
        <v>18.349297278893474</v>
      </c>
      <c r="F27" s="179">
        <f>+Données!X27</f>
        <v>74.5</v>
      </c>
      <c r="G27" s="296">
        <f t="shared" si="2"/>
        <v>-890998.02104257059</v>
      </c>
      <c r="H27" s="124">
        <f t="shared" si="3"/>
        <v>1.1008717366580478</v>
      </c>
      <c r="I27" s="42">
        <f t="shared" si="4"/>
        <v>-980874.53878401848</v>
      </c>
    </row>
    <row r="28" spans="1:9" x14ac:dyDescent="0.25">
      <c r="A28" s="38">
        <f>Données!A28</f>
        <v>5429</v>
      </c>
      <c r="B28" s="27" t="str">
        <f>Données!B28</f>
        <v>Longirod</v>
      </c>
      <c r="C28" s="31">
        <f>Données!Z28</f>
        <v>541</v>
      </c>
      <c r="D28" s="179">
        <f>Ecrêtage!E28</f>
        <v>31.685682905014612</v>
      </c>
      <c r="E28" s="179">
        <f t="shared" si="1"/>
        <v>16.223295734843699</v>
      </c>
      <c r="F28" s="179">
        <f>+Données!X28</f>
        <v>77.5</v>
      </c>
      <c r="G28" s="296">
        <f t="shared" si="2"/>
        <v>-183654.602619118</v>
      </c>
      <c r="H28" s="124">
        <f t="shared" si="3"/>
        <v>1.1452021421610563</v>
      </c>
      <c r="I28" s="42">
        <f t="shared" si="4"/>
        <v>-210321.64433715146</v>
      </c>
    </row>
    <row r="29" spans="1:9" x14ac:dyDescent="0.25">
      <c r="A29" s="38">
        <f>Données!A29</f>
        <v>5430</v>
      </c>
      <c r="B29" s="27" t="str">
        <f>Données!B29</f>
        <v>Marchissy</v>
      </c>
      <c r="C29" s="31">
        <f>Données!Z29</f>
        <v>499</v>
      </c>
      <c r="D29" s="179">
        <f>Ecrêtage!E29</f>
        <v>34.312028185403072</v>
      </c>
      <c r="E29" s="179">
        <f t="shared" si="1"/>
        <v>13.596950454455239</v>
      </c>
      <c r="F29" s="179">
        <f>+Données!X29</f>
        <v>77.5</v>
      </c>
      <c r="G29" s="296">
        <f t="shared" si="2"/>
        <v>-141973.57794147849</v>
      </c>
      <c r="H29" s="124">
        <f t="shared" si="3"/>
        <v>1.1452021421610563</v>
      </c>
      <c r="I29" s="42">
        <f t="shared" si="4"/>
        <v>-162588.44558885085</v>
      </c>
    </row>
    <row r="30" spans="1:9" x14ac:dyDescent="0.25">
      <c r="A30" s="38">
        <f>Données!A30</f>
        <v>5431</v>
      </c>
      <c r="B30" s="27" t="str">
        <f>Données!B30</f>
        <v>Mollens</v>
      </c>
      <c r="C30" s="31">
        <f>Données!Z30</f>
        <v>324</v>
      </c>
      <c r="D30" s="179">
        <f>Ecrêtage!E30</f>
        <v>29.244507007007009</v>
      </c>
      <c r="E30" s="179">
        <f t="shared" si="1"/>
        <v>18.664471632851303</v>
      </c>
      <c r="F30" s="179">
        <f>+Données!X30</f>
        <v>74</v>
      </c>
      <c r="G30" s="296">
        <f t="shared" si="2"/>
        <v>-120824.83040469556</v>
      </c>
      <c r="H30" s="124">
        <f t="shared" si="3"/>
        <v>1.0934833357408797</v>
      </c>
      <c r="I30" s="42">
        <f t="shared" si="4"/>
        <v>-132119.93859125258</v>
      </c>
    </row>
    <row r="31" spans="1:9" x14ac:dyDescent="0.25">
      <c r="A31" s="38">
        <f>Données!A31</f>
        <v>5434</v>
      </c>
      <c r="B31" s="27" t="str">
        <f>Données!B31</f>
        <v>Saint-George</v>
      </c>
      <c r="C31" s="31">
        <f>Données!Z31</f>
        <v>1069</v>
      </c>
      <c r="D31" s="179">
        <f>Ecrêtage!E31</f>
        <v>38.269803846352289</v>
      </c>
      <c r="E31" s="179">
        <f t="shared" si="1"/>
        <v>9.6391747935060224</v>
      </c>
      <c r="F31" s="179">
        <f>+Données!X31</f>
        <v>69.5</v>
      </c>
      <c r="G31" s="296">
        <f t="shared" si="2"/>
        <v>-193359.77393515024</v>
      </c>
      <c r="H31" s="124">
        <f t="shared" si="3"/>
        <v>1.0269877274863668</v>
      </c>
      <c r="I31" s="42">
        <f t="shared" si="4"/>
        <v>-198578.11482093757</v>
      </c>
    </row>
    <row r="32" spans="1:9" x14ac:dyDescent="0.25">
      <c r="A32" s="38">
        <f>Données!A32</f>
        <v>5435</v>
      </c>
      <c r="B32" s="27" t="str">
        <f>Données!B32</f>
        <v>Saint-Livres</v>
      </c>
      <c r="C32" s="31">
        <f>Données!Z32</f>
        <v>697</v>
      </c>
      <c r="D32" s="179">
        <f>Ecrêtage!E32</f>
        <v>36.530936102967168</v>
      </c>
      <c r="E32" s="179">
        <f t="shared" si="1"/>
        <v>11.378042536891144</v>
      </c>
      <c r="F32" s="179">
        <f>+Données!X32</f>
        <v>69</v>
      </c>
      <c r="G32" s="296">
        <f t="shared" si="2"/>
        <v>-147745.13392621058</v>
      </c>
      <c r="H32" s="124">
        <f t="shared" si="3"/>
        <v>1.0195993265691985</v>
      </c>
      <c r="I32" s="42">
        <f t="shared" si="4"/>
        <v>-150640.83905504036</v>
      </c>
    </row>
    <row r="33" spans="1:9" x14ac:dyDescent="0.25">
      <c r="A33" s="38">
        <f>Données!A33</f>
        <v>5436</v>
      </c>
      <c r="B33" s="27" t="str">
        <f>Données!B33</f>
        <v>Saint-Oyens</v>
      </c>
      <c r="C33" s="31">
        <f>Données!Z33</f>
        <v>456</v>
      </c>
      <c r="D33" s="179">
        <f>Ecrêtage!E33</f>
        <v>36.020399455918273</v>
      </c>
      <c r="E33" s="179">
        <f t="shared" si="1"/>
        <v>11.888579183940038</v>
      </c>
      <c r="F33" s="179">
        <f>+Données!X33</f>
        <v>79</v>
      </c>
      <c r="G33" s="296">
        <f t="shared" si="2"/>
        <v>-115634.02766100911</v>
      </c>
      <c r="H33" s="124">
        <f t="shared" si="3"/>
        <v>1.1673673449125608</v>
      </c>
      <c r="I33" s="42">
        <f t="shared" si="4"/>
        <v>-134987.38785217781</v>
      </c>
    </row>
    <row r="34" spans="1:9" x14ac:dyDescent="0.25">
      <c r="A34" s="38">
        <f>Données!A34</f>
        <v>5437</v>
      </c>
      <c r="B34" s="27" t="str">
        <f>Données!B34</f>
        <v>Saubraz</v>
      </c>
      <c r="C34" s="31">
        <f>Données!Z34</f>
        <v>449</v>
      </c>
      <c r="D34" s="179">
        <f>Ecrêtage!E34</f>
        <v>27.018185968819598</v>
      </c>
      <c r="E34" s="179">
        <f t="shared" si="1"/>
        <v>20.890792671038714</v>
      </c>
      <c r="F34" s="179">
        <f>+Données!X34</f>
        <v>80</v>
      </c>
      <c r="G34" s="296">
        <f t="shared" si="2"/>
        <v>-202607.26364080189</v>
      </c>
      <c r="H34" s="124">
        <f t="shared" si="3"/>
        <v>1.1821441467468969</v>
      </c>
      <c r="I34" s="42">
        <f t="shared" si="4"/>
        <v>-239510.99080137935</v>
      </c>
    </row>
    <row r="35" spans="1:9" x14ac:dyDescent="0.25">
      <c r="A35" s="38">
        <f>Données!A35</f>
        <v>5451</v>
      </c>
      <c r="B35" s="27" t="str">
        <f>Données!B35</f>
        <v>Avenches</v>
      </c>
      <c r="C35" s="31">
        <f>Données!Z35</f>
        <v>4696</v>
      </c>
      <c r="D35" s="179">
        <f>Ecrêtage!E35</f>
        <v>30.367044922783958</v>
      </c>
      <c r="E35" s="179">
        <f t="shared" si="1"/>
        <v>17.541933717074354</v>
      </c>
      <c r="F35" s="179">
        <f>+Données!X35</f>
        <v>66.5</v>
      </c>
      <c r="G35" s="296">
        <f t="shared" si="2"/>
        <v>-1479077.6118037689</v>
      </c>
      <c r="H35" s="124">
        <f t="shared" si="3"/>
        <v>0.98265732198335809</v>
      </c>
      <c r="I35" s="42">
        <f t="shared" si="4"/>
        <v>-1453426.4450206324</v>
      </c>
    </row>
    <row r="36" spans="1:9" x14ac:dyDescent="0.25">
      <c r="A36" s="38">
        <f>Données!A36</f>
        <v>5456</v>
      </c>
      <c r="B36" s="27" t="str">
        <f>Données!B36</f>
        <v>Cudrefin</v>
      </c>
      <c r="C36" s="31">
        <f>Données!Z36</f>
        <v>1876</v>
      </c>
      <c r="D36" s="179">
        <f>Ecrêtage!E36</f>
        <v>34.146817245491668</v>
      </c>
      <c r="E36" s="179">
        <f t="shared" si="1"/>
        <v>13.762161394366643</v>
      </c>
      <c r="F36" s="179">
        <f>+Données!X36</f>
        <v>59</v>
      </c>
      <c r="G36" s="296">
        <f t="shared" si="2"/>
        <v>-411277.78937900095</v>
      </c>
      <c r="H36" s="124">
        <f t="shared" si="3"/>
        <v>0.87183130822583643</v>
      </c>
      <c r="I36" s="42">
        <f t="shared" si="4"/>
        <v>-358564.85315852443</v>
      </c>
    </row>
    <row r="37" spans="1:9" x14ac:dyDescent="0.25">
      <c r="A37" s="38">
        <f>Données!A37</f>
        <v>5458</v>
      </c>
      <c r="B37" s="27" t="str">
        <f>Données!B37</f>
        <v>Faoug</v>
      </c>
      <c r="C37" s="31">
        <f>Données!Z37</f>
        <v>903</v>
      </c>
      <c r="D37" s="179">
        <f>Ecrêtage!E37</f>
        <v>36.135779424709654</v>
      </c>
      <c r="E37" s="179">
        <f t="shared" si="1"/>
        <v>11.773199215148658</v>
      </c>
      <c r="F37" s="179">
        <f>+Données!X37</f>
        <v>65</v>
      </c>
      <c r="G37" s="296">
        <f t="shared" si="2"/>
        <v>-186577.54054195067</v>
      </c>
      <c r="H37" s="124">
        <f t="shared" si="3"/>
        <v>0.96049211923185374</v>
      </c>
      <c r="I37" s="42">
        <f t="shared" si="4"/>
        <v>-179206.2573162053</v>
      </c>
    </row>
    <row r="38" spans="1:9" x14ac:dyDescent="0.25">
      <c r="A38" s="38">
        <f>Données!A38</f>
        <v>5464</v>
      </c>
      <c r="B38" s="27" t="str">
        <f>Données!B38</f>
        <v>Vully-les-Lacs</v>
      </c>
      <c r="C38" s="31">
        <f>Données!Z38</f>
        <v>3540</v>
      </c>
      <c r="D38" s="179">
        <f>Ecrêtage!E38</f>
        <v>33.314203727127079</v>
      </c>
      <c r="E38" s="179">
        <f t="shared" si="1"/>
        <v>14.594774912731232</v>
      </c>
      <c r="F38" s="179">
        <f>+Données!X38</f>
        <v>67</v>
      </c>
      <c r="G38" s="296">
        <f t="shared" si="2"/>
        <v>-934628.95272643049</v>
      </c>
      <c r="H38" s="124">
        <f t="shared" si="3"/>
        <v>0.99004572290052617</v>
      </c>
      <c r="I38" s="42">
        <f t="shared" si="4"/>
        <v>-925325.39714580053</v>
      </c>
    </row>
    <row r="39" spans="1:9" x14ac:dyDescent="0.25">
      <c r="A39" s="38">
        <f>Données!A39</f>
        <v>5471</v>
      </c>
      <c r="B39" s="27" t="str">
        <f>Données!B39</f>
        <v>Bettens</v>
      </c>
      <c r="C39" s="31">
        <f>Données!Z39</f>
        <v>650</v>
      </c>
      <c r="D39" s="179">
        <f>Ecrêtage!E39</f>
        <v>34.910782173382174</v>
      </c>
      <c r="E39" s="179">
        <f t="shared" si="1"/>
        <v>12.998196466476138</v>
      </c>
      <c r="F39" s="179">
        <f>+Données!X39</f>
        <v>70</v>
      </c>
      <c r="G39" s="296">
        <f t="shared" si="2"/>
        <v>-159682.84359065938</v>
      </c>
      <c r="H39" s="124">
        <f t="shared" si="3"/>
        <v>1.0343761284035349</v>
      </c>
      <c r="I39" s="42">
        <f t="shared" si="4"/>
        <v>-165172.12152577346</v>
      </c>
    </row>
    <row r="40" spans="1:9" x14ac:dyDescent="0.25">
      <c r="A40" s="38">
        <f>Données!A40</f>
        <v>5472</v>
      </c>
      <c r="B40" s="27" t="str">
        <f>Données!B40</f>
        <v>Bournens</v>
      </c>
      <c r="C40" s="31">
        <f>Données!Z40</f>
        <v>514</v>
      </c>
      <c r="D40" s="179">
        <f>Ecrêtage!E40</f>
        <v>38.861508068207833</v>
      </c>
      <c r="E40" s="179">
        <f t="shared" si="1"/>
        <v>9.0474705716504786</v>
      </c>
      <c r="F40" s="179">
        <f>+Données!X40</f>
        <v>68</v>
      </c>
      <c r="G40" s="296">
        <f t="shared" si="2"/>
        <v>-85381.341683488441</v>
      </c>
      <c r="H40" s="124">
        <f t="shared" si="3"/>
        <v>1.0048225247348623</v>
      </c>
      <c r="I40" s="42">
        <f t="shared" si="4"/>
        <v>-85793.095315652798</v>
      </c>
    </row>
    <row r="41" spans="1:9" x14ac:dyDescent="0.25">
      <c r="A41" s="38">
        <f>Données!A41</f>
        <v>5473</v>
      </c>
      <c r="B41" s="27" t="str">
        <f>Données!B41</f>
        <v>Boussens</v>
      </c>
      <c r="C41" s="31">
        <f>Données!Z41</f>
        <v>1009</v>
      </c>
      <c r="D41" s="179">
        <f>Ecrêtage!E41</f>
        <v>39.685515061416943</v>
      </c>
      <c r="E41" s="179">
        <f t="shared" si="1"/>
        <v>8.2234635784413683</v>
      </c>
      <c r="F41" s="179">
        <f>+Données!X41</f>
        <v>66</v>
      </c>
      <c r="G41" s="296">
        <f t="shared" si="2"/>
        <v>-147861.00005653562</v>
      </c>
      <c r="H41" s="124">
        <f t="shared" si="3"/>
        <v>0.97526892106619001</v>
      </c>
      <c r="I41" s="42">
        <f t="shared" si="4"/>
        <v>-144204.23799290534</v>
      </c>
    </row>
    <row r="42" spans="1:9" x14ac:dyDescent="0.25">
      <c r="A42" s="38">
        <f>Données!A42</f>
        <v>5474</v>
      </c>
      <c r="B42" s="27" t="str">
        <f>Données!B42</f>
        <v>La Chaux (Cossonay)</v>
      </c>
      <c r="C42" s="31">
        <f>Données!Z42</f>
        <v>412</v>
      </c>
      <c r="D42" s="179">
        <f>Ecrêtage!E42</f>
        <v>33.646533863481515</v>
      </c>
      <c r="E42" s="179">
        <f t="shared" si="1"/>
        <v>14.262444776376796</v>
      </c>
      <c r="F42" s="179">
        <f>+Données!X42</f>
        <v>76</v>
      </c>
      <c r="G42" s="296">
        <f t="shared" si="2"/>
        <v>-120578.13112623578</v>
      </c>
      <c r="H42" s="124">
        <f t="shared" si="3"/>
        <v>1.1230369394095521</v>
      </c>
      <c r="I42" s="42">
        <f t="shared" si="4"/>
        <v>-135413.69533973146</v>
      </c>
    </row>
    <row r="43" spans="1:9" x14ac:dyDescent="0.25">
      <c r="A43" s="38">
        <f>Données!A43</f>
        <v>5475</v>
      </c>
      <c r="B43" s="27" t="str">
        <f>Données!B43</f>
        <v>Chavannes-le-Veyron</v>
      </c>
      <c r="C43" s="31">
        <f>Données!Z43</f>
        <v>163</v>
      </c>
      <c r="D43" s="179">
        <f>Ecrêtage!E43</f>
        <v>26.362876073619638</v>
      </c>
      <c r="E43" s="179">
        <f t="shared" si="1"/>
        <v>21.546102566238673</v>
      </c>
      <c r="F43" s="179">
        <f>+Données!X43</f>
        <v>75</v>
      </c>
      <c r="G43" s="296">
        <f t="shared" si="2"/>
        <v>-71118.298045512303</v>
      </c>
      <c r="H43" s="124">
        <f t="shared" si="3"/>
        <v>1.1082601375752159</v>
      </c>
      <c r="I43" s="42">
        <f t="shared" si="4"/>
        <v>-78817.574776034671</v>
      </c>
    </row>
    <row r="44" spans="1:9" x14ac:dyDescent="0.25">
      <c r="A44" s="38">
        <f>Données!A44</f>
        <v>5476</v>
      </c>
      <c r="B44" s="27" t="str">
        <f>Données!B44</f>
        <v>Chevilly</v>
      </c>
      <c r="C44" s="31">
        <f>Données!Z44</f>
        <v>331</v>
      </c>
      <c r="D44" s="179">
        <f>Ecrêtage!E44</f>
        <v>40.962078966559019</v>
      </c>
      <c r="E44" s="179">
        <f t="shared" si="1"/>
        <v>6.946899673299292</v>
      </c>
      <c r="F44" s="179">
        <f>+Données!X44</f>
        <v>72.5</v>
      </c>
      <c r="G44" s="296">
        <f t="shared" si="2"/>
        <v>-45011.220725699939</v>
      </c>
      <c r="H44" s="124">
        <f t="shared" si="3"/>
        <v>1.0713181329893753</v>
      </c>
      <c r="I44" s="42">
        <f t="shared" si="4"/>
        <v>-48221.336951429534</v>
      </c>
    </row>
    <row r="45" spans="1:9" x14ac:dyDescent="0.25">
      <c r="A45" s="38">
        <f>Données!A45</f>
        <v>5477</v>
      </c>
      <c r="B45" s="27" t="str">
        <f>Données!B45</f>
        <v>Cossonay</v>
      </c>
      <c r="C45" s="31">
        <f>Données!Z45</f>
        <v>4389</v>
      </c>
      <c r="D45" s="179">
        <f>Ecrêtage!E45</f>
        <v>34.514645906209374</v>
      </c>
      <c r="E45" s="179">
        <f t="shared" si="1"/>
        <v>13.394332733648938</v>
      </c>
      <c r="F45" s="179">
        <f>+Données!X45</f>
        <v>68</v>
      </c>
      <c r="G45" s="296">
        <f t="shared" si="2"/>
        <v>-1079342.6561162081</v>
      </c>
      <c r="H45" s="124">
        <f t="shared" si="3"/>
        <v>1.0048225247348623</v>
      </c>
      <c r="I45" s="42">
        <f t="shared" si="4"/>
        <v>-1084547.8127727206</v>
      </c>
    </row>
    <row r="46" spans="1:9" x14ac:dyDescent="0.25">
      <c r="A46" s="38">
        <f>Données!A46</f>
        <v>5479</v>
      </c>
      <c r="B46" s="27" t="str">
        <f>Données!B46</f>
        <v>Cuarnens</v>
      </c>
      <c r="C46" s="31">
        <f>Données!Z46</f>
        <v>545</v>
      </c>
      <c r="D46" s="179">
        <f>Ecrêtage!E46</f>
        <v>26.295469319671156</v>
      </c>
      <c r="E46" s="179">
        <f t="shared" si="1"/>
        <v>21.613509320187156</v>
      </c>
      <c r="F46" s="179">
        <f>+Données!X46</f>
        <v>77</v>
      </c>
      <c r="G46" s="296">
        <f t="shared" si="2"/>
        <v>-244892.94802784661</v>
      </c>
      <c r="H46" s="124">
        <f t="shared" si="3"/>
        <v>1.1378137412438882</v>
      </c>
      <c r="I46" s="42">
        <f t="shared" si="4"/>
        <v>-278642.5613998092</v>
      </c>
    </row>
    <row r="47" spans="1:9" x14ac:dyDescent="0.25">
      <c r="A47" s="38">
        <f>Données!A47</f>
        <v>5480</v>
      </c>
      <c r="B47" s="27" t="str">
        <f>Données!B47</f>
        <v>Daillens</v>
      </c>
      <c r="C47" s="31">
        <f>Données!Z47</f>
        <v>1057</v>
      </c>
      <c r="D47" s="179">
        <f>Ecrêtage!E47</f>
        <v>40.436214892539397</v>
      </c>
      <c r="E47" s="179">
        <f t="shared" si="1"/>
        <v>7.4727637473189148</v>
      </c>
      <c r="F47" s="179">
        <f>+Données!X47</f>
        <v>66</v>
      </c>
      <c r="G47" s="296">
        <f t="shared" si="2"/>
        <v>-140755.03502592476</v>
      </c>
      <c r="H47" s="124">
        <f t="shared" si="3"/>
        <v>0.97526892106619001</v>
      </c>
      <c r="I47" s="42">
        <f t="shared" si="4"/>
        <v>-137274.01114436743</v>
      </c>
    </row>
    <row r="48" spans="1:9" x14ac:dyDescent="0.25">
      <c r="A48" s="38">
        <f>Données!A48</f>
        <v>5481</v>
      </c>
      <c r="B48" s="27" t="str">
        <f>Données!B48</f>
        <v>Dizy</v>
      </c>
      <c r="C48" s="31">
        <f>Données!Z48</f>
        <v>232</v>
      </c>
      <c r="D48" s="179">
        <f>Ecrêtage!E48</f>
        <v>36.862021839080455</v>
      </c>
      <c r="E48" s="179">
        <f t="shared" si="1"/>
        <v>11.046956800777856</v>
      </c>
      <c r="F48" s="179">
        <f>+Données!X48</f>
        <v>75</v>
      </c>
      <c r="G48" s="296">
        <f t="shared" si="2"/>
        <v>-51898.603050054364</v>
      </c>
      <c r="H48" s="124">
        <f t="shared" si="3"/>
        <v>1.1082601375752159</v>
      </c>
      <c r="I48" s="42">
        <f t="shared" si="4"/>
        <v>-57517.15295621477</v>
      </c>
    </row>
    <row r="49" spans="1:9" x14ac:dyDescent="0.25">
      <c r="A49" s="38">
        <f>Données!A49</f>
        <v>5482</v>
      </c>
      <c r="B49" s="27" t="str">
        <f>Données!B49</f>
        <v>Eclépens</v>
      </c>
      <c r="C49" s="31">
        <f>Données!Z49</f>
        <v>1199</v>
      </c>
      <c r="D49" s="179">
        <f>Ecrêtage!E49</f>
        <v>40.293211915726872</v>
      </c>
      <c r="E49" s="179">
        <f t="shared" si="1"/>
        <v>7.61576672413144</v>
      </c>
      <c r="F49" s="179">
        <f>+Données!X49</f>
        <v>46</v>
      </c>
      <c r="G49" s="296">
        <f t="shared" si="2"/>
        <v>-113410.79943374128</v>
      </c>
      <c r="H49" s="124">
        <f t="shared" si="3"/>
        <v>0.67973288437946577</v>
      </c>
      <c r="I49" s="42">
        <f t="shared" si="4"/>
        <v>-77089.049818878048</v>
      </c>
    </row>
    <row r="50" spans="1:9" x14ac:dyDescent="0.25">
      <c r="A50" s="38">
        <f>Données!A50</f>
        <v>5483</v>
      </c>
      <c r="B50" s="27" t="str">
        <f>Données!B50</f>
        <v>Ferreyres</v>
      </c>
      <c r="C50" s="31">
        <f>Données!Z50</f>
        <v>308</v>
      </c>
      <c r="D50" s="179">
        <f>Ecrêtage!E50</f>
        <v>33.39023111756665</v>
      </c>
      <c r="E50" s="179">
        <f t="shared" si="1"/>
        <v>14.518747522291662</v>
      </c>
      <c r="F50" s="179">
        <f>+Données!X50</f>
        <v>76</v>
      </c>
      <c r="G50" s="296">
        <f t="shared" si="2"/>
        <v>-91760.807340486877</v>
      </c>
      <c r="H50" s="124">
        <f t="shared" si="3"/>
        <v>1.1230369394095521</v>
      </c>
      <c r="I50" s="42">
        <f t="shared" si="4"/>
        <v>-103050.77623340994</v>
      </c>
    </row>
    <row r="51" spans="1:9" x14ac:dyDescent="0.25">
      <c r="A51" s="38">
        <f>Données!A51</f>
        <v>5484</v>
      </c>
      <c r="B51" s="27" t="str">
        <f>Données!B51</f>
        <v>Gollion</v>
      </c>
      <c r="C51" s="31">
        <f>Données!Z51</f>
        <v>1033</v>
      </c>
      <c r="D51" s="179">
        <f>Ecrêtage!E51</f>
        <v>31.559625206038561</v>
      </c>
      <c r="E51" s="179">
        <f t="shared" si="1"/>
        <v>16.349353433819751</v>
      </c>
      <c r="F51" s="179">
        <f>+Données!X51</f>
        <v>74</v>
      </c>
      <c r="G51" s="296">
        <f t="shared" si="2"/>
        <v>-337439.86430077342</v>
      </c>
      <c r="H51" s="124">
        <f t="shared" si="3"/>
        <v>1.0934833357408797</v>
      </c>
      <c r="I51" s="42">
        <f t="shared" si="4"/>
        <v>-368984.8684275595</v>
      </c>
    </row>
    <row r="52" spans="1:9" x14ac:dyDescent="0.25">
      <c r="A52" s="38">
        <f>Données!A52</f>
        <v>5485</v>
      </c>
      <c r="B52" s="27" t="str">
        <f>Données!B52</f>
        <v>Grancy</v>
      </c>
      <c r="C52" s="31">
        <f>Données!Z52</f>
        <v>489</v>
      </c>
      <c r="D52" s="179">
        <f>Ecrêtage!E52</f>
        <v>38.775136722173535</v>
      </c>
      <c r="E52" s="179">
        <f t="shared" si="1"/>
        <v>9.1338419176847765</v>
      </c>
      <c r="F52" s="179">
        <f>+Données!X52</f>
        <v>70</v>
      </c>
      <c r="G52" s="296">
        <f t="shared" si="2"/>
        <v>-84415.880387434474</v>
      </c>
      <c r="H52" s="124">
        <f t="shared" si="3"/>
        <v>1.0343761284035349</v>
      </c>
      <c r="I52" s="42">
        <f t="shared" si="4"/>
        <v>-87317.77153093036</v>
      </c>
    </row>
    <row r="53" spans="1:9" x14ac:dyDescent="0.25">
      <c r="A53" s="38">
        <f>Données!A53</f>
        <v>5486</v>
      </c>
      <c r="B53" s="27" t="str">
        <f>Données!B53</f>
        <v>L'Isle</v>
      </c>
      <c r="C53" s="31">
        <f>Données!Z53</f>
        <v>1095</v>
      </c>
      <c r="D53" s="179">
        <f>Ecrêtage!E53</f>
        <v>31.740148554033492</v>
      </c>
      <c r="E53" s="179">
        <f t="shared" si="1"/>
        <v>16.168830085824819</v>
      </c>
      <c r="F53" s="179">
        <f>+Données!X53</f>
        <v>75</v>
      </c>
      <c r="G53" s="296">
        <f t="shared" si="2"/>
        <v>-358523.59611555812</v>
      </c>
      <c r="H53" s="124">
        <f t="shared" si="3"/>
        <v>1.1082601375752159</v>
      </c>
      <c r="I53" s="42">
        <f t="shared" si="4"/>
        <v>-397337.40995498956</v>
      </c>
    </row>
    <row r="54" spans="1:9" x14ac:dyDescent="0.25">
      <c r="A54" s="38">
        <f>Données!A54</f>
        <v>5487</v>
      </c>
      <c r="B54" s="27" t="str">
        <f>Données!B54</f>
        <v>Lussery-Villars</v>
      </c>
      <c r="C54" s="31">
        <f>Données!Z54</f>
        <v>482</v>
      </c>
      <c r="D54" s="179">
        <f>Ecrêtage!E54</f>
        <v>24.984602213001384</v>
      </c>
      <c r="E54" s="179">
        <f t="shared" si="1"/>
        <v>22.924376426856927</v>
      </c>
      <c r="F54" s="179">
        <f>+Données!X54</f>
        <v>75</v>
      </c>
      <c r="G54" s="296">
        <f t="shared" si="2"/>
        <v>-223753.37611433706</v>
      </c>
      <c r="H54" s="124">
        <f t="shared" si="3"/>
        <v>1.1082601375752159</v>
      </c>
      <c r="I54" s="42">
        <f t="shared" si="4"/>
        <v>-247976.94739539424</v>
      </c>
    </row>
    <row r="55" spans="1:9" x14ac:dyDescent="0.25">
      <c r="A55" s="38">
        <f>Données!A55</f>
        <v>5488</v>
      </c>
      <c r="B55" s="27" t="str">
        <f>Données!B55</f>
        <v>Mauraz</v>
      </c>
      <c r="C55" s="31">
        <f>Données!Z55</f>
        <v>65</v>
      </c>
      <c r="D55" s="179">
        <f>Ecrêtage!E55</f>
        <v>32.793926073926073</v>
      </c>
      <c r="E55" s="179">
        <f t="shared" si="1"/>
        <v>15.115052565932238</v>
      </c>
      <c r="F55" s="179">
        <f>+Données!X55</f>
        <v>77</v>
      </c>
      <c r="G55" s="296">
        <f t="shared" si="2"/>
        <v>-20425.726284972534</v>
      </c>
      <c r="H55" s="124">
        <f t="shared" si="3"/>
        <v>1.1378137412438882</v>
      </c>
      <c r="I55" s="42">
        <f t="shared" si="4"/>
        <v>-23240.672041928225</v>
      </c>
    </row>
    <row r="56" spans="1:9" x14ac:dyDescent="0.25">
      <c r="A56" s="38">
        <f>Données!A56</f>
        <v>5489</v>
      </c>
      <c r="B56" s="27" t="str">
        <f>Données!B56</f>
        <v>Mex</v>
      </c>
      <c r="C56" s="31">
        <f>Données!Z56</f>
        <v>817</v>
      </c>
      <c r="D56" s="179">
        <f>Ecrêtage!E56</f>
        <v>73.794325005399955</v>
      </c>
      <c r="E56" s="179">
        <f t="shared" si="1"/>
        <v>0</v>
      </c>
      <c r="F56" s="179">
        <f>+Données!X56</f>
        <v>59.5</v>
      </c>
      <c r="G56" s="296">
        <f t="shared" si="2"/>
        <v>0</v>
      </c>
      <c r="H56" s="124">
        <f t="shared" si="3"/>
        <v>0.87921970914300462</v>
      </c>
      <c r="I56" s="42">
        <f t="shared" si="4"/>
        <v>0</v>
      </c>
    </row>
    <row r="57" spans="1:9" x14ac:dyDescent="0.25">
      <c r="A57" s="38">
        <f>Données!A57</f>
        <v>5490</v>
      </c>
      <c r="B57" s="27" t="str">
        <f>Données!B57</f>
        <v>Moiry</v>
      </c>
      <c r="C57" s="31">
        <f>Données!Z57</f>
        <v>296</v>
      </c>
      <c r="D57" s="179">
        <f>Ecrêtage!E57</f>
        <v>28.584257634257643</v>
      </c>
      <c r="E57" s="179">
        <f t="shared" si="1"/>
        <v>19.324721005600669</v>
      </c>
      <c r="F57" s="179">
        <f>+Données!X57</f>
        <v>77</v>
      </c>
      <c r="G57" s="296">
        <f t="shared" si="2"/>
        <v>-118921.24111310563</v>
      </c>
      <c r="H57" s="124">
        <f t="shared" si="3"/>
        <v>1.1378137412438882</v>
      </c>
      <c r="I57" s="42">
        <f t="shared" si="4"/>
        <v>-135310.22226426922</v>
      </c>
    </row>
    <row r="58" spans="1:9" x14ac:dyDescent="0.25">
      <c r="A58" s="38">
        <f>Données!A58</f>
        <v>5491</v>
      </c>
      <c r="B58" s="27" t="str">
        <f>Données!B58</f>
        <v>Mont-la-Ville</v>
      </c>
      <c r="C58" s="31">
        <f>Données!Z58</f>
        <v>502</v>
      </c>
      <c r="D58" s="179">
        <f>Ecrêtage!E58</f>
        <v>27.573444380373246</v>
      </c>
      <c r="E58" s="179">
        <f t="shared" si="1"/>
        <v>20.335534259485065</v>
      </c>
      <c r="F58" s="179">
        <f>+Données!X58</f>
        <v>76</v>
      </c>
      <c r="G58" s="296">
        <f t="shared" si="2"/>
        <v>-209477.15182832608</v>
      </c>
      <c r="H58" s="124">
        <f t="shared" si="3"/>
        <v>1.1230369394095521</v>
      </c>
      <c r="I58" s="42">
        <f t="shared" si="4"/>
        <v>-235250.57946551338</v>
      </c>
    </row>
    <row r="59" spans="1:9" x14ac:dyDescent="0.25">
      <c r="A59" s="38">
        <f>Données!A59</f>
        <v>5492</v>
      </c>
      <c r="B59" s="27" t="str">
        <f>Données!B59</f>
        <v>Montricher</v>
      </c>
      <c r="C59" s="31">
        <f>Données!Z59</f>
        <v>978</v>
      </c>
      <c r="D59" s="179">
        <f>Ecrêtage!E59</f>
        <v>153.27866069146214</v>
      </c>
      <c r="E59" s="179">
        <f t="shared" si="1"/>
        <v>0</v>
      </c>
      <c r="F59" s="179">
        <f>+Données!X59</f>
        <v>64</v>
      </c>
      <c r="G59" s="296">
        <f t="shared" si="2"/>
        <v>0</v>
      </c>
      <c r="H59" s="124">
        <f t="shared" si="3"/>
        <v>0.94571531739751757</v>
      </c>
      <c r="I59" s="42">
        <f t="shared" si="4"/>
        <v>0</v>
      </c>
    </row>
    <row r="60" spans="1:9" x14ac:dyDescent="0.25">
      <c r="A60" s="38">
        <f>Données!A60</f>
        <v>5493</v>
      </c>
      <c r="B60" s="27" t="str">
        <f>Données!B60</f>
        <v>Orny</v>
      </c>
      <c r="C60" s="31">
        <f>Données!Z60</f>
        <v>484</v>
      </c>
      <c r="D60" s="179">
        <f>Ecrêtage!E60</f>
        <v>30.239078804134849</v>
      </c>
      <c r="E60" s="179">
        <f t="shared" si="1"/>
        <v>17.669899835723463</v>
      </c>
      <c r="F60" s="179">
        <f>+Données!X60</f>
        <v>73</v>
      </c>
      <c r="G60" s="296">
        <f t="shared" si="2"/>
        <v>-168564.48326886096</v>
      </c>
      <c r="H60" s="124">
        <f t="shared" si="3"/>
        <v>1.0787065339065434</v>
      </c>
      <c r="I60" s="42">
        <f t="shared" si="4"/>
        <v>-181831.60948670053</v>
      </c>
    </row>
    <row r="61" spans="1:9" x14ac:dyDescent="0.25">
      <c r="A61" s="38">
        <f>Données!A61</f>
        <v>5495</v>
      </c>
      <c r="B61" s="27" t="str">
        <f>Données!B61</f>
        <v>Penthalaz</v>
      </c>
      <c r="C61" s="31">
        <f>Données!Z61</f>
        <v>3214</v>
      </c>
      <c r="D61" s="179">
        <f>Ecrêtage!E61</f>
        <v>32.06397261137927</v>
      </c>
      <c r="E61" s="179">
        <f t="shared" si="1"/>
        <v>15.845006028479041</v>
      </c>
      <c r="F61" s="179">
        <f>+Données!X61</f>
        <v>74</v>
      </c>
      <c r="G61" s="296">
        <f t="shared" si="2"/>
        <v>-1017498.4705231222</v>
      </c>
      <c r="H61" s="124">
        <f t="shared" si="3"/>
        <v>1.0934833357408797</v>
      </c>
      <c r="I61" s="42">
        <f t="shared" si="4"/>
        <v>-1112617.621658867</v>
      </c>
    </row>
    <row r="62" spans="1:9" x14ac:dyDescent="0.25">
      <c r="A62" s="38">
        <f>Données!A62</f>
        <v>5496</v>
      </c>
      <c r="B62" s="27" t="str">
        <f>Données!B62</f>
        <v>Penthaz</v>
      </c>
      <c r="C62" s="31">
        <f>Données!Z62</f>
        <v>1923</v>
      </c>
      <c r="D62" s="179">
        <f>Ecrêtage!E62</f>
        <v>32.059037624814344</v>
      </c>
      <c r="E62" s="179">
        <f t="shared" si="1"/>
        <v>15.849941015043967</v>
      </c>
      <c r="F62" s="179">
        <f>+Données!X62</f>
        <v>69.5</v>
      </c>
      <c r="G62" s="296">
        <f t="shared" si="2"/>
        <v>-571946.62727225805</v>
      </c>
      <c r="H62" s="124">
        <f t="shared" si="3"/>
        <v>1.0269877274863668</v>
      </c>
      <c r="I62" s="42">
        <f t="shared" si="4"/>
        <v>-587382.16698582831</v>
      </c>
    </row>
    <row r="63" spans="1:9" x14ac:dyDescent="0.25">
      <c r="A63" s="38">
        <f>Données!A63</f>
        <v>5497</v>
      </c>
      <c r="B63" s="27" t="str">
        <f>Données!B63</f>
        <v>Pompaples</v>
      </c>
      <c r="C63" s="31">
        <f>Données!Z63</f>
        <v>860</v>
      </c>
      <c r="D63" s="179">
        <f>Ecrêtage!E63</f>
        <v>26.685529069767441</v>
      </c>
      <c r="E63" s="179">
        <f t="shared" si="1"/>
        <v>21.223449570090871</v>
      </c>
      <c r="F63" s="179">
        <f>+Données!X63</f>
        <v>66</v>
      </c>
      <c r="G63" s="296">
        <f t="shared" si="2"/>
        <v>-325253.60935155663</v>
      </c>
      <c r="H63" s="124">
        <f t="shared" si="3"/>
        <v>0.97526892106619001</v>
      </c>
      <c r="I63" s="42">
        <f t="shared" si="4"/>
        <v>-317209.73666517669</v>
      </c>
    </row>
    <row r="64" spans="1:9" x14ac:dyDescent="0.25">
      <c r="A64" s="38">
        <f>Données!A64</f>
        <v>5498</v>
      </c>
      <c r="B64" s="27" t="str">
        <f>Données!B64</f>
        <v>La Sarraz</v>
      </c>
      <c r="C64" s="31">
        <f>Données!Z64</f>
        <v>2608</v>
      </c>
      <c r="D64" s="179">
        <f>Ecrêtage!E64</f>
        <v>28.275396158672617</v>
      </c>
      <c r="E64" s="179">
        <f t="shared" si="1"/>
        <v>19.633582481185694</v>
      </c>
      <c r="F64" s="179">
        <f>+Données!X64</f>
        <v>66</v>
      </c>
      <c r="G64" s="296">
        <f t="shared" si="2"/>
        <v>-912462.10703681351</v>
      </c>
      <c r="H64" s="124">
        <f t="shared" si="3"/>
        <v>0.97526892106619001</v>
      </c>
      <c r="I64" s="42">
        <f t="shared" si="4"/>
        <v>-889895.93464357546</v>
      </c>
    </row>
    <row r="65" spans="1:9" x14ac:dyDescent="0.25">
      <c r="A65" s="38">
        <f>Données!A65</f>
        <v>5499</v>
      </c>
      <c r="B65" s="27" t="str">
        <f>Données!B65</f>
        <v>Senarclens</v>
      </c>
      <c r="C65" s="31">
        <f>Données!Z65</f>
        <v>496</v>
      </c>
      <c r="D65" s="179">
        <f>Ecrêtage!E65</f>
        <v>41.312254826936659</v>
      </c>
      <c r="E65" s="179">
        <f t="shared" si="1"/>
        <v>6.5967238129216526</v>
      </c>
      <c r="F65" s="179">
        <f>+Données!X65</f>
        <v>68.5</v>
      </c>
      <c r="G65" s="296">
        <f t="shared" si="2"/>
        <v>-60515.177832313042</v>
      </c>
      <c r="H65" s="124">
        <f t="shared" si="3"/>
        <v>1.0122109256520304</v>
      </c>
      <c r="I65" s="42">
        <f t="shared" si="4"/>
        <v>-61254.124169642819</v>
      </c>
    </row>
    <row r="66" spans="1:9" x14ac:dyDescent="0.25">
      <c r="A66" s="38">
        <f>Données!A66</f>
        <v>5501</v>
      </c>
      <c r="B66" s="27" t="str">
        <f>Données!B66</f>
        <v>Sullens</v>
      </c>
      <c r="C66" s="31">
        <f>Données!Z66</f>
        <v>1169</v>
      </c>
      <c r="D66" s="179">
        <f>Ecrêtage!E66</f>
        <v>46.055604015183917</v>
      </c>
      <c r="E66" s="179">
        <f t="shared" si="1"/>
        <v>1.8533746246743945</v>
      </c>
      <c r="F66" s="179">
        <f>+Données!X66</f>
        <v>64</v>
      </c>
      <c r="G66" s="296">
        <f t="shared" si="2"/>
        <v>-37438.760498302669</v>
      </c>
      <c r="H66" s="124">
        <f t="shared" si="3"/>
        <v>0.94571531739751757</v>
      </c>
      <c r="I66" s="42">
        <f t="shared" si="4"/>
        <v>-35406.409267621952</v>
      </c>
    </row>
    <row r="67" spans="1:9" x14ac:dyDescent="0.25">
      <c r="A67" s="38">
        <f>Données!A67</f>
        <v>5503</v>
      </c>
      <c r="B67" s="27" t="str">
        <f>Données!B67</f>
        <v>Vufflens-la-Ville</v>
      </c>
      <c r="C67" s="31">
        <f>Données!Z67</f>
        <v>1334</v>
      </c>
      <c r="D67" s="179">
        <f>Ecrêtage!E67</f>
        <v>56.832943304467165</v>
      </c>
      <c r="E67" s="179">
        <f t="shared" si="1"/>
        <v>0</v>
      </c>
      <c r="F67" s="179">
        <f>+Données!X67</f>
        <v>67</v>
      </c>
      <c r="G67" s="296">
        <f t="shared" si="2"/>
        <v>0</v>
      </c>
      <c r="H67" s="124">
        <f t="shared" si="3"/>
        <v>0.99004572290052617</v>
      </c>
      <c r="I67" s="42">
        <f t="shared" si="4"/>
        <v>0</v>
      </c>
    </row>
    <row r="68" spans="1:9" x14ac:dyDescent="0.25">
      <c r="A68" s="38">
        <f>Données!A68</f>
        <v>5511</v>
      </c>
      <c r="B68" s="27" t="str">
        <f>Données!B68</f>
        <v>Assens</v>
      </c>
      <c r="C68" s="31">
        <f>Données!Z68</f>
        <v>1669</v>
      </c>
      <c r="D68" s="179">
        <f>Ecrêtage!E68</f>
        <v>43.636368312933335</v>
      </c>
      <c r="E68" s="179">
        <f t="shared" si="1"/>
        <v>4.2726103269249762</v>
      </c>
      <c r="F68" s="179">
        <f>+Données!X68</f>
        <v>70</v>
      </c>
      <c r="G68" s="296">
        <f t="shared" si="2"/>
        <v>-134775.64741355416</v>
      </c>
      <c r="H68" s="124">
        <f t="shared" si="3"/>
        <v>1.0343761284035349</v>
      </c>
      <c r="I68" s="42">
        <f t="shared" si="4"/>
        <v>-139408.71237471205</v>
      </c>
    </row>
    <row r="69" spans="1:9" x14ac:dyDescent="0.25">
      <c r="A69" s="38">
        <f>Données!A69</f>
        <v>5512</v>
      </c>
      <c r="B69" s="27" t="str">
        <f>Données!B69</f>
        <v>Bercher</v>
      </c>
      <c r="C69" s="31">
        <f>Données!Z69</f>
        <v>1359</v>
      </c>
      <c r="D69" s="179">
        <f>Ecrêtage!E69</f>
        <v>30.314909883477242</v>
      </c>
      <c r="E69" s="179">
        <f t="shared" si="1"/>
        <v>17.59406875638107</v>
      </c>
      <c r="F69" s="179">
        <f>+Données!X69</f>
        <v>79</v>
      </c>
      <c r="G69" s="296">
        <f t="shared" si="2"/>
        <v>-510007.54025353357</v>
      </c>
      <c r="H69" s="124">
        <f t="shared" si="3"/>
        <v>1.1673673449125608</v>
      </c>
      <c r="I69" s="42">
        <f t="shared" si="4"/>
        <v>-595366.14815115347</v>
      </c>
    </row>
    <row r="70" spans="1:9" x14ac:dyDescent="0.25">
      <c r="A70" s="38">
        <f>Données!A70</f>
        <v>5514</v>
      </c>
      <c r="B70" s="27" t="str">
        <f>Données!B70</f>
        <v>Bottens</v>
      </c>
      <c r="C70" s="31">
        <f>Données!Z70</f>
        <v>1356</v>
      </c>
      <c r="D70" s="179">
        <f>Ecrêtage!E70</f>
        <v>33.710638083613055</v>
      </c>
      <c r="E70" s="179">
        <f t="shared" si="1"/>
        <v>14.198340556245256</v>
      </c>
      <c r="F70" s="179">
        <f>+Données!X70</f>
        <v>72.5</v>
      </c>
      <c r="G70" s="296">
        <f t="shared" si="2"/>
        <v>-376876.4922228072</v>
      </c>
      <c r="H70" s="124">
        <f t="shared" si="3"/>
        <v>1.0713181329893753</v>
      </c>
      <c r="I70" s="42">
        <f t="shared" si="4"/>
        <v>-403754.62001572264</v>
      </c>
    </row>
    <row r="71" spans="1:9" x14ac:dyDescent="0.25">
      <c r="A71" s="38">
        <f>Données!A71</f>
        <v>5515</v>
      </c>
      <c r="B71" s="27" t="str">
        <f>Données!B71</f>
        <v>Bretigny-sur-Morrens</v>
      </c>
      <c r="C71" s="31">
        <f>Données!Z71</f>
        <v>878</v>
      </c>
      <c r="D71" s="179">
        <f>Ecrêtage!E71</f>
        <v>33.353994509666492</v>
      </c>
      <c r="E71" s="179">
        <f t="shared" ref="E71:E134" si="5">IF($D$306-D71&lt;0,0,$D$306-D71)</f>
        <v>14.554984130191819</v>
      </c>
      <c r="F71" s="179">
        <f>+Données!X71</f>
        <v>78</v>
      </c>
      <c r="G71" s="296">
        <f t="shared" ref="G71:G134" si="6">-((C71*E71*F71)*$E$5)</f>
        <v>-269131.55395645526</v>
      </c>
      <c r="H71" s="124">
        <f t="shared" ref="H71:H134" si="7">F71/$F$306</f>
        <v>1.1525905430782244</v>
      </c>
      <c r="I71" s="42">
        <f t="shared" ref="I71:I134" si="8">G71*H71</f>
        <v>-310198.48393415724</v>
      </c>
    </row>
    <row r="72" spans="1:9" x14ac:dyDescent="0.25">
      <c r="A72" s="38">
        <f>Données!A72</f>
        <v>5516</v>
      </c>
      <c r="B72" s="27" t="str">
        <f>Données!B72</f>
        <v>Cugy</v>
      </c>
      <c r="C72" s="31">
        <f>Données!Z72</f>
        <v>2697</v>
      </c>
      <c r="D72" s="179">
        <f>Ecrêtage!E72</f>
        <v>40.892174134353311</v>
      </c>
      <c r="E72" s="179">
        <f t="shared" si="5"/>
        <v>7.0168045055050001</v>
      </c>
      <c r="F72" s="179">
        <f>+Données!X72</f>
        <v>76</v>
      </c>
      <c r="G72" s="296">
        <f t="shared" si="6"/>
        <v>-388327.08233764017</v>
      </c>
      <c r="H72" s="124">
        <f t="shared" si="7"/>
        <v>1.1230369394095521</v>
      </c>
      <c r="I72" s="42">
        <f t="shared" si="8"/>
        <v>-436105.65803830454</v>
      </c>
    </row>
    <row r="73" spans="1:9" x14ac:dyDescent="0.25">
      <c r="A73" s="38">
        <f>Données!A73</f>
        <v>5518</v>
      </c>
      <c r="B73" s="27" t="str">
        <f>Données!B73</f>
        <v>Echallens</v>
      </c>
      <c r="C73" s="31">
        <f>Données!Z73</f>
        <v>5816</v>
      </c>
      <c r="D73" s="179">
        <f>Ecrêtage!E73</f>
        <v>33.23111514016032</v>
      </c>
      <c r="E73" s="179">
        <f t="shared" si="5"/>
        <v>14.677863499697992</v>
      </c>
      <c r="F73" s="179">
        <f>+Données!X73</f>
        <v>72.5</v>
      </c>
      <c r="G73" s="296">
        <f t="shared" si="6"/>
        <v>-1671048.3392863169</v>
      </c>
      <c r="H73" s="124">
        <f t="shared" si="7"/>
        <v>1.0713181329893753</v>
      </c>
      <c r="I73" s="42">
        <f t="shared" si="8"/>
        <v>-1790224.3869792132</v>
      </c>
    </row>
    <row r="74" spans="1:9" x14ac:dyDescent="0.25">
      <c r="A74" s="38">
        <f>Données!A74</f>
        <v>5520</v>
      </c>
      <c r="B74" s="27" t="str">
        <f>Données!B74</f>
        <v>Essertines-sur-Yverdon</v>
      </c>
      <c r="C74" s="31">
        <f>Données!Z74</f>
        <v>1081</v>
      </c>
      <c r="D74" s="179">
        <f>Ecrêtage!E74</f>
        <v>29.06716366227467</v>
      </c>
      <c r="E74" s="179">
        <f t="shared" si="5"/>
        <v>18.841814977583642</v>
      </c>
      <c r="F74" s="179">
        <f>+Données!X74</f>
        <v>74</v>
      </c>
      <c r="G74" s="296">
        <f t="shared" si="6"/>
        <v>-406952.67977554299</v>
      </c>
      <c r="H74" s="124">
        <f t="shared" si="7"/>
        <v>1.0934833357408797</v>
      </c>
      <c r="I74" s="42">
        <f t="shared" si="8"/>
        <v>-444995.97376965079</v>
      </c>
    </row>
    <row r="75" spans="1:9" x14ac:dyDescent="0.25">
      <c r="A75" s="38">
        <f>Données!A75</f>
        <v>5521</v>
      </c>
      <c r="B75" s="27" t="str">
        <f>Données!B75</f>
        <v>Etagnières</v>
      </c>
      <c r="C75" s="31">
        <f>Données!Z75</f>
        <v>1154</v>
      </c>
      <c r="D75" s="179">
        <f>Ecrêtage!E75</f>
        <v>40.889870254742299</v>
      </c>
      <c r="E75" s="179">
        <f t="shared" si="5"/>
        <v>7.019108385116013</v>
      </c>
      <c r="F75" s="179">
        <f>+Données!X75</f>
        <v>73</v>
      </c>
      <c r="G75" s="296">
        <f t="shared" si="6"/>
        <v>-159652.00671631467</v>
      </c>
      <c r="H75" s="124">
        <f t="shared" si="7"/>
        <v>1.0787065339065434</v>
      </c>
      <c r="I75" s="42">
        <f t="shared" si="8"/>
        <v>-172217.66279618</v>
      </c>
    </row>
    <row r="76" spans="1:9" x14ac:dyDescent="0.25">
      <c r="A76" s="38">
        <f>Données!A76</f>
        <v>5522</v>
      </c>
      <c r="B76" s="27" t="str">
        <f>Données!B76</f>
        <v>Fey</v>
      </c>
      <c r="C76" s="31">
        <f>Données!Z76</f>
        <v>736</v>
      </c>
      <c r="D76" s="179">
        <f>Ecrêtage!E76</f>
        <v>32.841929891304346</v>
      </c>
      <c r="E76" s="179">
        <f t="shared" si="5"/>
        <v>15.067048748553965</v>
      </c>
      <c r="F76" s="179">
        <f>+Données!X76</f>
        <v>75</v>
      </c>
      <c r="G76" s="296">
        <f t="shared" si="6"/>
        <v>-224559.29454844829</v>
      </c>
      <c r="H76" s="124">
        <f t="shared" si="7"/>
        <v>1.1082601375752159</v>
      </c>
      <c r="I76" s="42">
        <f t="shared" si="8"/>
        <v>-248870.11467005673</v>
      </c>
    </row>
    <row r="77" spans="1:9" x14ac:dyDescent="0.25">
      <c r="A77" s="38">
        <f>Données!A77</f>
        <v>5523</v>
      </c>
      <c r="B77" s="27" t="str">
        <f>Données!B77</f>
        <v>Froideville</v>
      </c>
      <c r="C77" s="31">
        <f>Données!Z77</f>
        <v>2720</v>
      </c>
      <c r="D77" s="179">
        <f>Ecrêtage!E77</f>
        <v>33.905680810866009</v>
      </c>
      <c r="E77" s="179">
        <f t="shared" si="5"/>
        <v>14.003297828992302</v>
      </c>
      <c r="F77" s="179">
        <f>+Données!X77</f>
        <v>72</v>
      </c>
      <c r="G77" s="296">
        <f t="shared" si="6"/>
        <v>-740449.57864406018</v>
      </c>
      <c r="H77" s="124">
        <f t="shared" si="7"/>
        <v>1.0639297320722072</v>
      </c>
      <c r="I77" s="42">
        <f t="shared" si="8"/>
        <v>-787786.32181975362</v>
      </c>
    </row>
    <row r="78" spans="1:9" x14ac:dyDescent="0.25">
      <c r="A78" s="38">
        <f>Données!A78</f>
        <v>5527</v>
      </c>
      <c r="B78" s="27" t="str">
        <f>Données!B78</f>
        <v>Morrens</v>
      </c>
      <c r="C78" s="31">
        <f>Données!Z78</f>
        <v>1172</v>
      </c>
      <c r="D78" s="179">
        <f>Ecrêtage!E78</f>
        <v>34.745913084586292</v>
      </c>
      <c r="E78" s="179">
        <f t="shared" si="5"/>
        <v>13.16306555527202</v>
      </c>
      <c r="F78" s="179">
        <f>+Données!X78</f>
        <v>74</v>
      </c>
      <c r="G78" s="296">
        <f t="shared" si="6"/>
        <v>-308233.71435896057</v>
      </c>
      <c r="H78" s="124">
        <f t="shared" si="7"/>
        <v>1.0934833357408797</v>
      </c>
      <c r="I78" s="42">
        <f t="shared" si="8"/>
        <v>-337048.43016503769</v>
      </c>
    </row>
    <row r="79" spans="1:9" x14ac:dyDescent="0.25">
      <c r="A79" s="38">
        <f>Données!A79</f>
        <v>5529</v>
      </c>
      <c r="B79" s="27" t="str">
        <f>Données!B79</f>
        <v>Oulens-sous-Echallens</v>
      </c>
      <c r="C79" s="31">
        <f>Données!Z79</f>
        <v>606</v>
      </c>
      <c r="D79" s="179">
        <f>Ecrêtage!E79</f>
        <v>37.420253335192676</v>
      </c>
      <c r="E79" s="179">
        <f t="shared" si="5"/>
        <v>10.488725304665635</v>
      </c>
      <c r="F79" s="179">
        <f>+Données!X79</f>
        <v>71</v>
      </c>
      <c r="G79" s="296">
        <f t="shared" si="6"/>
        <v>-121847.7316388068</v>
      </c>
      <c r="H79" s="124">
        <f t="shared" si="7"/>
        <v>1.049152930237871</v>
      </c>
      <c r="I79" s="42">
        <f t="shared" si="8"/>
        <v>-127836.9046916919</v>
      </c>
    </row>
    <row r="80" spans="1:9" x14ac:dyDescent="0.25">
      <c r="A80" s="38">
        <f>Données!A80</f>
        <v>5530</v>
      </c>
      <c r="B80" s="27" t="str">
        <f>Données!B80</f>
        <v>Pailly</v>
      </c>
      <c r="C80" s="31">
        <f>Données!Z80</f>
        <v>566</v>
      </c>
      <c r="D80" s="179">
        <f>Ecrêtage!E80</f>
        <v>35.969336254726919</v>
      </c>
      <c r="E80" s="179">
        <f t="shared" si="5"/>
        <v>11.939642385131393</v>
      </c>
      <c r="F80" s="179">
        <f>+Données!X80</f>
        <v>76</v>
      </c>
      <c r="G80" s="296">
        <f t="shared" si="6"/>
        <v>-138670.82734647926</v>
      </c>
      <c r="H80" s="124">
        <f t="shared" si="7"/>
        <v>1.1230369394095521</v>
      </c>
      <c r="I80" s="42">
        <f t="shared" si="8"/>
        <v>-155732.46152858049</v>
      </c>
    </row>
    <row r="81" spans="1:9" x14ac:dyDescent="0.25">
      <c r="A81" s="38">
        <f>Données!A81</f>
        <v>5531</v>
      </c>
      <c r="B81" s="27" t="str">
        <f>Données!B81</f>
        <v>Penthéréaz</v>
      </c>
      <c r="C81" s="31">
        <f>Données!Z81</f>
        <v>433</v>
      </c>
      <c r="D81" s="179">
        <f>Ecrêtage!E81</f>
        <v>39.95211503651457</v>
      </c>
      <c r="E81" s="179">
        <f t="shared" si="5"/>
        <v>7.9568636033437414</v>
      </c>
      <c r="F81" s="179">
        <f>+Données!X81</f>
        <v>74</v>
      </c>
      <c r="G81" s="296">
        <f t="shared" si="6"/>
        <v>-68837.532366151849</v>
      </c>
      <c r="H81" s="124">
        <f t="shared" si="7"/>
        <v>1.0934833357408797</v>
      </c>
      <c r="I81" s="42">
        <f t="shared" si="8"/>
        <v>-75272.694515910494</v>
      </c>
    </row>
    <row r="82" spans="1:9" x14ac:dyDescent="0.25">
      <c r="A82" s="38">
        <f>Données!A82</f>
        <v>5533</v>
      </c>
      <c r="B82" s="27" t="str">
        <f>Données!B82</f>
        <v>Poliez-Pittet</v>
      </c>
      <c r="C82" s="31">
        <f>Données!Z82</f>
        <v>848</v>
      </c>
      <c r="D82" s="179">
        <f>Ecrêtage!E82</f>
        <v>33.032322790126649</v>
      </c>
      <c r="E82" s="179">
        <f t="shared" si="5"/>
        <v>14.876655849731662</v>
      </c>
      <c r="F82" s="179">
        <f>+Données!X82</f>
        <v>73</v>
      </c>
      <c r="G82" s="296">
        <f t="shared" si="6"/>
        <v>-248649.61600488299</v>
      </c>
      <c r="H82" s="124">
        <f t="shared" si="7"/>
        <v>1.0787065339065434</v>
      </c>
      <c r="I82" s="42">
        <f t="shared" si="8"/>
        <v>-268219.9654378203</v>
      </c>
    </row>
    <row r="83" spans="1:9" x14ac:dyDescent="0.25">
      <c r="A83" s="38">
        <f>Données!A83</f>
        <v>5534</v>
      </c>
      <c r="B83" s="27" t="str">
        <f>Données!B83</f>
        <v>Rueyres</v>
      </c>
      <c r="C83" s="31">
        <f>Données!Z83</f>
        <v>303</v>
      </c>
      <c r="D83" s="179">
        <f>Ecrêtage!E83</f>
        <v>49.63554282140543</v>
      </c>
      <c r="E83" s="179">
        <f t="shared" si="5"/>
        <v>0</v>
      </c>
      <c r="F83" s="179">
        <f>+Données!X83</f>
        <v>73</v>
      </c>
      <c r="G83" s="296">
        <f t="shared" si="6"/>
        <v>0</v>
      </c>
      <c r="H83" s="124">
        <f t="shared" si="7"/>
        <v>1.0787065339065434</v>
      </c>
      <c r="I83" s="42">
        <f t="shared" si="8"/>
        <v>0</v>
      </c>
    </row>
    <row r="84" spans="1:9" x14ac:dyDescent="0.25">
      <c r="A84" s="38">
        <f>Données!A84</f>
        <v>5535</v>
      </c>
      <c r="B84" s="27" t="str">
        <f>Données!B84</f>
        <v>Saint-Barthélemy</v>
      </c>
      <c r="C84" s="31">
        <f>Données!Z84</f>
        <v>814</v>
      </c>
      <c r="D84" s="179">
        <f>Ecrêtage!E84</f>
        <v>31.317347256347251</v>
      </c>
      <c r="E84" s="179">
        <f t="shared" si="5"/>
        <v>16.591631383511061</v>
      </c>
      <c r="F84" s="179">
        <f>+Données!X84</f>
        <v>75</v>
      </c>
      <c r="G84" s="296">
        <f t="shared" si="6"/>
        <v>-273488.15591010457</v>
      </c>
      <c r="H84" s="124">
        <f t="shared" si="7"/>
        <v>1.1082601375752159</v>
      </c>
      <c r="I84" s="42">
        <f t="shared" si="8"/>
        <v>-303096.0212941246</v>
      </c>
    </row>
    <row r="85" spans="1:9" x14ac:dyDescent="0.25">
      <c r="A85" s="38">
        <f>Données!A85</f>
        <v>5537</v>
      </c>
      <c r="B85" s="27" t="str">
        <f>Données!B85</f>
        <v>Villars-le-Terroir</v>
      </c>
      <c r="C85" s="31">
        <f>Données!Z85</f>
        <v>1308</v>
      </c>
      <c r="D85" s="179">
        <f>Ecrêtage!E85</f>
        <v>29.940386588604539</v>
      </c>
      <c r="E85" s="179">
        <f t="shared" si="5"/>
        <v>17.968592051253772</v>
      </c>
      <c r="F85" s="179">
        <f>+Données!X85</f>
        <v>76</v>
      </c>
      <c r="G85" s="296">
        <f t="shared" si="6"/>
        <v>-482279.88563037949</v>
      </c>
      <c r="H85" s="124">
        <f t="shared" si="7"/>
        <v>1.1230369394095521</v>
      </c>
      <c r="I85" s="42">
        <f t="shared" si="8"/>
        <v>-541618.12669713015</v>
      </c>
    </row>
    <row r="86" spans="1:9" x14ac:dyDescent="0.25">
      <c r="A86" s="38">
        <f>Données!A86</f>
        <v>5539</v>
      </c>
      <c r="B86" s="27" t="str">
        <f>Données!B86</f>
        <v>Vuarrens</v>
      </c>
      <c r="C86" s="31">
        <f>Données!Z86</f>
        <v>1106</v>
      </c>
      <c r="D86" s="179">
        <f>Ecrêtage!E86</f>
        <v>31.141318749923116</v>
      </c>
      <c r="E86" s="179">
        <f t="shared" si="5"/>
        <v>16.767659889935196</v>
      </c>
      <c r="F86" s="179">
        <f>+Données!X86</f>
        <v>73.5</v>
      </c>
      <c r="G86" s="296">
        <f t="shared" si="6"/>
        <v>-368026.15683043498</v>
      </c>
      <c r="H86" s="124">
        <f t="shared" si="7"/>
        <v>1.0860949348237114</v>
      </c>
      <c r="I86" s="42">
        <f t="shared" si="8"/>
        <v>-399711.34481617226</v>
      </c>
    </row>
    <row r="87" spans="1:9" x14ac:dyDescent="0.25">
      <c r="A87" s="38">
        <f>Données!A87</f>
        <v>5540</v>
      </c>
      <c r="B87" s="27" t="str">
        <f>Données!B87</f>
        <v>Montilliez</v>
      </c>
      <c r="C87" s="31">
        <f>Données!Z87</f>
        <v>1895</v>
      </c>
      <c r="D87" s="179">
        <f>Ecrêtage!E87</f>
        <v>35.600282904194344</v>
      </c>
      <c r="E87" s="179">
        <f t="shared" si="5"/>
        <v>12.308695735663967</v>
      </c>
      <c r="F87" s="179">
        <f>+Données!X87</f>
        <v>72.5</v>
      </c>
      <c r="G87" s="296">
        <f t="shared" si="6"/>
        <v>-456586.45255355403</v>
      </c>
      <c r="H87" s="124">
        <f t="shared" si="7"/>
        <v>1.0713181329893753</v>
      </c>
      <c r="I87" s="42">
        <f t="shared" si="8"/>
        <v>-489149.34589791548</v>
      </c>
    </row>
    <row r="88" spans="1:9" x14ac:dyDescent="0.25">
      <c r="A88" s="38">
        <f>Données!A88</f>
        <v>5541</v>
      </c>
      <c r="B88" s="27" t="str">
        <f>Données!B88</f>
        <v>Goumoëns</v>
      </c>
      <c r="C88" s="31">
        <f>Données!Z88</f>
        <v>1175</v>
      </c>
      <c r="D88" s="179">
        <f>Ecrêtage!E88</f>
        <v>35.511345751726083</v>
      </c>
      <c r="E88" s="179">
        <f t="shared" si="5"/>
        <v>12.397632888132229</v>
      </c>
      <c r="F88" s="179">
        <f>+Données!X88</f>
        <v>75.5</v>
      </c>
      <c r="G88" s="296">
        <f t="shared" si="6"/>
        <v>-296952.75204887619</v>
      </c>
      <c r="H88" s="124">
        <f t="shared" si="7"/>
        <v>1.115648538492384</v>
      </c>
      <c r="I88" s="42">
        <f t="shared" si="8"/>
        <v>-331294.90382462001</v>
      </c>
    </row>
    <row r="89" spans="1:9" x14ac:dyDescent="0.25">
      <c r="A89" s="38">
        <f>Données!A89</f>
        <v>5551</v>
      </c>
      <c r="B89" s="27" t="str">
        <f>Données!B89</f>
        <v>Bonvillars</v>
      </c>
      <c r="C89" s="31">
        <f>Données!Z89</f>
        <v>501</v>
      </c>
      <c r="D89" s="179">
        <f>Ecrêtage!E89</f>
        <v>37.074665312232668</v>
      </c>
      <c r="E89" s="179">
        <f t="shared" si="5"/>
        <v>10.834313327625644</v>
      </c>
      <c r="F89" s="179">
        <f>+Données!X89</f>
        <v>56</v>
      </c>
      <c r="G89" s="296">
        <f t="shared" si="6"/>
        <v>-82071.223574363568</v>
      </c>
      <c r="H89" s="124">
        <f t="shared" si="7"/>
        <v>0.82750090272282784</v>
      </c>
      <c r="I89" s="42">
        <f t="shared" si="8"/>
        <v>-67914.011595352888</v>
      </c>
    </row>
    <row r="90" spans="1:9" x14ac:dyDescent="0.25">
      <c r="A90" s="38">
        <f>Données!A90</f>
        <v>5552</v>
      </c>
      <c r="B90" s="27" t="str">
        <f>Données!B90</f>
        <v>Bullet</v>
      </c>
      <c r="C90" s="31">
        <f>Données!Z90</f>
        <v>651</v>
      </c>
      <c r="D90" s="179">
        <f>Ecrêtage!E90</f>
        <v>29.244958482377836</v>
      </c>
      <c r="E90" s="179">
        <f t="shared" si="5"/>
        <v>18.664020157480476</v>
      </c>
      <c r="F90" s="179">
        <f>+Données!X90</f>
        <v>71.5</v>
      </c>
      <c r="G90" s="296">
        <f t="shared" si="6"/>
        <v>-234561.09985024456</v>
      </c>
      <c r="H90" s="124">
        <f t="shared" si="7"/>
        <v>1.0565413311550391</v>
      </c>
      <c r="I90" s="42">
        <f t="shared" si="8"/>
        <v>-247823.49667296742</v>
      </c>
    </row>
    <row r="91" spans="1:9" x14ac:dyDescent="0.25">
      <c r="A91" s="38">
        <f>Données!A91</f>
        <v>5553</v>
      </c>
      <c r="B91" s="27" t="str">
        <f>Données!B91</f>
        <v>Champagne</v>
      </c>
      <c r="C91" s="31">
        <f>Données!Z91</f>
        <v>1077</v>
      </c>
      <c r="D91" s="179">
        <f>Ecrêtage!E91</f>
        <v>35.525554317548746</v>
      </c>
      <c r="E91" s="179">
        <f t="shared" si="5"/>
        <v>12.383424322309565</v>
      </c>
      <c r="F91" s="179">
        <f>+Données!X91</f>
        <v>65</v>
      </c>
      <c r="G91" s="296">
        <f t="shared" si="6"/>
        <v>-234063.43731448593</v>
      </c>
      <c r="H91" s="124">
        <f t="shared" si="7"/>
        <v>0.96049211923185374</v>
      </c>
      <c r="I91" s="42">
        <f t="shared" si="8"/>
        <v>-224816.08694088273</v>
      </c>
    </row>
    <row r="92" spans="1:9" x14ac:dyDescent="0.25">
      <c r="A92" s="38">
        <f>Données!A92</f>
        <v>5554</v>
      </c>
      <c r="B92" s="27" t="str">
        <f>Données!B92</f>
        <v>Concise</v>
      </c>
      <c r="C92" s="31">
        <f>Données!Z92</f>
        <v>1002</v>
      </c>
      <c r="D92" s="179">
        <f>Ecrêtage!E92</f>
        <v>33.839229540918168</v>
      </c>
      <c r="E92" s="179">
        <f t="shared" si="5"/>
        <v>14.069749098940143</v>
      </c>
      <c r="F92" s="179">
        <f>+Données!X92</f>
        <v>75</v>
      </c>
      <c r="G92" s="296">
        <f t="shared" si="6"/>
        <v>-285482.244092045</v>
      </c>
      <c r="H92" s="124">
        <f t="shared" si="7"/>
        <v>1.1082601375752159</v>
      </c>
      <c r="I92" s="42">
        <f t="shared" si="8"/>
        <v>-316388.59111273114</v>
      </c>
    </row>
    <row r="93" spans="1:9" x14ac:dyDescent="0.25">
      <c r="A93" s="38">
        <f>Données!A93</f>
        <v>5555</v>
      </c>
      <c r="B93" s="27" t="str">
        <f>Données!B93</f>
        <v>Corcelles-près-Concise</v>
      </c>
      <c r="C93" s="31">
        <f>Données!Z93</f>
        <v>412</v>
      </c>
      <c r="D93" s="179">
        <f>Ecrêtage!E93</f>
        <v>32.58527508090615</v>
      </c>
      <c r="E93" s="179">
        <f t="shared" si="5"/>
        <v>15.323703558952161</v>
      </c>
      <c r="F93" s="179">
        <f>+Données!X93</f>
        <v>69</v>
      </c>
      <c r="G93" s="296">
        <f t="shared" si="6"/>
        <v>-117618.00608895085</v>
      </c>
      <c r="H93" s="124">
        <f t="shared" si="7"/>
        <v>1.0195993265691985</v>
      </c>
      <c r="I93" s="42">
        <f t="shared" si="8"/>
        <v>-119923.23980070617</v>
      </c>
    </row>
    <row r="94" spans="1:9" x14ac:dyDescent="0.25">
      <c r="A94" s="38">
        <f>Données!A94</f>
        <v>5556</v>
      </c>
      <c r="B94" s="27" t="str">
        <f>Données!B94</f>
        <v>Fiez</v>
      </c>
      <c r="C94" s="31">
        <f>Données!Z94</f>
        <v>436</v>
      </c>
      <c r="D94" s="179">
        <f>Ecrêtage!E94</f>
        <v>30.514169769090991</v>
      </c>
      <c r="E94" s="179">
        <f t="shared" si="5"/>
        <v>17.394808870767321</v>
      </c>
      <c r="F94" s="179">
        <f>+Données!X94</f>
        <v>69</v>
      </c>
      <c r="G94" s="296">
        <f t="shared" si="6"/>
        <v>-141292.46611840432</v>
      </c>
      <c r="H94" s="124">
        <f t="shared" si="7"/>
        <v>1.0195993265691985</v>
      </c>
      <c r="I94" s="42">
        <f t="shared" si="8"/>
        <v>-144061.70330362633</v>
      </c>
    </row>
    <row r="95" spans="1:9" x14ac:dyDescent="0.25">
      <c r="A95" s="38">
        <f>Données!A95</f>
        <v>5557</v>
      </c>
      <c r="B95" s="27" t="str">
        <f>Données!B95</f>
        <v>Fontaines-sur-Grandson</v>
      </c>
      <c r="C95" s="31">
        <f>Données!Z95</f>
        <v>214</v>
      </c>
      <c r="D95" s="179">
        <f>Ecrêtage!E95</f>
        <v>23.825625761885412</v>
      </c>
      <c r="E95" s="179">
        <f t="shared" si="5"/>
        <v>24.083352877972899</v>
      </c>
      <c r="F95" s="179">
        <f>+Données!X95</f>
        <v>69</v>
      </c>
      <c r="G95" s="296">
        <f t="shared" si="6"/>
        <v>-96015.992920959921</v>
      </c>
      <c r="H95" s="124">
        <f t="shared" si="7"/>
        <v>1.0195993265691985</v>
      </c>
      <c r="I95" s="42">
        <f t="shared" si="8"/>
        <v>-97897.841722083671</v>
      </c>
    </row>
    <row r="96" spans="1:9" x14ac:dyDescent="0.25">
      <c r="A96" s="38">
        <f>Données!A96</f>
        <v>5559</v>
      </c>
      <c r="B96" s="27" t="str">
        <f>Données!B96</f>
        <v>Giez</v>
      </c>
      <c r="C96" s="31">
        <f>Données!Z96</f>
        <v>450</v>
      </c>
      <c r="D96" s="179">
        <f>Ecrêtage!E96</f>
        <v>46.68792053872054</v>
      </c>
      <c r="E96" s="179">
        <f t="shared" si="5"/>
        <v>1.2210581011377712</v>
      </c>
      <c r="F96" s="179">
        <f>+Données!X96</f>
        <v>66</v>
      </c>
      <c r="G96" s="296">
        <f t="shared" si="6"/>
        <v>-9791.6649130237893</v>
      </c>
      <c r="H96" s="124">
        <f t="shared" si="7"/>
        <v>0.97526892106619001</v>
      </c>
      <c r="I96" s="42">
        <f t="shared" si="8"/>
        <v>-9549.5064751663795</v>
      </c>
    </row>
    <row r="97" spans="1:9" x14ac:dyDescent="0.25">
      <c r="A97" s="38">
        <f>Données!A97</f>
        <v>5560</v>
      </c>
      <c r="B97" s="27" t="str">
        <f>Données!B97</f>
        <v>Grandevent</v>
      </c>
      <c r="C97" s="31">
        <f>Données!Z97</f>
        <v>237</v>
      </c>
      <c r="D97" s="179">
        <f>Ecrêtage!E97</f>
        <v>37.95823616806323</v>
      </c>
      <c r="E97" s="179">
        <f t="shared" si="5"/>
        <v>9.9507424717950812</v>
      </c>
      <c r="F97" s="179">
        <f>+Données!X97</f>
        <v>71</v>
      </c>
      <c r="G97" s="296">
        <f t="shared" si="6"/>
        <v>-45209.108764681878</v>
      </c>
      <c r="H97" s="124">
        <f t="shared" si="7"/>
        <v>1.049152930237871</v>
      </c>
      <c r="I97" s="42">
        <f t="shared" si="8"/>
        <v>-47431.268933908614</v>
      </c>
    </row>
    <row r="98" spans="1:9" x14ac:dyDescent="0.25">
      <c r="A98" s="38">
        <f>Données!A98</f>
        <v>5561</v>
      </c>
      <c r="B98" s="27" t="str">
        <f>Données!B98</f>
        <v>Grandson</v>
      </c>
      <c r="C98" s="31">
        <f>Données!Z98</f>
        <v>3358</v>
      </c>
      <c r="D98" s="179">
        <f>Ecrêtage!E98</f>
        <v>39.420223088277183</v>
      </c>
      <c r="E98" s="179">
        <f t="shared" si="5"/>
        <v>8.4887555515811286</v>
      </c>
      <c r="F98" s="179">
        <f>+Données!X98</f>
        <v>69</v>
      </c>
      <c r="G98" s="296">
        <f t="shared" si="6"/>
        <v>-531052.64247936173</v>
      </c>
      <c r="H98" s="124">
        <f t="shared" si="7"/>
        <v>1.0195993265691985</v>
      </c>
      <c r="I98" s="42">
        <f t="shared" si="8"/>
        <v>-541460.91664475051</v>
      </c>
    </row>
    <row r="99" spans="1:9" x14ac:dyDescent="0.25">
      <c r="A99" s="38">
        <f>Données!A99</f>
        <v>5562</v>
      </c>
      <c r="B99" s="27" t="str">
        <f>Données!B99</f>
        <v>Mauborget</v>
      </c>
      <c r="C99" s="31">
        <f>Données!Z99</f>
        <v>138</v>
      </c>
      <c r="D99" s="179">
        <f>Ecrêtage!E99</f>
        <v>33.042117839889571</v>
      </c>
      <c r="E99" s="179">
        <f t="shared" si="5"/>
        <v>14.866860799968741</v>
      </c>
      <c r="F99" s="179">
        <f>+Données!X99</f>
        <v>70</v>
      </c>
      <c r="G99" s="296">
        <f t="shared" si="6"/>
        <v>-38775.746338478471</v>
      </c>
      <c r="H99" s="124">
        <f t="shared" si="7"/>
        <v>1.0343761284035349</v>
      </c>
      <c r="I99" s="42">
        <f t="shared" si="8"/>
        <v>-40108.706373552908</v>
      </c>
    </row>
    <row r="100" spans="1:9" x14ac:dyDescent="0.25">
      <c r="A100" s="38">
        <f>Données!A100</f>
        <v>5563</v>
      </c>
      <c r="B100" s="27" t="str">
        <f>Données!B100</f>
        <v>Mutrux</v>
      </c>
      <c r="C100" s="31">
        <f>Données!Z100</f>
        <v>151</v>
      </c>
      <c r="D100" s="179">
        <f>Ecrêtage!E100</f>
        <v>15.113130794701984</v>
      </c>
      <c r="E100" s="179">
        <f t="shared" si="5"/>
        <v>32.795847845156331</v>
      </c>
      <c r="F100" s="179">
        <f>+Données!X100</f>
        <v>80</v>
      </c>
      <c r="G100" s="296">
        <f t="shared" si="6"/>
        <v>-106966.9373317619</v>
      </c>
      <c r="H100" s="124">
        <f t="shared" si="7"/>
        <v>1.1821441467468969</v>
      </c>
      <c r="I100" s="42">
        <f t="shared" si="8"/>
        <v>-126450.33886218448</v>
      </c>
    </row>
    <row r="101" spans="1:9" x14ac:dyDescent="0.25">
      <c r="A101" s="38">
        <f>Données!A101</f>
        <v>5564</v>
      </c>
      <c r="B101" s="27" t="str">
        <f>Données!B101</f>
        <v>Novalles</v>
      </c>
      <c r="C101" s="31">
        <f>Données!Z101</f>
        <v>99</v>
      </c>
      <c r="D101" s="179">
        <f>Ecrêtage!E101</f>
        <v>25.746183213716115</v>
      </c>
      <c r="E101" s="179">
        <f t="shared" si="5"/>
        <v>22.162795426142196</v>
      </c>
      <c r="F101" s="179">
        <f>+Données!X101</f>
        <v>76</v>
      </c>
      <c r="G101" s="296">
        <f t="shared" si="6"/>
        <v>-45023.275652299359</v>
      </c>
      <c r="H101" s="124">
        <f t="shared" si="7"/>
        <v>1.1230369394095521</v>
      </c>
      <c r="I101" s="42">
        <f t="shared" si="8"/>
        <v>-50562.801690750879</v>
      </c>
    </row>
    <row r="102" spans="1:9" x14ac:dyDescent="0.25">
      <c r="A102" s="38">
        <f>Données!A102</f>
        <v>5565</v>
      </c>
      <c r="B102" s="27" t="str">
        <f>Données!B102</f>
        <v>Onnens</v>
      </c>
      <c r="C102" s="31">
        <f>Données!Z102</f>
        <v>496</v>
      </c>
      <c r="D102" s="179">
        <f>Ecrêtage!E102</f>
        <v>38.393231838963686</v>
      </c>
      <c r="E102" s="179">
        <f t="shared" si="5"/>
        <v>9.5157468008946253</v>
      </c>
      <c r="F102" s="179">
        <f>+Données!X102</f>
        <v>63.5</v>
      </c>
      <c r="G102" s="296">
        <f t="shared" si="6"/>
        <v>-80921.149535063829</v>
      </c>
      <c r="H102" s="124">
        <f t="shared" si="7"/>
        <v>0.93832691648034938</v>
      </c>
      <c r="I102" s="42">
        <f t="shared" si="8"/>
        <v>-75930.492721281698</v>
      </c>
    </row>
    <row r="103" spans="1:9" x14ac:dyDescent="0.25">
      <c r="A103" s="38">
        <f>Données!A103</f>
        <v>5566</v>
      </c>
      <c r="B103" s="27" t="str">
        <f>Données!B103</f>
        <v>Provence</v>
      </c>
      <c r="C103" s="31">
        <f>Données!Z103</f>
        <v>403</v>
      </c>
      <c r="D103" s="179">
        <f>Ecrêtage!E103</f>
        <v>21.163186390139792</v>
      </c>
      <c r="E103" s="179">
        <f t="shared" si="5"/>
        <v>26.745792249718519</v>
      </c>
      <c r="F103" s="179">
        <f>+Données!X103</f>
        <v>81</v>
      </c>
      <c r="G103" s="296">
        <f t="shared" si="6"/>
        <v>-235726.98203004166</v>
      </c>
      <c r="H103" s="124">
        <f t="shared" si="7"/>
        <v>1.1969209485812331</v>
      </c>
      <c r="I103" s="42">
        <f t="shared" si="8"/>
        <v>-282146.56293758878</v>
      </c>
    </row>
    <row r="104" spans="1:9" x14ac:dyDescent="0.25">
      <c r="A104" s="38">
        <f>Données!A104</f>
        <v>5568</v>
      </c>
      <c r="B104" s="27" t="str">
        <f>Données!B104</f>
        <v>Sainte-Croix</v>
      </c>
      <c r="C104" s="31">
        <f>Données!Z104</f>
        <v>4869</v>
      </c>
      <c r="D104" s="179">
        <f>Ecrêtage!E104</f>
        <v>21.771012733620864</v>
      </c>
      <c r="E104" s="179">
        <f t="shared" si="5"/>
        <v>26.137965906237447</v>
      </c>
      <c r="F104" s="179">
        <f>+Données!X104</f>
        <v>70</v>
      </c>
      <c r="G104" s="296">
        <f t="shared" si="6"/>
        <v>-2405322.7883521854</v>
      </c>
      <c r="H104" s="124">
        <f t="shared" si="7"/>
        <v>1.0343761284035349</v>
      </c>
      <c r="I104" s="42">
        <f t="shared" si="8"/>
        <v>-2488008.4733765288</v>
      </c>
    </row>
    <row r="105" spans="1:9" x14ac:dyDescent="0.25">
      <c r="A105" s="38">
        <f>Données!A105</f>
        <v>5571</v>
      </c>
      <c r="B105" s="27" t="str">
        <f>Données!B105</f>
        <v>Tévenon</v>
      </c>
      <c r="C105" s="31">
        <f>Données!Z105</f>
        <v>867</v>
      </c>
      <c r="D105" s="179">
        <f>Ecrêtage!E105</f>
        <v>29.88111183702879</v>
      </c>
      <c r="E105" s="179">
        <f t="shared" si="5"/>
        <v>18.027866802829521</v>
      </c>
      <c r="F105" s="179">
        <f>+Données!X105</f>
        <v>71.5</v>
      </c>
      <c r="G105" s="296">
        <f t="shared" si="6"/>
        <v>-301740.24880101695</v>
      </c>
      <c r="H105" s="124">
        <f t="shared" si="7"/>
        <v>1.0565413311550391</v>
      </c>
      <c r="I105" s="42">
        <f t="shared" si="8"/>
        <v>-318801.04413127917</v>
      </c>
    </row>
    <row r="106" spans="1:9" x14ac:dyDescent="0.25">
      <c r="A106" s="38">
        <f>Données!A106</f>
        <v>5581</v>
      </c>
      <c r="B106" s="27" t="str">
        <f>Données!B106</f>
        <v>Belmont-sur-Lausanne</v>
      </c>
      <c r="C106" s="31">
        <f>Données!Z106</f>
        <v>3835</v>
      </c>
      <c r="D106" s="179">
        <f>Ecrêtage!E106</f>
        <v>60.930135738084878</v>
      </c>
      <c r="E106" s="179">
        <f t="shared" si="5"/>
        <v>0</v>
      </c>
      <c r="F106" s="179">
        <f>+Données!X106</f>
        <v>72</v>
      </c>
      <c r="G106" s="296">
        <f t="shared" si="6"/>
        <v>0</v>
      </c>
      <c r="H106" s="124">
        <f t="shared" si="7"/>
        <v>1.0639297320722072</v>
      </c>
      <c r="I106" s="42">
        <f t="shared" si="8"/>
        <v>0</v>
      </c>
    </row>
    <row r="107" spans="1:9" x14ac:dyDescent="0.25">
      <c r="A107" s="38">
        <f>Données!A107</f>
        <v>5582</v>
      </c>
      <c r="B107" s="27" t="str">
        <f>Données!B107</f>
        <v>Cheseaux-sur-Lausanne</v>
      </c>
      <c r="C107" s="31">
        <f>Données!Z107</f>
        <v>4525</v>
      </c>
      <c r="D107" s="179">
        <f>Ecrêtage!E107</f>
        <v>37.662224596987812</v>
      </c>
      <c r="E107" s="179">
        <f t="shared" si="5"/>
        <v>10.246754042870499</v>
      </c>
      <c r="F107" s="179">
        <f>+Données!X107</f>
        <v>73</v>
      </c>
      <c r="G107" s="296">
        <f t="shared" si="6"/>
        <v>-913884.93788702355</v>
      </c>
      <c r="H107" s="124">
        <f t="shared" si="7"/>
        <v>1.0787065339065434</v>
      </c>
      <c r="I107" s="42">
        <f t="shared" si="8"/>
        <v>-985813.65373750788</v>
      </c>
    </row>
    <row r="108" spans="1:9" x14ac:dyDescent="0.25">
      <c r="A108" s="38">
        <f>Données!A108</f>
        <v>5583</v>
      </c>
      <c r="B108" s="27" t="str">
        <f>Données!B108</f>
        <v>Crissier</v>
      </c>
      <c r="C108" s="31">
        <f>Données!Z108</f>
        <v>9161</v>
      </c>
      <c r="D108" s="179">
        <f>Ecrêtage!E108</f>
        <v>37.163009333472004</v>
      </c>
      <c r="E108" s="179">
        <f t="shared" si="5"/>
        <v>10.745969306386307</v>
      </c>
      <c r="F108" s="179">
        <f>+Données!X108</f>
        <v>63.5</v>
      </c>
      <c r="G108" s="296">
        <f t="shared" si="6"/>
        <v>-1687819.3764669762</v>
      </c>
      <c r="H108" s="124">
        <f t="shared" si="7"/>
        <v>0.93832691648034938</v>
      </c>
      <c r="I108" s="42">
        <f t="shared" si="8"/>
        <v>-1583726.3510960438</v>
      </c>
    </row>
    <row r="109" spans="1:9" x14ac:dyDescent="0.25">
      <c r="A109" s="38">
        <f>Données!A109</f>
        <v>5584</v>
      </c>
      <c r="B109" s="27" t="str">
        <f>Données!B109</f>
        <v>Epalinges</v>
      </c>
      <c r="C109" s="31">
        <f>Données!Z109</f>
        <v>9825</v>
      </c>
      <c r="D109" s="179">
        <f>Ecrêtage!E109</f>
        <v>49.846622214332207</v>
      </c>
      <c r="E109" s="179">
        <f t="shared" si="5"/>
        <v>0</v>
      </c>
      <c r="F109" s="179">
        <f>+Données!X109</f>
        <v>64.5</v>
      </c>
      <c r="G109" s="296">
        <f t="shared" si="6"/>
        <v>0</v>
      </c>
      <c r="H109" s="124">
        <f t="shared" si="7"/>
        <v>0.95310371831468566</v>
      </c>
      <c r="I109" s="42">
        <f t="shared" si="8"/>
        <v>0</v>
      </c>
    </row>
    <row r="110" spans="1:9" x14ac:dyDescent="0.25">
      <c r="A110" s="38">
        <f>Données!A110</f>
        <v>5585</v>
      </c>
      <c r="B110" s="27" t="str">
        <f>Données!B110</f>
        <v>Jouxtens-Mézery</v>
      </c>
      <c r="C110" s="31">
        <f>Données!Z110</f>
        <v>1468</v>
      </c>
      <c r="D110" s="179">
        <f>Ecrêtage!E110</f>
        <v>143.44184223895067</v>
      </c>
      <c r="E110" s="179">
        <f t="shared" si="5"/>
        <v>0</v>
      </c>
      <c r="F110" s="179">
        <f>+Données!X110</f>
        <v>59</v>
      </c>
      <c r="G110" s="296">
        <f t="shared" si="6"/>
        <v>0</v>
      </c>
      <c r="H110" s="124">
        <f t="shared" si="7"/>
        <v>0.87183130822583643</v>
      </c>
      <c r="I110" s="42">
        <f t="shared" si="8"/>
        <v>0</v>
      </c>
    </row>
    <row r="111" spans="1:9" x14ac:dyDescent="0.25">
      <c r="A111" s="38">
        <f>Données!A111</f>
        <v>5586</v>
      </c>
      <c r="B111" s="27" t="str">
        <f>Données!B111</f>
        <v>Lausanne</v>
      </c>
      <c r="C111" s="31">
        <f>Données!Z111</f>
        <v>141513</v>
      </c>
      <c r="D111" s="179">
        <f>Ecrêtage!E111</f>
        <v>47.139379625915083</v>
      </c>
      <c r="E111" s="179">
        <f t="shared" si="5"/>
        <v>0.76959901394322827</v>
      </c>
      <c r="F111" s="179">
        <f>+Données!X111</f>
        <v>78.5</v>
      </c>
      <c r="G111" s="296">
        <f t="shared" si="6"/>
        <v>-2308310.6821888383</v>
      </c>
      <c r="H111" s="124">
        <f t="shared" si="7"/>
        <v>1.1599789439953927</v>
      </c>
      <c r="I111" s="42">
        <f t="shared" si="8"/>
        <v>-2677591.7875386933</v>
      </c>
    </row>
    <row r="112" spans="1:9" x14ac:dyDescent="0.25">
      <c r="A112" s="38">
        <f>Données!A112</f>
        <v>5587</v>
      </c>
      <c r="B112" s="27" t="str">
        <f>Données!B112</f>
        <v>Le Mont-sur-Lausanne</v>
      </c>
      <c r="C112" s="31">
        <f>Données!Z112</f>
        <v>9297</v>
      </c>
      <c r="D112" s="179">
        <f>Ecrêtage!E112</f>
        <v>52.062244005271239</v>
      </c>
      <c r="E112" s="179">
        <f t="shared" si="5"/>
        <v>0</v>
      </c>
      <c r="F112" s="179">
        <f>+Données!X112</f>
        <v>73.5</v>
      </c>
      <c r="G112" s="296">
        <f t="shared" si="6"/>
        <v>0</v>
      </c>
      <c r="H112" s="124">
        <f t="shared" si="7"/>
        <v>1.0860949348237114</v>
      </c>
      <c r="I112" s="42">
        <f t="shared" si="8"/>
        <v>0</v>
      </c>
    </row>
    <row r="113" spans="1:9" x14ac:dyDescent="0.25">
      <c r="A113" s="38">
        <f>Données!A113</f>
        <v>5588</v>
      </c>
      <c r="B113" s="27" t="str">
        <f>Données!B113</f>
        <v>Paudex</v>
      </c>
      <c r="C113" s="31">
        <f>Données!Z113</f>
        <v>1550</v>
      </c>
      <c r="D113" s="179">
        <f>Ecrêtage!E113</f>
        <v>88.738598995183793</v>
      </c>
      <c r="E113" s="179">
        <f t="shared" si="5"/>
        <v>0</v>
      </c>
      <c r="F113" s="179">
        <f>+Données!X113</f>
        <v>66.5</v>
      </c>
      <c r="G113" s="296">
        <f t="shared" si="6"/>
        <v>0</v>
      </c>
      <c r="H113" s="124">
        <f t="shared" si="7"/>
        <v>0.98265732198335809</v>
      </c>
      <c r="I113" s="42">
        <f t="shared" si="8"/>
        <v>0</v>
      </c>
    </row>
    <row r="114" spans="1:9" x14ac:dyDescent="0.25">
      <c r="A114" s="38">
        <f>Données!A114</f>
        <v>5589</v>
      </c>
      <c r="B114" s="27" t="str">
        <f>Données!B114</f>
        <v>Prilly</v>
      </c>
      <c r="C114" s="31">
        <f>Données!Z114</f>
        <v>12318</v>
      </c>
      <c r="D114" s="179">
        <f>Ecrêtage!E114</f>
        <v>32.811576567555711</v>
      </c>
      <c r="E114" s="179">
        <f t="shared" si="5"/>
        <v>15.0974020723026</v>
      </c>
      <c r="F114" s="179">
        <f>+Données!X114</f>
        <v>72.5</v>
      </c>
      <c r="G114" s="296">
        <f t="shared" si="6"/>
        <v>-3640358.8100736542</v>
      </c>
      <c r="H114" s="124">
        <f t="shared" si="7"/>
        <v>1.0713181329893753</v>
      </c>
      <c r="I114" s="42">
        <f t="shared" si="8"/>
        <v>-3899982.4038195312</v>
      </c>
    </row>
    <row r="115" spans="1:9" x14ac:dyDescent="0.25">
      <c r="A115" s="38">
        <f>Données!A115</f>
        <v>5590</v>
      </c>
      <c r="B115" s="27" t="str">
        <f>Données!B115</f>
        <v>Pully</v>
      </c>
      <c r="C115" s="31">
        <f>Données!Z115</f>
        <v>19005</v>
      </c>
      <c r="D115" s="179">
        <f>Ecrêtage!E115</f>
        <v>73.475894152099741</v>
      </c>
      <c r="E115" s="179">
        <f t="shared" si="5"/>
        <v>0</v>
      </c>
      <c r="F115" s="179">
        <f>+Données!X115</f>
        <v>61</v>
      </c>
      <c r="G115" s="296">
        <f t="shared" si="6"/>
        <v>0</v>
      </c>
      <c r="H115" s="124">
        <f t="shared" si="7"/>
        <v>0.90138491189450887</v>
      </c>
      <c r="I115" s="42">
        <f t="shared" si="8"/>
        <v>0</v>
      </c>
    </row>
    <row r="116" spans="1:9" x14ac:dyDescent="0.25">
      <c r="A116" s="38">
        <f>Données!A116</f>
        <v>5591</v>
      </c>
      <c r="B116" s="27" t="str">
        <f>Données!B116</f>
        <v>Renens</v>
      </c>
      <c r="C116" s="31">
        <f>Données!Z116</f>
        <v>21116</v>
      </c>
      <c r="D116" s="179">
        <f>Ecrêtage!E116</f>
        <v>28.075284823016673</v>
      </c>
      <c r="E116" s="179">
        <f t="shared" si="5"/>
        <v>19.833693816841638</v>
      </c>
      <c r="F116" s="179">
        <f>+Données!X116</f>
        <v>77</v>
      </c>
      <c r="G116" s="296">
        <f t="shared" si="6"/>
        <v>-8707024.1128513385</v>
      </c>
      <c r="H116" s="124">
        <f t="shared" si="7"/>
        <v>1.1378137412438882</v>
      </c>
      <c r="I116" s="42">
        <f t="shared" si="8"/>
        <v>-9906971.680944128</v>
      </c>
    </row>
    <row r="117" spans="1:9" x14ac:dyDescent="0.25">
      <c r="A117" s="38">
        <f>Données!A117</f>
        <v>5592</v>
      </c>
      <c r="B117" s="27" t="str">
        <f>Données!B117</f>
        <v>Romanel-sur-Lausanne</v>
      </c>
      <c r="C117" s="31">
        <f>Données!Z117</f>
        <v>3798</v>
      </c>
      <c r="D117" s="179">
        <f>Ecrêtage!E117</f>
        <v>29.910568309561956</v>
      </c>
      <c r="E117" s="179">
        <f t="shared" si="5"/>
        <v>17.998410330296355</v>
      </c>
      <c r="F117" s="179">
        <f>+Données!X117</f>
        <v>70.5</v>
      </c>
      <c r="G117" s="296">
        <f t="shared" si="6"/>
        <v>-1301193.8149400519</v>
      </c>
      <c r="H117" s="124">
        <f t="shared" si="7"/>
        <v>1.041764529320703</v>
      </c>
      <c r="I117" s="42">
        <f t="shared" si="8"/>
        <v>-1355537.5621760329</v>
      </c>
    </row>
    <row r="118" spans="1:9" x14ac:dyDescent="0.25">
      <c r="A118" s="38">
        <f>Données!A118</f>
        <v>5601</v>
      </c>
      <c r="B118" s="27" t="str">
        <f>Données!B118</f>
        <v>Chexbres</v>
      </c>
      <c r="C118" s="31">
        <f>Données!Z118</f>
        <v>2204</v>
      </c>
      <c r="D118" s="179">
        <f>Ecrêtage!E118</f>
        <v>48.100809975129401</v>
      </c>
      <c r="E118" s="179">
        <f t="shared" si="5"/>
        <v>0</v>
      </c>
      <c r="F118" s="179">
        <f>+Données!X118</f>
        <v>67.5</v>
      </c>
      <c r="G118" s="296">
        <f t="shared" si="6"/>
        <v>0</v>
      </c>
      <c r="H118" s="124">
        <f t="shared" si="7"/>
        <v>0.99743412381769425</v>
      </c>
      <c r="I118" s="42">
        <f t="shared" si="8"/>
        <v>0</v>
      </c>
    </row>
    <row r="119" spans="1:9" x14ac:dyDescent="0.25">
      <c r="A119" s="38">
        <f>Données!A119</f>
        <v>5604</v>
      </c>
      <c r="B119" s="27" t="str">
        <f>Données!B119</f>
        <v>Forel (Lavaux)</v>
      </c>
      <c r="C119" s="31">
        <f>Données!Z119</f>
        <v>2067</v>
      </c>
      <c r="D119" s="179">
        <f>Ecrêtage!E119</f>
        <v>34.329097831345578</v>
      </c>
      <c r="E119" s="179">
        <f t="shared" si="5"/>
        <v>13.579880808512733</v>
      </c>
      <c r="F119" s="179">
        <f>+Données!X119</f>
        <v>69</v>
      </c>
      <c r="G119" s="296">
        <f t="shared" si="6"/>
        <v>-522936.90194917819</v>
      </c>
      <c r="H119" s="124">
        <f t="shared" si="7"/>
        <v>1.0195993265691985</v>
      </c>
      <c r="I119" s="42">
        <f t="shared" si="8"/>
        <v>-533186.11306556512</v>
      </c>
    </row>
    <row r="120" spans="1:9" x14ac:dyDescent="0.25">
      <c r="A120" s="38">
        <f>Données!A120</f>
        <v>5606</v>
      </c>
      <c r="B120" s="27" t="str">
        <f>Données!B120</f>
        <v>Lutry</v>
      </c>
      <c r="C120" s="31">
        <f>Données!Z120</f>
        <v>10713</v>
      </c>
      <c r="D120" s="179">
        <f>Ecrêtage!E120</f>
        <v>94.976753904295677</v>
      </c>
      <c r="E120" s="179">
        <f t="shared" si="5"/>
        <v>0</v>
      </c>
      <c r="F120" s="179">
        <f>+Données!X120</f>
        <v>54</v>
      </c>
      <c r="G120" s="296">
        <f t="shared" si="6"/>
        <v>0</v>
      </c>
      <c r="H120" s="124">
        <f t="shared" si="7"/>
        <v>0.7979472990541554</v>
      </c>
      <c r="I120" s="42">
        <f t="shared" si="8"/>
        <v>0</v>
      </c>
    </row>
    <row r="121" spans="1:9" x14ac:dyDescent="0.25">
      <c r="A121" s="38">
        <f>Données!A121</f>
        <v>5607</v>
      </c>
      <c r="B121" s="27" t="str">
        <f>Données!B121</f>
        <v>Puidoux</v>
      </c>
      <c r="C121" s="31">
        <f>Données!Z121</f>
        <v>2991</v>
      </c>
      <c r="D121" s="179">
        <f>Ecrêtage!E121</f>
        <v>39.280797029828513</v>
      </c>
      <c r="E121" s="179">
        <f t="shared" si="5"/>
        <v>8.6281816100297988</v>
      </c>
      <c r="F121" s="179">
        <f>+Données!X121</f>
        <v>68.5</v>
      </c>
      <c r="G121" s="296">
        <f t="shared" si="6"/>
        <v>-477298.45266260591</v>
      </c>
      <c r="H121" s="124">
        <f t="shared" si="7"/>
        <v>1.0122109256520304</v>
      </c>
      <c r="I121" s="42">
        <f t="shared" si="8"/>
        <v>-483126.70858189813</v>
      </c>
    </row>
    <row r="122" spans="1:9" x14ac:dyDescent="0.25">
      <c r="A122" s="38">
        <f>Données!A122</f>
        <v>5609</v>
      </c>
      <c r="B122" s="27" t="str">
        <f>Données!B122</f>
        <v>Rivaz</v>
      </c>
      <c r="C122" s="31">
        <f>Données!Z122</f>
        <v>332</v>
      </c>
      <c r="D122" s="179">
        <f>Ecrêtage!E122</f>
        <v>44.970104450058308</v>
      </c>
      <c r="E122" s="179">
        <f t="shared" si="5"/>
        <v>2.9388741898000035</v>
      </c>
      <c r="F122" s="179">
        <f>+Données!X122</f>
        <v>62</v>
      </c>
      <c r="G122" s="296">
        <f t="shared" si="6"/>
        <v>-16333.322307167684</v>
      </c>
      <c r="H122" s="124">
        <f t="shared" si="7"/>
        <v>0.91616171372884514</v>
      </c>
      <c r="I122" s="42">
        <f t="shared" si="8"/>
        <v>-14963.964555820319</v>
      </c>
    </row>
    <row r="123" spans="1:9" x14ac:dyDescent="0.25">
      <c r="A123" s="38">
        <f>Données!A123</f>
        <v>5610</v>
      </c>
      <c r="B123" s="27" t="str">
        <f>Données!B123</f>
        <v>St-Saphorin (Lavaux)</v>
      </c>
      <c r="C123" s="31">
        <f>Données!Z123</f>
        <v>402</v>
      </c>
      <c r="D123" s="179">
        <f>Ecrêtage!E123</f>
        <v>53.050661046618757</v>
      </c>
      <c r="E123" s="179">
        <f t="shared" si="5"/>
        <v>0</v>
      </c>
      <c r="F123" s="179">
        <f>+Données!X123</f>
        <v>72</v>
      </c>
      <c r="G123" s="296">
        <f t="shared" si="6"/>
        <v>0</v>
      </c>
      <c r="H123" s="124">
        <f t="shared" si="7"/>
        <v>1.0639297320722072</v>
      </c>
      <c r="I123" s="42">
        <f t="shared" si="8"/>
        <v>0</v>
      </c>
    </row>
    <row r="124" spans="1:9" x14ac:dyDescent="0.25">
      <c r="A124" s="38">
        <f>Données!A124</f>
        <v>5611</v>
      </c>
      <c r="B124" s="27" t="str">
        <f>Données!B124</f>
        <v>Savigny</v>
      </c>
      <c r="C124" s="31">
        <f>Données!Z124</f>
        <v>3421</v>
      </c>
      <c r="D124" s="179">
        <f>Ecrêtage!E124</f>
        <v>40.814333401115867</v>
      </c>
      <c r="E124" s="179">
        <f t="shared" si="5"/>
        <v>7.0946452387424443</v>
      </c>
      <c r="F124" s="179">
        <f>+Données!X124</f>
        <v>69</v>
      </c>
      <c r="G124" s="296">
        <f t="shared" si="6"/>
        <v>-452164.65676917718</v>
      </c>
      <c r="H124" s="124">
        <f t="shared" si="7"/>
        <v>1.0195993265691985</v>
      </c>
      <c r="I124" s="42">
        <f t="shared" si="8"/>
        <v>-461026.77954024583</v>
      </c>
    </row>
    <row r="125" spans="1:9" x14ac:dyDescent="0.25">
      <c r="A125" s="38">
        <f>Données!A125</f>
        <v>5613</v>
      </c>
      <c r="B125" s="27" t="str">
        <f>Données!B125</f>
        <v>Bourg-en-Lavaux</v>
      </c>
      <c r="C125" s="31">
        <f>Données!Z125</f>
        <v>5389</v>
      </c>
      <c r="D125" s="179">
        <f>Ecrêtage!E125</f>
        <v>68.139537081709662</v>
      </c>
      <c r="E125" s="179">
        <f t="shared" si="5"/>
        <v>0</v>
      </c>
      <c r="F125" s="179">
        <f>+Données!X125</f>
        <v>62.5</v>
      </c>
      <c r="G125" s="296">
        <f t="shared" si="6"/>
        <v>0</v>
      </c>
      <c r="H125" s="124">
        <f t="shared" si="7"/>
        <v>0.92355011464601322</v>
      </c>
      <c r="I125" s="42">
        <f t="shared" si="8"/>
        <v>0</v>
      </c>
    </row>
    <row r="126" spans="1:9" x14ac:dyDescent="0.25">
      <c r="A126" s="38">
        <f>Données!A126</f>
        <v>5621</v>
      </c>
      <c r="B126" s="27" t="str">
        <f>Données!B126</f>
        <v>Aclens</v>
      </c>
      <c r="C126" s="31">
        <f>Données!Z126</f>
        <v>557</v>
      </c>
      <c r="D126" s="179">
        <f>Ecrêtage!E126</f>
        <v>70.368114980230274</v>
      </c>
      <c r="E126" s="179">
        <f t="shared" si="5"/>
        <v>0</v>
      </c>
      <c r="F126" s="179">
        <f>+Données!X126</f>
        <v>62</v>
      </c>
      <c r="G126" s="296">
        <f t="shared" si="6"/>
        <v>0</v>
      </c>
      <c r="H126" s="124">
        <f t="shared" si="7"/>
        <v>0.91616171372884514</v>
      </c>
      <c r="I126" s="42">
        <f t="shared" si="8"/>
        <v>0</v>
      </c>
    </row>
    <row r="127" spans="1:9" x14ac:dyDescent="0.25">
      <c r="A127" s="38">
        <f>Données!A127</f>
        <v>5622</v>
      </c>
      <c r="B127" s="27" t="str">
        <f>Données!B127</f>
        <v>Bremblens</v>
      </c>
      <c r="C127" s="31">
        <f>Données!Z127</f>
        <v>604</v>
      </c>
      <c r="D127" s="179">
        <f>Ecrêtage!E127</f>
        <v>51.079302444487737</v>
      </c>
      <c r="E127" s="179">
        <f t="shared" si="5"/>
        <v>0</v>
      </c>
      <c r="F127" s="179">
        <f>+Données!X127</f>
        <v>68</v>
      </c>
      <c r="G127" s="296">
        <f t="shared" si="6"/>
        <v>0</v>
      </c>
      <c r="H127" s="124">
        <f t="shared" si="7"/>
        <v>1.0048225247348623</v>
      </c>
      <c r="I127" s="42">
        <f t="shared" si="8"/>
        <v>0</v>
      </c>
    </row>
    <row r="128" spans="1:9" x14ac:dyDescent="0.25">
      <c r="A128" s="38">
        <f>Données!A128</f>
        <v>5623</v>
      </c>
      <c r="B128" s="27" t="str">
        <f>Données!B128</f>
        <v>Buchillon</v>
      </c>
      <c r="C128" s="31">
        <f>Données!Z128</f>
        <v>670</v>
      </c>
      <c r="D128" s="179">
        <f>Ecrêtage!E128</f>
        <v>131.941205510907</v>
      </c>
      <c r="E128" s="179">
        <f t="shared" si="5"/>
        <v>0</v>
      </c>
      <c r="F128" s="179">
        <f>+Données!X128</f>
        <v>52</v>
      </c>
      <c r="G128" s="296">
        <f t="shared" si="6"/>
        <v>0</v>
      </c>
      <c r="H128" s="124">
        <f t="shared" si="7"/>
        <v>0.76839369538548297</v>
      </c>
      <c r="I128" s="42">
        <f t="shared" si="8"/>
        <v>0</v>
      </c>
    </row>
    <row r="129" spans="1:9" x14ac:dyDescent="0.25">
      <c r="A129" s="38">
        <f>Données!A129</f>
        <v>5624</v>
      </c>
      <c r="B129" s="27" t="str">
        <f>Données!B129</f>
        <v>Bussigny</v>
      </c>
      <c r="C129" s="31">
        <f>Données!Z129</f>
        <v>10392</v>
      </c>
      <c r="D129" s="179">
        <f>Ecrêtage!E129</f>
        <v>37.940229884526552</v>
      </c>
      <c r="E129" s="179">
        <f t="shared" si="5"/>
        <v>9.9687487553317595</v>
      </c>
      <c r="F129" s="179">
        <f>+Données!X129</f>
        <v>62.5</v>
      </c>
      <c r="G129" s="296">
        <f t="shared" si="6"/>
        <v>-1748169.6254787543</v>
      </c>
      <c r="H129" s="124">
        <f t="shared" si="7"/>
        <v>0.92355011464601322</v>
      </c>
      <c r="I129" s="42">
        <f t="shared" si="8"/>
        <v>-1614522.2580315815</v>
      </c>
    </row>
    <row r="130" spans="1:9" x14ac:dyDescent="0.25">
      <c r="A130" s="38">
        <f>Données!A130</f>
        <v>5627</v>
      </c>
      <c r="B130" s="27" t="str">
        <f>Données!B130</f>
        <v>Chavannes-près-Renens</v>
      </c>
      <c r="C130" s="31">
        <f>Données!Z130</f>
        <v>8725</v>
      </c>
      <c r="D130" s="179">
        <f>Ecrêtage!E130</f>
        <v>21.624998510028657</v>
      </c>
      <c r="E130" s="179">
        <f t="shared" si="5"/>
        <v>26.283980129829654</v>
      </c>
      <c r="F130" s="179">
        <f>+Données!X130</f>
        <v>77.5</v>
      </c>
      <c r="G130" s="296">
        <f t="shared" si="6"/>
        <v>-4798682.6797905816</v>
      </c>
      <c r="H130" s="124">
        <f t="shared" si="7"/>
        <v>1.1452021421610563</v>
      </c>
      <c r="I130" s="42">
        <f t="shared" si="8"/>
        <v>-5495461.6844473323</v>
      </c>
    </row>
    <row r="131" spans="1:9" x14ac:dyDescent="0.25">
      <c r="A131" s="38">
        <f>Données!A131</f>
        <v>5628</v>
      </c>
      <c r="B131" s="27" t="str">
        <f>Données!B131</f>
        <v>Chigny</v>
      </c>
      <c r="C131" s="31">
        <f>Données!Z131</f>
        <v>419</v>
      </c>
      <c r="D131" s="179">
        <f>Ecrêtage!E131</f>
        <v>65.936148279313258</v>
      </c>
      <c r="E131" s="179">
        <f t="shared" si="5"/>
        <v>0</v>
      </c>
      <c r="F131" s="179">
        <f>+Données!X131</f>
        <v>62</v>
      </c>
      <c r="G131" s="296">
        <f t="shared" si="6"/>
        <v>0</v>
      </c>
      <c r="H131" s="124">
        <f t="shared" si="7"/>
        <v>0.91616171372884514</v>
      </c>
      <c r="I131" s="42">
        <f t="shared" si="8"/>
        <v>0</v>
      </c>
    </row>
    <row r="132" spans="1:9" x14ac:dyDescent="0.25">
      <c r="A132" s="38">
        <f>Données!A132</f>
        <v>5629</v>
      </c>
      <c r="B132" s="27" t="str">
        <f>Données!B132</f>
        <v>Clarmont</v>
      </c>
      <c r="C132" s="31">
        <f>Données!Z132</f>
        <v>213</v>
      </c>
      <c r="D132" s="179">
        <f>Ecrêtage!E132</f>
        <v>46.781727308294215</v>
      </c>
      <c r="E132" s="179">
        <f t="shared" si="5"/>
        <v>1.1272513315640964</v>
      </c>
      <c r="F132" s="179">
        <f>+Données!X132</f>
        <v>72</v>
      </c>
      <c r="G132" s="296">
        <f t="shared" si="6"/>
        <v>-4667.6321336340861</v>
      </c>
      <c r="H132" s="124">
        <f t="shared" si="7"/>
        <v>1.0639297320722072</v>
      </c>
      <c r="I132" s="42">
        <f t="shared" si="8"/>
        <v>-4966.032605348938</v>
      </c>
    </row>
    <row r="133" spans="1:9" x14ac:dyDescent="0.25">
      <c r="A133" s="38">
        <f>Données!A133</f>
        <v>5631</v>
      </c>
      <c r="B133" s="27" t="str">
        <f>Données!B133</f>
        <v>Denens</v>
      </c>
      <c r="C133" s="31">
        <f>Données!Z133</f>
        <v>715</v>
      </c>
      <c r="D133" s="179">
        <f>Ecrêtage!E133</f>
        <v>58.341305635540934</v>
      </c>
      <c r="E133" s="179">
        <f t="shared" si="5"/>
        <v>0</v>
      </c>
      <c r="F133" s="179">
        <f>+Données!X133</f>
        <v>68</v>
      </c>
      <c r="G133" s="296">
        <f t="shared" si="6"/>
        <v>0</v>
      </c>
      <c r="H133" s="124">
        <f t="shared" si="7"/>
        <v>1.0048225247348623</v>
      </c>
      <c r="I133" s="42">
        <f t="shared" si="8"/>
        <v>0</v>
      </c>
    </row>
    <row r="134" spans="1:9" x14ac:dyDescent="0.25">
      <c r="A134" s="38">
        <f>Données!A134</f>
        <v>5632</v>
      </c>
      <c r="B134" s="27" t="str">
        <f>Données!B134</f>
        <v>Denges</v>
      </c>
      <c r="C134" s="31">
        <f>Données!Z134</f>
        <v>1778</v>
      </c>
      <c r="D134" s="179">
        <f>Ecrêtage!E134</f>
        <v>45.91619734025182</v>
      </c>
      <c r="E134" s="179">
        <f t="shared" si="5"/>
        <v>1.9927812996064915</v>
      </c>
      <c r="F134" s="179">
        <f>+Données!X134</f>
        <v>62</v>
      </c>
      <c r="G134" s="296">
        <f t="shared" si="6"/>
        <v>-59312.584622723734</v>
      </c>
      <c r="H134" s="124">
        <f t="shared" si="7"/>
        <v>0.91616171372884514</v>
      </c>
      <c r="I134" s="42">
        <f t="shared" si="8"/>
        <v>-54339.919173641727</v>
      </c>
    </row>
    <row r="135" spans="1:9" x14ac:dyDescent="0.25">
      <c r="A135" s="38">
        <f>Données!A135</f>
        <v>5633</v>
      </c>
      <c r="B135" s="27" t="str">
        <f>Données!B135</f>
        <v>Echandens</v>
      </c>
      <c r="C135" s="31">
        <f>Données!Z135</f>
        <v>2891</v>
      </c>
      <c r="D135" s="179">
        <f>Ecrêtage!E135</f>
        <v>51.825714971799059</v>
      </c>
      <c r="E135" s="179">
        <f t="shared" ref="E135:E198" si="9">IF($D$306-D135&lt;0,0,$D$306-D135)</f>
        <v>0</v>
      </c>
      <c r="F135" s="179">
        <f>+Données!X135</f>
        <v>60.5</v>
      </c>
      <c r="G135" s="296">
        <f t="shared" ref="G135:G198" si="10">-((C135*E135*F135)*$E$5)</f>
        <v>0</v>
      </c>
      <c r="H135" s="124">
        <f t="shared" ref="H135:H198" si="11">F135/$F$306</f>
        <v>0.89399651097734079</v>
      </c>
      <c r="I135" s="42">
        <f t="shared" ref="I135:I198" si="12">G135*H135</f>
        <v>0</v>
      </c>
    </row>
    <row r="136" spans="1:9" x14ac:dyDescent="0.25">
      <c r="A136" s="38">
        <f>Données!A136</f>
        <v>5634</v>
      </c>
      <c r="B136" s="27" t="str">
        <f>Données!B136</f>
        <v>Echichens</v>
      </c>
      <c r="C136" s="31">
        <f>Données!Z136</f>
        <v>3211</v>
      </c>
      <c r="D136" s="179">
        <f>Ecrêtage!E136</f>
        <v>57.034135452941129</v>
      </c>
      <c r="E136" s="179">
        <f t="shared" si="9"/>
        <v>0</v>
      </c>
      <c r="F136" s="179">
        <f>+Données!X136</f>
        <v>66</v>
      </c>
      <c r="G136" s="296">
        <f t="shared" si="10"/>
        <v>0</v>
      </c>
      <c r="H136" s="124">
        <f t="shared" si="11"/>
        <v>0.97526892106619001</v>
      </c>
      <c r="I136" s="42">
        <f t="shared" si="12"/>
        <v>0</v>
      </c>
    </row>
    <row r="137" spans="1:9" x14ac:dyDescent="0.25">
      <c r="A137" s="38">
        <f>Données!A137</f>
        <v>5635</v>
      </c>
      <c r="B137" s="27" t="str">
        <f>Données!B137</f>
        <v>Ecublens</v>
      </c>
      <c r="C137" s="31">
        <f>Données!Z137</f>
        <v>13129</v>
      </c>
      <c r="D137" s="179">
        <f>Ecrêtage!E137</f>
        <v>39.309807258232418</v>
      </c>
      <c r="E137" s="179">
        <f t="shared" si="9"/>
        <v>8.5991713816258937</v>
      </c>
      <c r="F137" s="179">
        <f>+Données!X137</f>
        <v>62.5</v>
      </c>
      <c r="G137" s="296">
        <f t="shared" si="10"/>
        <v>-1905162.5430455573</v>
      </c>
      <c r="H137" s="124">
        <f t="shared" si="11"/>
        <v>0.92355011464601322</v>
      </c>
      <c r="I137" s="42">
        <f t="shared" si="12"/>
        <v>-1759513.0850490145</v>
      </c>
    </row>
    <row r="138" spans="1:9" x14ac:dyDescent="0.25">
      <c r="A138" s="38">
        <f>Données!A138</f>
        <v>5636</v>
      </c>
      <c r="B138" s="27" t="str">
        <f>Données!B138</f>
        <v>Etoy</v>
      </c>
      <c r="C138" s="31">
        <f>Données!Z138</f>
        <v>2938</v>
      </c>
      <c r="D138" s="179">
        <f>Ecrêtage!E138</f>
        <v>64.474635239391887</v>
      </c>
      <c r="E138" s="179">
        <f t="shared" si="9"/>
        <v>0</v>
      </c>
      <c r="F138" s="179">
        <f>+Données!X138</f>
        <v>60</v>
      </c>
      <c r="G138" s="296">
        <f t="shared" si="10"/>
        <v>0</v>
      </c>
      <c r="H138" s="124">
        <f t="shared" si="11"/>
        <v>0.8866081100601727</v>
      </c>
      <c r="I138" s="42">
        <f t="shared" si="12"/>
        <v>0</v>
      </c>
    </row>
    <row r="139" spans="1:9" x14ac:dyDescent="0.25">
      <c r="A139" s="38">
        <f>Données!A139</f>
        <v>5637</v>
      </c>
      <c r="B139" s="27" t="str">
        <f>Données!B139</f>
        <v>Lavigny</v>
      </c>
      <c r="C139" s="31">
        <f>Données!Z139</f>
        <v>1038</v>
      </c>
      <c r="D139" s="179">
        <f>Ecrêtage!E139</f>
        <v>34.964596695436427</v>
      </c>
      <c r="E139" s="179">
        <f t="shared" si="9"/>
        <v>12.944381944421885</v>
      </c>
      <c r="F139" s="179">
        <f>+Données!X139</f>
        <v>73</v>
      </c>
      <c r="G139" s="296">
        <f t="shared" si="10"/>
        <v>-264828.8513132885</v>
      </c>
      <c r="H139" s="124">
        <f t="shared" si="11"/>
        <v>1.0787065339065434</v>
      </c>
      <c r="I139" s="42">
        <f t="shared" si="12"/>
        <v>-285672.61227860878</v>
      </c>
    </row>
    <row r="140" spans="1:9" x14ac:dyDescent="0.25">
      <c r="A140" s="38">
        <f>Données!A140</f>
        <v>5638</v>
      </c>
      <c r="B140" s="27" t="str">
        <f>Données!B140</f>
        <v>Lonay</v>
      </c>
      <c r="C140" s="31">
        <f>Données!Z140</f>
        <v>2675</v>
      </c>
      <c r="D140" s="179">
        <f>Ecrêtage!E140</f>
        <v>57.527287000849611</v>
      </c>
      <c r="E140" s="179">
        <f t="shared" si="9"/>
        <v>0</v>
      </c>
      <c r="F140" s="179">
        <f>+Données!X140</f>
        <v>55</v>
      </c>
      <c r="G140" s="296">
        <f t="shared" si="10"/>
        <v>0</v>
      </c>
      <c r="H140" s="124">
        <f t="shared" si="11"/>
        <v>0.81272410088849167</v>
      </c>
      <c r="I140" s="42">
        <f t="shared" si="12"/>
        <v>0</v>
      </c>
    </row>
    <row r="141" spans="1:9" x14ac:dyDescent="0.25">
      <c r="A141" s="38">
        <f>Données!A141</f>
        <v>5639</v>
      </c>
      <c r="B141" s="27" t="str">
        <f>Données!B141</f>
        <v>Lully</v>
      </c>
      <c r="C141" s="31">
        <f>Données!Z141</f>
        <v>825</v>
      </c>
      <c r="D141" s="179">
        <f>Ecrêtage!E141</f>
        <v>63.322704222553398</v>
      </c>
      <c r="E141" s="179">
        <f t="shared" si="9"/>
        <v>0</v>
      </c>
      <c r="F141" s="179">
        <f>+Données!X141</f>
        <v>61</v>
      </c>
      <c r="G141" s="296">
        <f t="shared" si="10"/>
        <v>0</v>
      </c>
      <c r="H141" s="124">
        <f t="shared" si="11"/>
        <v>0.90138491189450887</v>
      </c>
      <c r="I141" s="42">
        <f t="shared" si="12"/>
        <v>0</v>
      </c>
    </row>
    <row r="142" spans="1:9" x14ac:dyDescent="0.25">
      <c r="A142" s="38">
        <f>Données!A142</f>
        <v>5640</v>
      </c>
      <c r="B142" s="27" t="str">
        <f>Données!B142</f>
        <v>Lussy-sur-Morges</v>
      </c>
      <c r="C142" s="31">
        <f>Données!Z142</f>
        <v>730</v>
      </c>
      <c r="D142" s="179">
        <f>Ecrêtage!E142</f>
        <v>79.13773133694383</v>
      </c>
      <c r="E142" s="179">
        <f t="shared" si="9"/>
        <v>0</v>
      </c>
      <c r="F142" s="179">
        <f>+Données!X142</f>
        <v>64.5</v>
      </c>
      <c r="G142" s="296">
        <f t="shared" si="10"/>
        <v>0</v>
      </c>
      <c r="H142" s="124">
        <f t="shared" si="11"/>
        <v>0.95310371831468566</v>
      </c>
      <c r="I142" s="42">
        <f t="shared" si="12"/>
        <v>0</v>
      </c>
    </row>
    <row r="143" spans="1:9" x14ac:dyDescent="0.25">
      <c r="A143" s="38">
        <f>Données!A143</f>
        <v>5642</v>
      </c>
      <c r="B143" s="27" t="str">
        <f>Données!B143</f>
        <v>Morges</v>
      </c>
      <c r="C143" s="31">
        <f>Données!Z143</f>
        <v>17530</v>
      </c>
      <c r="D143" s="179">
        <f>Ecrêtage!E143</f>
        <v>52.520750823747782</v>
      </c>
      <c r="E143" s="179">
        <f t="shared" si="9"/>
        <v>0</v>
      </c>
      <c r="F143" s="179">
        <f>+Données!X143</f>
        <v>67</v>
      </c>
      <c r="G143" s="296">
        <f t="shared" si="10"/>
        <v>0</v>
      </c>
      <c r="H143" s="124">
        <f t="shared" si="11"/>
        <v>0.99004572290052617</v>
      </c>
      <c r="I143" s="42">
        <f t="shared" si="12"/>
        <v>0</v>
      </c>
    </row>
    <row r="144" spans="1:9" x14ac:dyDescent="0.25">
      <c r="A144" s="38">
        <f>Données!A144</f>
        <v>5643</v>
      </c>
      <c r="B144" s="27" t="str">
        <f>Données!B144</f>
        <v>Préverenges</v>
      </c>
      <c r="C144" s="31">
        <f>Données!Z144</f>
        <v>5209</v>
      </c>
      <c r="D144" s="179">
        <f>Ecrêtage!E144</f>
        <v>48.515674102514865</v>
      </c>
      <c r="E144" s="179">
        <f t="shared" si="9"/>
        <v>0</v>
      </c>
      <c r="F144" s="179">
        <f>+Données!X144</f>
        <v>62.5</v>
      </c>
      <c r="G144" s="296">
        <f t="shared" si="10"/>
        <v>0</v>
      </c>
      <c r="H144" s="124">
        <f t="shared" si="11"/>
        <v>0.92355011464601322</v>
      </c>
      <c r="I144" s="42">
        <f t="shared" si="12"/>
        <v>0</v>
      </c>
    </row>
    <row r="145" spans="1:9" x14ac:dyDescent="0.25">
      <c r="A145" s="38">
        <f>Données!A145</f>
        <v>5645</v>
      </c>
      <c r="B145" s="27" t="str">
        <f>Données!B145</f>
        <v>Romanel-sur-Morges</v>
      </c>
      <c r="C145" s="31">
        <f>Données!Z145</f>
        <v>458</v>
      </c>
      <c r="D145" s="179">
        <f>Ecrêtage!E145</f>
        <v>51.894830786026205</v>
      </c>
      <c r="E145" s="179">
        <f t="shared" si="9"/>
        <v>0</v>
      </c>
      <c r="F145" s="179">
        <f>+Données!X145</f>
        <v>56</v>
      </c>
      <c r="G145" s="296">
        <f t="shared" si="10"/>
        <v>0</v>
      </c>
      <c r="H145" s="124">
        <f t="shared" si="11"/>
        <v>0.82750090272282784</v>
      </c>
      <c r="I145" s="42">
        <f t="shared" si="12"/>
        <v>0</v>
      </c>
    </row>
    <row r="146" spans="1:9" x14ac:dyDescent="0.25">
      <c r="A146" s="38">
        <f>Données!A146</f>
        <v>5646</v>
      </c>
      <c r="B146" s="27" t="str">
        <f>Données!B146</f>
        <v>Saint-Prex</v>
      </c>
      <c r="C146" s="31">
        <f>Données!Z146</f>
        <v>5876</v>
      </c>
      <c r="D146" s="179">
        <f>Ecrêtage!E146</f>
        <v>87.719462925892159</v>
      </c>
      <c r="E146" s="179">
        <f t="shared" si="9"/>
        <v>0</v>
      </c>
      <c r="F146" s="179">
        <f>+Données!X146</f>
        <v>59</v>
      </c>
      <c r="G146" s="296">
        <f t="shared" si="10"/>
        <v>0</v>
      </c>
      <c r="H146" s="124">
        <f t="shared" si="11"/>
        <v>0.87183130822583643</v>
      </c>
      <c r="I146" s="42">
        <f t="shared" si="12"/>
        <v>0</v>
      </c>
    </row>
    <row r="147" spans="1:9" x14ac:dyDescent="0.25">
      <c r="A147" s="38">
        <f>Données!A147</f>
        <v>5648</v>
      </c>
      <c r="B147" s="27" t="str">
        <f>Données!B147</f>
        <v>Saint-Sulpice</v>
      </c>
      <c r="C147" s="31">
        <f>Données!Z147</f>
        <v>5036</v>
      </c>
      <c r="D147" s="179">
        <f>Ecrêtage!E147</f>
        <v>82.809140344068169</v>
      </c>
      <c r="E147" s="179">
        <f t="shared" si="9"/>
        <v>0</v>
      </c>
      <c r="F147" s="179">
        <f>+Données!X147</f>
        <v>55</v>
      </c>
      <c r="G147" s="296">
        <f t="shared" si="10"/>
        <v>0</v>
      </c>
      <c r="H147" s="124">
        <f t="shared" si="11"/>
        <v>0.81272410088849167</v>
      </c>
      <c r="I147" s="42">
        <f t="shared" si="12"/>
        <v>0</v>
      </c>
    </row>
    <row r="148" spans="1:9" x14ac:dyDescent="0.25">
      <c r="A148" s="38">
        <f>Données!A148</f>
        <v>5649</v>
      </c>
      <c r="B148" s="27" t="str">
        <f>Données!B148</f>
        <v>Tolochenaz</v>
      </c>
      <c r="C148" s="31">
        <f>Données!Z148</f>
        <v>1890</v>
      </c>
      <c r="D148" s="179">
        <f>Ecrêtage!E148</f>
        <v>174.4156931216931</v>
      </c>
      <c r="E148" s="179">
        <f t="shared" si="9"/>
        <v>0</v>
      </c>
      <c r="F148" s="179">
        <f>+Données!X148</f>
        <v>64</v>
      </c>
      <c r="G148" s="296">
        <f t="shared" si="10"/>
        <v>0</v>
      </c>
      <c r="H148" s="124">
        <f t="shared" si="11"/>
        <v>0.94571531739751757</v>
      </c>
      <c r="I148" s="42">
        <f t="shared" si="12"/>
        <v>0</v>
      </c>
    </row>
    <row r="149" spans="1:9" x14ac:dyDescent="0.25">
      <c r="A149" s="38">
        <f>Données!A149</f>
        <v>5650</v>
      </c>
      <c r="B149" s="27" t="str">
        <f>Données!B149</f>
        <v>Vaux-sur-Morges</v>
      </c>
      <c r="C149" s="31">
        <f>Données!Z149</f>
        <v>185</v>
      </c>
      <c r="D149" s="179">
        <f>Ecrêtage!E149</f>
        <v>488.69044208494211</v>
      </c>
      <c r="E149" s="179">
        <f t="shared" si="9"/>
        <v>0</v>
      </c>
      <c r="F149" s="179">
        <f>+Données!X149</f>
        <v>56</v>
      </c>
      <c r="G149" s="296">
        <f t="shared" si="10"/>
        <v>0</v>
      </c>
      <c r="H149" s="124">
        <f t="shared" si="11"/>
        <v>0.82750090272282784</v>
      </c>
      <c r="I149" s="42">
        <f t="shared" si="12"/>
        <v>0</v>
      </c>
    </row>
    <row r="150" spans="1:9" x14ac:dyDescent="0.25">
      <c r="A150" s="38">
        <f>Données!A150</f>
        <v>5651</v>
      </c>
      <c r="B150" s="27" t="str">
        <f>Données!B150</f>
        <v>Villars-Sainte-Croix</v>
      </c>
      <c r="C150" s="31">
        <f>Données!Z150</f>
        <v>978</v>
      </c>
      <c r="D150" s="179">
        <f>Ecrêtage!E150</f>
        <v>57.027145464685901</v>
      </c>
      <c r="E150" s="179">
        <f t="shared" si="9"/>
        <v>0</v>
      </c>
      <c r="F150" s="179">
        <f>+Données!X150</f>
        <v>60.5</v>
      </c>
      <c r="G150" s="296">
        <f t="shared" si="10"/>
        <v>0</v>
      </c>
      <c r="H150" s="124">
        <f t="shared" si="11"/>
        <v>0.89399651097734079</v>
      </c>
      <c r="I150" s="42">
        <f t="shared" si="12"/>
        <v>0</v>
      </c>
    </row>
    <row r="151" spans="1:9" x14ac:dyDescent="0.25">
      <c r="A151" s="38">
        <f>Données!A151</f>
        <v>5652</v>
      </c>
      <c r="B151" s="27" t="str">
        <f>Données!B151</f>
        <v>Villars-sous-Yens</v>
      </c>
      <c r="C151" s="31">
        <f>Données!Z151</f>
        <v>615</v>
      </c>
      <c r="D151" s="179">
        <f>Ecrêtage!E151</f>
        <v>42.206693232063905</v>
      </c>
      <c r="E151" s="179">
        <f t="shared" si="9"/>
        <v>5.7022854077944061</v>
      </c>
      <c r="F151" s="179">
        <f>+Données!X151</f>
        <v>76</v>
      </c>
      <c r="G151" s="296">
        <f t="shared" si="10"/>
        <v>-71961.701389283844</v>
      </c>
      <c r="H151" s="124">
        <f t="shared" si="11"/>
        <v>1.1230369394095521</v>
      </c>
      <c r="I151" s="42">
        <f t="shared" si="12"/>
        <v>-80815.648882925438</v>
      </c>
    </row>
    <row r="152" spans="1:9" x14ac:dyDescent="0.25">
      <c r="A152" s="38">
        <f>Données!A152</f>
        <v>5653</v>
      </c>
      <c r="B152" s="27" t="str">
        <f>Données!B152</f>
        <v>Vufflens-le-Château</v>
      </c>
      <c r="C152" s="31">
        <f>Données!Z152</f>
        <v>884</v>
      </c>
      <c r="D152" s="179">
        <f>Ecrêtage!E152</f>
        <v>80.70869435742739</v>
      </c>
      <c r="E152" s="179">
        <f t="shared" si="9"/>
        <v>0</v>
      </c>
      <c r="F152" s="179">
        <f>+Données!X152</f>
        <v>58.5</v>
      </c>
      <c r="G152" s="296">
        <f t="shared" si="10"/>
        <v>0</v>
      </c>
      <c r="H152" s="124">
        <f t="shared" si="11"/>
        <v>0.86444290730866835</v>
      </c>
      <c r="I152" s="42">
        <f t="shared" si="12"/>
        <v>0</v>
      </c>
    </row>
    <row r="153" spans="1:9" x14ac:dyDescent="0.25">
      <c r="A153" s="38">
        <f>Données!A153</f>
        <v>5654</v>
      </c>
      <c r="B153" s="27" t="str">
        <f>Données!B153</f>
        <v>Vullierens</v>
      </c>
      <c r="C153" s="31">
        <f>Données!Z153</f>
        <v>562</v>
      </c>
      <c r="D153" s="179">
        <f>Ecrêtage!E153</f>
        <v>36.905941421614529</v>
      </c>
      <c r="E153" s="179">
        <f t="shared" si="9"/>
        <v>11.003037218243783</v>
      </c>
      <c r="F153" s="179">
        <f>+Données!X153</f>
        <v>76</v>
      </c>
      <c r="G153" s="296">
        <f t="shared" si="10"/>
        <v>-126889.6659297197</v>
      </c>
      <c r="H153" s="124">
        <f t="shared" si="11"/>
        <v>1.1230369394095521</v>
      </c>
      <c r="I153" s="42">
        <f t="shared" si="12"/>
        <v>-142501.78206841293</v>
      </c>
    </row>
    <row r="154" spans="1:9" x14ac:dyDescent="0.25">
      <c r="A154" s="38">
        <f>Données!A154</f>
        <v>5655</v>
      </c>
      <c r="B154" s="27" t="str">
        <f>Données!B154</f>
        <v>Yens</v>
      </c>
      <c r="C154" s="31">
        <f>Données!Z154</f>
        <v>1513</v>
      </c>
      <c r="D154" s="179">
        <f>Ecrêtage!E154</f>
        <v>53.858501749407232</v>
      </c>
      <c r="E154" s="179">
        <f t="shared" si="9"/>
        <v>0</v>
      </c>
      <c r="F154" s="179">
        <f>+Données!X154</f>
        <v>71.5</v>
      </c>
      <c r="G154" s="296">
        <f t="shared" si="10"/>
        <v>0</v>
      </c>
      <c r="H154" s="124">
        <f t="shared" si="11"/>
        <v>1.0565413311550391</v>
      </c>
      <c r="I154" s="42">
        <f t="shared" si="12"/>
        <v>0</v>
      </c>
    </row>
    <row r="155" spans="1:9" x14ac:dyDescent="0.25">
      <c r="A155" s="38">
        <f>Données!A155</f>
        <v>5656</v>
      </c>
      <c r="B155" s="27" t="str">
        <f>Données!B155</f>
        <v>Hautemorges</v>
      </c>
      <c r="C155" s="31">
        <f>Données!Z155</f>
        <v>4257</v>
      </c>
      <c r="D155" s="179">
        <f>Ecrêtage!E155</f>
        <v>39.683198658598812</v>
      </c>
      <c r="E155" s="179">
        <f t="shared" si="9"/>
        <v>8.2257799812594996</v>
      </c>
      <c r="F155" s="179">
        <f>+Données!X155</f>
        <v>72.5</v>
      </c>
      <c r="G155" s="296">
        <f t="shared" si="10"/>
        <v>-685460.62081783963</v>
      </c>
      <c r="H155" s="124">
        <f t="shared" si="11"/>
        <v>1.0713181329893753</v>
      </c>
      <c r="I155" s="42">
        <f t="shared" si="12"/>
        <v>-734346.39253230602</v>
      </c>
    </row>
    <row r="156" spans="1:9" x14ac:dyDescent="0.25">
      <c r="A156" s="38">
        <f>Données!A156</f>
        <v>5661</v>
      </c>
      <c r="B156" s="27" t="str">
        <f>Données!B156</f>
        <v>Boulens</v>
      </c>
      <c r="C156" s="31">
        <f>Données!Z156</f>
        <v>383</v>
      </c>
      <c r="D156" s="179">
        <f>Ecrêtage!E156</f>
        <v>28.743247457503333</v>
      </c>
      <c r="E156" s="179">
        <f t="shared" si="9"/>
        <v>19.165731182354978</v>
      </c>
      <c r="F156" s="179">
        <f>+Données!X156</f>
        <v>71.5</v>
      </c>
      <c r="G156" s="296">
        <f t="shared" si="10"/>
        <v>-141707.87070206398</v>
      </c>
      <c r="H156" s="124">
        <f t="shared" si="11"/>
        <v>1.0565413311550391</v>
      </c>
      <c r="I156" s="42">
        <f t="shared" si="12"/>
        <v>-149720.22234670486</v>
      </c>
    </row>
    <row r="157" spans="1:9" x14ac:dyDescent="0.25">
      <c r="A157" s="38">
        <f>Données!A157</f>
        <v>5663</v>
      </c>
      <c r="B157" s="27" t="str">
        <f>Données!B157</f>
        <v>Bussy-sur-Moudon</v>
      </c>
      <c r="C157" s="31">
        <f>Données!Z157</f>
        <v>246</v>
      </c>
      <c r="D157" s="179">
        <f>Ecrêtage!E157</f>
        <v>26.275346693594326</v>
      </c>
      <c r="E157" s="179">
        <f t="shared" si="9"/>
        <v>21.633631946263986</v>
      </c>
      <c r="F157" s="179">
        <f>+Données!X157</f>
        <v>78.5</v>
      </c>
      <c r="G157" s="296">
        <f t="shared" si="10"/>
        <v>-112797.10795886203</v>
      </c>
      <c r="H157" s="124">
        <f t="shared" si="11"/>
        <v>1.1599789439953927</v>
      </c>
      <c r="I157" s="42">
        <f t="shared" si="12"/>
        <v>-130842.27017585508</v>
      </c>
    </row>
    <row r="158" spans="1:9" x14ac:dyDescent="0.25">
      <c r="A158" s="38">
        <f>Données!A158</f>
        <v>5665</v>
      </c>
      <c r="B158" s="27" t="str">
        <f>Données!B158</f>
        <v>Chavannes-sur-Moudon</v>
      </c>
      <c r="C158" s="31">
        <f>Données!Z158</f>
        <v>218</v>
      </c>
      <c r="D158" s="179">
        <f>Ecrêtage!E158</f>
        <v>26.543664482306689</v>
      </c>
      <c r="E158" s="179">
        <f t="shared" si="9"/>
        <v>21.365314157551623</v>
      </c>
      <c r="F158" s="179">
        <f>+Données!X158</f>
        <v>70</v>
      </c>
      <c r="G158" s="296">
        <f t="shared" si="10"/>
        <v>-88029.367391944194</v>
      </c>
      <c r="H158" s="124">
        <f t="shared" si="11"/>
        <v>1.0343761284035349</v>
      </c>
      <c r="I158" s="42">
        <f t="shared" si="12"/>
        <v>-91055.476228691608</v>
      </c>
    </row>
    <row r="159" spans="1:9" x14ac:dyDescent="0.25">
      <c r="A159" s="38">
        <f>Données!A159</f>
        <v>5669</v>
      </c>
      <c r="B159" s="27" t="str">
        <f>Données!B159</f>
        <v>Curtilles</v>
      </c>
      <c r="C159" s="31">
        <f>Données!Z159</f>
        <v>294</v>
      </c>
      <c r="D159" s="179">
        <f>Ecrêtage!E159</f>
        <v>28.666748206131761</v>
      </c>
      <c r="E159" s="179">
        <f t="shared" si="9"/>
        <v>19.242230433726551</v>
      </c>
      <c r="F159" s="179">
        <f>+Données!X159</f>
        <v>73</v>
      </c>
      <c r="G159" s="296">
        <f t="shared" si="10"/>
        <v>-111503.72238353261</v>
      </c>
      <c r="H159" s="124">
        <f t="shared" si="11"/>
        <v>1.0787065339065434</v>
      </c>
      <c r="I159" s="42">
        <f t="shared" si="12"/>
        <v>-120279.79389001793</v>
      </c>
    </row>
    <row r="160" spans="1:9" x14ac:dyDescent="0.25">
      <c r="A160" s="38">
        <f>Données!A160</f>
        <v>5671</v>
      </c>
      <c r="B160" s="27" t="str">
        <f>Données!B160</f>
        <v>Dompierre</v>
      </c>
      <c r="C160" s="31">
        <f>Données!Z160</f>
        <v>248</v>
      </c>
      <c r="D160" s="179">
        <f>Ecrêtage!E160</f>
        <v>27.2230076509512</v>
      </c>
      <c r="E160" s="179">
        <f t="shared" si="9"/>
        <v>20.685970988907112</v>
      </c>
      <c r="F160" s="179">
        <f>+Données!X160</f>
        <v>78</v>
      </c>
      <c r="G160" s="296">
        <f t="shared" si="10"/>
        <v>-108040.34415854319</v>
      </c>
      <c r="H160" s="124">
        <f t="shared" si="11"/>
        <v>1.1525905430782244</v>
      </c>
      <c r="I160" s="42">
        <f t="shared" si="12"/>
        <v>-124526.27894805356</v>
      </c>
    </row>
    <row r="161" spans="1:9" x14ac:dyDescent="0.25">
      <c r="A161" s="38">
        <f>Données!A161</f>
        <v>5673</v>
      </c>
      <c r="B161" s="27" t="str">
        <f>Données!B161</f>
        <v>Hermenches</v>
      </c>
      <c r="C161" s="31">
        <f>Données!Z161</f>
        <v>374</v>
      </c>
      <c r="D161" s="179">
        <f>Ecrêtage!E161</f>
        <v>25.868851540616241</v>
      </c>
      <c r="E161" s="179">
        <f t="shared" si="9"/>
        <v>22.040127099242071</v>
      </c>
      <c r="F161" s="179">
        <f>+Données!X161</f>
        <v>73.5</v>
      </c>
      <c r="G161" s="296">
        <f t="shared" si="10"/>
        <v>-163582.48453438765</v>
      </c>
      <c r="H161" s="124">
        <f t="shared" si="11"/>
        <v>1.0860949348237114</v>
      </c>
      <c r="I161" s="42">
        <f t="shared" si="12"/>
        <v>-177666.10787867653</v>
      </c>
    </row>
    <row r="162" spans="1:9" x14ac:dyDescent="0.25">
      <c r="A162" s="38">
        <f>Données!A162</f>
        <v>5674</v>
      </c>
      <c r="B162" s="27" t="str">
        <f>Données!B162</f>
        <v>Lovatens</v>
      </c>
      <c r="C162" s="31">
        <f>Données!Z162</f>
        <v>143</v>
      </c>
      <c r="D162" s="179">
        <f>Ecrêtage!E162</f>
        <v>24.747848951048951</v>
      </c>
      <c r="E162" s="179">
        <f t="shared" si="9"/>
        <v>23.161129688809361</v>
      </c>
      <c r="F162" s="179">
        <f>+Données!X162</f>
        <v>75</v>
      </c>
      <c r="G162" s="296">
        <f t="shared" si="10"/>
        <v>-67068.841296369705</v>
      </c>
      <c r="H162" s="124">
        <f t="shared" si="11"/>
        <v>1.1082601375752159</v>
      </c>
      <c r="I162" s="42">
        <f t="shared" si="12"/>
        <v>-74329.723282125007</v>
      </c>
    </row>
    <row r="163" spans="1:9" x14ac:dyDescent="0.25">
      <c r="A163" s="38">
        <f>Données!A163</f>
        <v>5675</v>
      </c>
      <c r="B163" s="27" t="str">
        <f>Données!B163</f>
        <v>Lucens</v>
      </c>
      <c r="C163" s="31">
        <f>Données!Z163</f>
        <v>4420</v>
      </c>
      <c r="D163" s="179">
        <f>Ecrêtage!E163</f>
        <v>20.995377483286919</v>
      </c>
      <c r="E163" s="179">
        <f t="shared" si="9"/>
        <v>26.913601156571392</v>
      </c>
      <c r="F163" s="179">
        <f>+Données!X163</f>
        <v>69.5</v>
      </c>
      <c r="G163" s="296">
        <f t="shared" si="10"/>
        <v>-2232249.067607535</v>
      </c>
      <c r="H163" s="124">
        <f t="shared" si="11"/>
        <v>1.0269877274863668</v>
      </c>
      <c r="I163" s="42">
        <f t="shared" si="12"/>
        <v>-2292492.3971258234</v>
      </c>
    </row>
    <row r="164" spans="1:9" x14ac:dyDescent="0.25">
      <c r="A164" s="38">
        <f>Données!A164</f>
        <v>5678</v>
      </c>
      <c r="B164" s="27" t="str">
        <f>Données!B164</f>
        <v>Moudon</v>
      </c>
      <c r="C164" s="31">
        <f>Données!Z164</f>
        <v>6132</v>
      </c>
      <c r="D164" s="179">
        <f>Ecrêtage!E164</f>
        <v>21.308860336954808</v>
      </c>
      <c r="E164" s="179">
        <f t="shared" si="9"/>
        <v>26.600118302903503</v>
      </c>
      <c r="F164" s="179">
        <f>+Données!X164</f>
        <v>72.5</v>
      </c>
      <c r="G164" s="296">
        <f t="shared" si="10"/>
        <v>-3192915.9403588888</v>
      </c>
      <c r="H164" s="124">
        <f t="shared" si="11"/>
        <v>1.0713181329893753</v>
      </c>
      <c r="I164" s="42">
        <f t="shared" si="12"/>
        <v>-3420628.7440173002</v>
      </c>
    </row>
    <row r="165" spans="1:9" x14ac:dyDescent="0.25">
      <c r="A165" s="38">
        <f>Données!A165</f>
        <v>5680</v>
      </c>
      <c r="B165" s="27" t="str">
        <f>Données!B165</f>
        <v>Ogens</v>
      </c>
      <c r="C165" s="31">
        <f>Données!Z165</f>
        <v>324</v>
      </c>
      <c r="D165" s="179">
        <f>Ecrêtage!E165</f>
        <v>31.159566054658654</v>
      </c>
      <c r="E165" s="179">
        <f t="shared" si="9"/>
        <v>16.749412585199657</v>
      </c>
      <c r="F165" s="179">
        <f>+Données!X165</f>
        <v>78</v>
      </c>
      <c r="G165" s="296">
        <f t="shared" si="10"/>
        <v>-114288.61181035475</v>
      </c>
      <c r="H165" s="124">
        <f t="shared" si="11"/>
        <v>1.1525905430782244</v>
      </c>
      <c r="I165" s="42">
        <f t="shared" si="12"/>
        <v>-131727.97315415315</v>
      </c>
    </row>
    <row r="166" spans="1:9" x14ac:dyDescent="0.25">
      <c r="A166" s="38">
        <f>Données!A166</f>
        <v>5683</v>
      </c>
      <c r="B166" s="27" t="str">
        <f>Données!B166</f>
        <v>Prévonloup</v>
      </c>
      <c r="C166" s="31">
        <f>Données!Z166</f>
        <v>220</v>
      </c>
      <c r="D166" s="179">
        <f>Ecrêtage!E166</f>
        <v>23.552403761755489</v>
      </c>
      <c r="E166" s="179">
        <f t="shared" si="9"/>
        <v>24.356574878102823</v>
      </c>
      <c r="F166" s="179">
        <f>+Données!X166</f>
        <v>72.5</v>
      </c>
      <c r="G166" s="296">
        <f t="shared" si="10"/>
        <v>-104891.58971254982</v>
      </c>
      <c r="H166" s="124">
        <f t="shared" si="11"/>
        <v>1.0713181329893753</v>
      </c>
      <c r="I166" s="42">
        <f t="shared" si="12"/>
        <v>-112372.26205713644</v>
      </c>
    </row>
    <row r="167" spans="1:9" x14ac:dyDescent="0.25">
      <c r="A167" s="38">
        <f>Données!A167</f>
        <v>5684</v>
      </c>
      <c r="B167" s="27" t="str">
        <f>Données!B167</f>
        <v>Rossenges</v>
      </c>
      <c r="C167" s="31">
        <f>Données!Z167</f>
        <v>93</v>
      </c>
      <c r="D167" s="179">
        <f>Ecrêtage!E167</f>
        <v>39.784598566308247</v>
      </c>
      <c r="E167" s="179">
        <f t="shared" si="9"/>
        <v>8.1243800735500642</v>
      </c>
      <c r="F167" s="179">
        <f>+Données!X167</f>
        <v>75</v>
      </c>
      <c r="G167" s="296">
        <f t="shared" si="10"/>
        <v>-15300.238773513162</v>
      </c>
      <c r="H167" s="124">
        <f t="shared" si="11"/>
        <v>1.1082601375752159</v>
      </c>
      <c r="I167" s="42">
        <f t="shared" si="12"/>
        <v>-16956.644728067349</v>
      </c>
    </row>
    <row r="168" spans="1:9" x14ac:dyDescent="0.25">
      <c r="A168" s="38">
        <f>Données!A168</f>
        <v>5688</v>
      </c>
      <c r="B168" s="27" t="str">
        <f>Données!B168</f>
        <v>Syens</v>
      </c>
      <c r="C168" s="31">
        <f>Données!Z168</f>
        <v>164</v>
      </c>
      <c r="D168" s="179">
        <f>Ecrêtage!E168</f>
        <v>32.176358348968108</v>
      </c>
      <c r="E168" s="179">
        <f t="shared" si="9"/>
        <v>15.732620290890203</v>
      </c>
      <c r="F168" s="179">
        <f>+Données!X168</f>
        <v>65</v>
      </c>
      <c r="G168" s="296">
        <f t="shared" si="10"/>
        <v>-45281.627721240184</v>
      </c>
      <c r="H168" s="124">
        <f t="shared" si="11"/>
        <v>0.96049211923185374</v>
      </c>
      <c r="I168" s="42">
        <f t="shared" si="12"/>
        <v>-43492.646572241843</v>
      </c>
    </row>
    <row r="169" spans="1:9" x14ac:dyDescent="0.25">
      <c r="A169" s="38">
        <f>Données!A169</f>
        <v>5690</v>
      </c>
      <c r="B169" s="27" t="str">
        <f>Données!B169</f>
        <v>Villars-le-Comte</v>
      </c>
      <c r="C169" s="31">
        <f>Données!Z169</f>
        <v>138</v>
      </c>
      <c r="D169" s="179">
        <f>Ecrêtage!E169</f>
        <v>31.386701518288476</v>
      </c>
      <c r="E169" s="179">
        <f t="shared" si="9"/>
        <v>16.522277121569836</v>
      </c>
      <c r="F169" s="179">
        <f>+Données!X169</f>
        <v>70</v>
      </c>
      <c r="G169" s="296">
        <f t="shared" si="10"/>
        <v>-43093.403188478449</v>
      </c>
      <c r="H169" s="124">
        <f t="shared" si="11"/>
        <v>1.0343761284035349</v>
      </c>
      <c r="I169" s="42">
        <f t="shared" si="12"/>
        <v>-44574.787549830886</v>
      </c>
    </row>
    <row r="170" spans="1:9" x14ac:dyDescent="0.25">
      <c r="A170" s="38">
        <f>Données!A170</f>
        <v>5692</v>
      </c>
      <c r="B170" s="27" t="str">
        <f>Données!B170</f>
        <v>Vucherens</v>
      </c>
      <c r="C170" s="31">
        <f>Données!Z170</f>
        <v>637</v>
      </c>
      <c r="D170" s="179">
        <f>Ecrêtage!E170</f>
        <v>29.745985443128305</v>
      </c>
      <c r="E170" s="179">
        <f t="shared" si="9"/>
        <v>18.162993196730007</v>
      </c>
      <c r="F170" s="179">
        <f>+Données!X170</f>
        <v>77</v>
      </c>
      <c r="G170" s="296">
        <f t="shared" si="10"/>
        <v>-240536.69639273072</v>
      </c>
      <c r="H170" s="124">
        <f t="shared" si="11"/>
        <v>1.1378137412438882</v>
      </c>
      <c r="I170" s="42">
        <f t="shared" si="12"/>
        <v>-273685.9584290582</v>
      </c>
    </row>
    <row r="171" spans="1:9" x14ac:dyDescent="0.25">
      <c r="A171" s="38">
        <f>Données!A171</f>
        <v>5693</v>
      </c>
      <c r="B171" s="27" t="str">
        <f>Données!B171</f>
        <v>Montanaire</v>
      </c>
      <c r="C171" s="31">
        <f>Données!Z171</f>
        <v>2820</v>
      </c>
      <c r="D171" s="179">
        <f>Ecrêtage!E171</f>
        <v>28.395813779128666</v>
      </c>
      <c r="E171" s="179">
        <f t="shared" si="9"/>
        <v>19.513164860729646</v>
      </c>
      <c r="F171" s="179">
        <f>+Données!X171</f>
        <v>70</v>
      </c>
      <c r="G171" s="296">
        <f t="shared" si="10"/>
        <v>-1040012.6607471687</v>
      </c>
      <c r="H171" s="124">
        <f t="shared" si="11"/>
        <v>1.0343761284035349</v>
      </c>
      <c r="I171" s="42">
        <f t="shared" si="12"/>
        <v>-1075764.2695143153</v>
      </c>
    </row>
    <row r="172" spans="1:9" x14ac:dyDescent="0.25">
      <c r="A172" s="38">
        <f>Données!A172</f>
        <v>5701</v>
      </c>
      <c r="B172" s="27" t="str">
        <f>Données!B172</f>
        <v>Arnex-sur-Nyon</v>
      </c>
      <c r="C172" s="31">
        <f>Données!Z172</f>
        <v>240</v>
      </c>
      <c r="D172" s="179">
        <f>Ecrêtage!E172</f>
        <v>54.153239880952377</v>
      </c>
      <c r="E172" s="179">
        <f t="shared" si="9"/>
        <v>0</v>
      </c>
      <c r="F172" s="179">
        <f>+Données!X172</f>
        <v>70</v>
      </c>
      <c r="G172" s="296">
        <f t="shared" si="10"/>
        <v>0</v>
      </c>
      <c r="H172" s="124">
        <f t="shared" si="11"/>
        <v>1.0343761284035349</v>
      </c>
      <c r="I172" s="42">
        <f t="shared" si="12"/>
        <v>0</v>
      </c>
    </row>
    <row r="173" spans="1:9" x14ac:dyDescent="0.25">
      <c r="A173" s="38">
        <f>Données!A173</f>
        <v>5702</v>
      </c>
      <c r="B173" s="27" t="str">
        <f>Données!B173</f>
        <v>Arzier-Le Muids</v>
      </c>
      <c r="C173" s="31">
        <f>Données!Z173</f>
        <v>2954</v>
      </c>
      <c r="D173" s="179">
        <f>Ecrêtage!E173</f>
        <v>63.636648453368316</v>
      </c>
      <c r="E173" s="179">
        <f t="shared" si="9"/>
        <v>0</v>
      </c>
      <c r="F173" s="179">
        <f>+Données!X173</f>
        <v>64</v>
      </c>
      <c r="G173" s="296">
        <f t="shared" si="10"/>
        <v>0</v>
      </c>
      <c r="H173" s="124">
        <f t="shared" si="11"/>
        <v>0.94571531739751757</v>
      </c>
      <c r="I173" s="42">
        <f t="shared" si="12"/>
        <v>0</v>
      </c>
    </row>
    <row r="174" spans="1:9" x14ac:dyDescent="0.25">
      <c r="A174" s="38">
        <f>Données!A174</f>
        <v>5703</v>
      </c>
      <c r="B174" s="27" t="str">
        <f>Données!B174</f>
        <v>Bassins</v>
      </c>
      <c r="C174" s="31">
        <f>Données!Z174</f>
        <v>1478</v>
      </c>
      <c r="D174" s="179">
        <f>Ecrêtage!E174</f>
        <v>44.276503716245486</v>
      </c>
      <c r="E174" s="179">
        <f t="shared" si="9"/>
        <v>3.6324749236128255</v>
      </c>
      <c r="F174" s="179">
        <f>+Données!X174</f>
        <v>72.5</v>
      </c>
      <c r="G174" s="296">
        <f t="shared" si="10"/>
        <v>-105094.21961872773</v>
      </c>
      <c r="H174" s="124">
        <f t="shared" si="11"/>
        <v>1.0713181329893753</v>
      </c>
      <c r="I174" s="42">
        <f t="shared" si="12"/>
        <v>-112589.34314991077</v>
      </c>
    </row>
    <row r="175" spans="1:9" x14ac:dyDescent="0.25">
      <c r="A175" s="38">
        <f>Données!A175</f>
        <v>5704</v>
      </c>
      <c r="B175" s="27" t="str">
        <f>Données!B175</f>
        <v>Begnins</v>
      </c>
      <c r="C175" s="31">
        <f>Données!Z175</f>
        <v>1938</v>
      </c>
      <c r="D175" s="179">
        <f>Ecrêtage!E175</f>
        <v>66.959107313381494</v>
      </c>
      <c r="E175" s="179">
        <f t="shared" si="9"/>
        <v>0</v>
      </c>
      <c r="F175" s="179">
        <f>+Données!X175</f>
        <v>62.5</v>
      </c>
      <c r="G175" s="296">
        <f t="shared" si="10"/>
        <v>0</v>
      </c>
      <c r="H175" s="124">
        <f t="shared" si="11"/>
        <v>0.92355011464601322</v>
      </c>
      <c r="I175" s="42">
        <f t="shared" si="12"/>
        <v>0</v>
      </c>
    </row>
    <row r="176" spans="1:9" x14ac:dyDescent="0.25">
      <c r="A176" s="38">
        <f>Données!A176</f>
        <v>5705</v>
      </c>
      <c r="B176" s="27" t="str">
        <f>Données!B176</f>
        <v>Bogis-Bossey</v>
      </c>
      <c r="C176" s="31">
        <f>Données!Z176</f>
        <v>923</v>
      </c>
      <c r="D176" s="179">
        <f>Ecrêtage!E176</f>
        <v>55.301720098598814</v>
      </c>
      <c r="E176" s="179">
        <f t="shared" si="9"/>
        <v>0</v>
      </c>
      <c r="F176" s="179">
        <f>+Données!X176</f>
        <v>74.5</v>
      </c>
      <c r="G176" s="296">
        <f t="shared" si="10"/>
        <v>0</v>
      </c>
      <c r="H176" s="124">
        <f t="shared" si="11"/>
        <v>1.1008717366580478</v>
      </c>
      <c r="I176" s="42">
        <f t="shared" si="12"/>
        <v>0</v>
      </c>
    </row>
    <row r="177" spans="1:9" x14ac:dyDescent="0.25">
      <c r="A177" s="38">
        <f>Données!A177</f>
        <v>5706</v>
      </c>
      <c r="B177" s="27" t="str">
        <f>Données!B177</f>
        <v>Borex</v>
      </c>
      <c r="C177" s="31">
        <f>Données!Z177</f>
        <v>1131</v>
      </c>
      <c r="D177" s="179">
        <f>Ecrêtage!E177</f>
        <v>61.130180867730779</v>
      </c>
      <c r="E177" s="179">
        <f t="shared" si="9"/>
        <v>0</v>
      </c>
      <c r="F177" s="179">
        <f>+Données!X177</f>
        <v>57</v>
      </c>
      <c r="G177" s="296">
        <f t="shared" si="10"/>
        <v>0</v>
      </c>
      <c r="H177" s="124">
        <f t="shared" si="11"/>
        <v>0.84227770455716411</v>
      </c>
      <c r="I177" s="42">
        <f t="shared" si="12"/>
        <v>0</v>
      </c>
    </row>
    <row r="178" spans="1:9" x14ac:dyDescent="0.25">
      <c r="A178" s="38">
        <f>Données!A178</f>
        <v>5707</v>
      </c>
      <c r="B178" s="27" t="str">
        <f>Données!B178</f>
        <v>Chavannes-de-Bogis</v>
      </c>
      <c r="C178" s="31">
        <f>Données!Z178</f>
        <v>1314</v>
      </c>
      <c r="D178" s="179">
        <f>Ecrêtage!E178</f>
        <v>66.054088769922487</v>
      </c>
      <c r="E178" s="179">
        <f t="shared" si="9"/>
        <v>0</v>
      </c>
      <c r="F178" s="179">
        <f>+Données!X178</f>
        <v>58</v>
      </c>
      <c r="G178" s="296">
        <f t="shared" si="10"/>
        <v>0</v>
      </c>
      <c r="H178" s="124">
        <f t="shared" si="11"/>
        <v>0.85705450639150027</v>
      </c>
      <c r="I178" s="42">
        <f t="shared" si="12"/>
        <v>0</v>
      </c>
    </row>
    <row r="179" spans="1:9" x14ac:dyDescent="0.25">
      <c r="A179" s="38">
        <f>Données!A179</f>
        <v>5708</v>
      </c>
      <c r="B179" s="27" t="str">
        <f>Données!B179</f>
        <v>Chavannes-des-Bois</v>
      </c>
      <c r="C179" s="31">
        <f>Données!Z179</f>
        <v>1019</v>
      </c>
      <c r="D179" s="179">
        <f>Ecrêtage!E179</f>
        <v>67.522546037060536</v>
      </c>
      <c r="E179" s="179">
        <f t="shared" si="9"/>
        <v>0</v>
      </c>
      <c r="F179" s="179">
        <f>+Données!X179</f>
        <v>68</v>
      </c>
      <c r="G179" s="296">
        <f t="shared" si="10"/>
        <v>0</v>
      </c>
      <c r="H179" s="124">
        <f t="shared" si="11"/>
        <v>1.0048225247348623</v>
      </c>
      <c r="I179" s="42">
        <f t="shared" si="12"/>
        <v>0</v>
      </c>
    </row>
    <row r="180" spans="1:9" x14ac:dyDescent="0.25">
      <c r="A180" s="38">
        <f>Données!A180</f>
        <v>5709</v>
      </c>
      <c r="B180" s="27" t="str">
        <f>Données!B180</f>
        <v>Chéserex</v>
      </c>
      <c r="C180" s="31">
        <f>Données!Z180</f>
        <v>1251</v>
      </c>
      <c r="D180" s="179">
        <f>Ecrêtage!E180</f>
        <v>72.728362432860749</v>
      </c>
      <c r="E180" s="179">
        <f t="shared" si="9"/>
        <v>0</v>
      </c>
      <c r="F180" s="179">
        <f>+Données!X180</f>
        <v>57</v>
      </c>
      <c r="G180" s="296">
        <f t="shared" si="10"/>
        <v>0</v>
      </c>
      <c r="H180" s="124">
        <f t="shared" si="11"/>
        <v>0.84227770455716411</v>
      </c>
      <c r="I180" s="42">
        <f t="shared" si="12"/>
        <v>0</v>
      </c>
    </row>
    <row r="181" spans="1:9" x14ac:dyDescent="0.25">
      <c r="A181" s="38">
        <f>Données!A181</f>
        <v>5710</v>
      </c>
      <c r="B181" s="27" t="str">
        <f>Données!B181</f>
        <v>Coinsins</v>
      </c>
      <c r="C181" s="31">
        <f>Données!Z181</f>
        <v>499</v>
      </c>
      <c r="D181" s="179">
        <f>Ecrêtage!E181</f>
        <v>67.22805257573971</v>
      </c>
      <c r="E181" s="179">
        <f t="shared" si="9"/>
        <v>0</v>
      </c>
      <c r="F181" s="179">
        <f>+Données!X181</f>
        <v>51</v>
      </c>
      <c r="G181" s="296">
        <f t="shared" si="10"/>
        <v>0</v>
      </c>
      <c r="H181" s="124">
        <f t="shared" si="11"/>
        <v>0.7536168935511468</v>
      </c>
      <c r="I181" s="42">
        <f t="shared" si="12"/>
        <v>0</v>
      </c>
    </row>
    <row r="182" spans="1:9" x14ac:dyDescent="0.25">
      <c r="A182" s="38">
        <f>Données!A182</f>
        <v>5711</v>
      </c>
      <c r="B182" s="27" t="str">
        <f>Données!B182</f>
        <v>Commugny</v>
      </c>
      <c r="C182" s="31">
        <f>Données!Z182</f>
        <v>2983</v>
      </c>
      <c r="D182" s="179">
        <f>Ecrêtage!E182</f>
        <v>102.40031620930664</v>
      </c>
      <c r="E182" s="179">
        <f t="shared" si="9"/>
        <v>0</v>
      </c>
      <c r="F182" s="179">
        <f>+Données!X182</f>
        <v>57</v>
      </c>
      <c r="G182" s="296">
        <f t="shared" si="10"/>
        <v>0</v>
      </c>
      <c r="H182" s="124">
        <f t="shared" si="11"/>
        <v>0.84227770455716411</v>
      </c>
      <c r="I182" s="42">
        <f t="shared" si="12"/>
        <v>0</v>
      </c>
    </row>
    <row r="183" spans="1:9" x14ac:dyDescent="0.25">
      <c r="A183" s="38">
        <f>Données!A183</f>
        <v>5712</v>
      </c>
      <c r="B183" s="27" t="str">
        <f>Données!B183</f>
        <v>Coppet</v>
      </c>
      <c r="C183" s="31">
        <f>Données!Z183</f>
        <v>3184</v>
      </c>
      <c r="D183" s="179">
        <f>Ecrêtage!E183</f>
        <v>132.78139680319839</v>
      </c>
      <c r="E183" s="179">
        <f t="shared" si="9"/>
        <v>0</v>
      </c>
      <c r="F183" s="179">
        <f>+Données!X183</f>
        <v>53</v>
      </c>
      <c r="G183" s="296">
        <f t="shared" si="10"/>
        <v>0</v>
      </c>
      <c r="H183" s="124">
        <f t="shared" si="11"/>
        <v>0.78317049721981924</v>
      </c>
      <c r="I183" s="42">
        <f t="shared" si="12"/>
        <v>0</v>
      </c>
    </row>
    <row r="184" spans="1:9" x14ac:dyDescent="0.25">
      <c r="A184" s="38">
        <f>Données!A184</f>
        <v>5713</v>
      </c>
      <c r="B184" s="27" t="str">
        <f>Données!B184</f>
        <v>Crans</v>
      </c>
      <c r="C184" s="31">
        <f>Données!Z184</f>
        <v>2357</v>
      </c>
      <c r="D184" s="179">
        <f>Ecrêtage!E184</f>
        <v>120.60594809546753</v>
      </c>
      <c r="E184" s="179">
        <f t="shared" si="9"/>
        <v>0</v>
      </c>
      <c r="F184" s="179">
        <f>+Données!X184</f>
        <v>59</v>
      </c>
      <c r="G184" s="296">
        <f t="shared" si="10"/>
        <v>0</v>
      </c>
      <c r="H184" s="124">
        <f t="shared" si="11"/>
        <v>0.87183130822583643</v>
      </c>
      <c r="I184" s="42">
        <f t="shared" si="12"/>
        <v>0</v>
      </c>
    </row>
    <row r="185" spans="1:9" x14ac:dyDescent="0.25">
      <c r="A185" s="38">
        <f>Données!A185</f>
        <v>5714</v>
      </c>
      <c r="B185" s="27" t="str">
        <f>Données!B185</f>
        <v>Crassier</v>
      </c>
      <c r="C185" s="31">
        <f>Données!Z185</f>
        <v>1233</v>
      </c>
      <c r="D185" s="179">
        <f>Ecrêtage!E185</f>
        <v>50.708984505058275</v>
      </c>
      <c r="E185" s="179">
        <f t="shared" si="9"/>
        <v>0</v>
      </c>
      <c r="F185" s="179">
        <f>+Données!X185</f>
        <v>66.5</v>
      </c>
      <c r="G185" s="296">
        <f t="shared" si="10"/>
        <v>0</v>
      </c>
      <c r="H185" s="124">
        <f t="shared" si="11"/>
        <v>0.98265732198335809</v>
      </c>
      <c r="I185" s="42">
        <f t="shared" si="12"/>
        <v>0</v>
      </c>
    </row>
    <row r="186" spans="1:9" x14ac:dyDescent="0.25">
      <c r="A186" s="38">
        <f>Données!A186</f>
        <v>5715</v>
      </c>
      <c r="B186" s="27" t="str">
        <f>Données!B186</f>
        <v>Duillier</v>
      </c>
      <c r="C186" s="31">
        <f>Données!Z186</f>
        <v>1116</v>
      </c>
      <c r="D186" s="179">
        <f>Ecrêtage!E186</f>
        <v>54.255827223851426</v>
      </c>
      <c r="E186" s="179">
        <f t="shared" si="9"/>
        <v>0</v>
      </c>
      <c r="F186" s="179">
        <f>+Données!X186</f>
        <v>66</v>
      </c>
      <c r="G186" s="296">
        <f t="shared" si="10"/>
        <v>0</v>
      </c>
      <c r="H186" s="124">
        <f t="shared" si="11"/>
        <v>0.97526892106619001</v>
      </c>
      <c r="I186" s="42">
        <f t="shared" si="12"/>
        <v>0</v>
      </c>
    </row>
    <row r="187" spans="1:9" x14ac:dyDescent="0.25">
      <c r="A187" s="38">
        <f>Données!A187</f>
        <v>5716</v>
      </c>
      <c r="B187" s="27" t="str">
        <f>Données!B187</f>
        <v>Eysins</v>
      </c>
      <c r="C187" s="31">
        <f>Données!Z187</f>
        <v>1768</v>
      </c>
      <c r="D187" s="179">
        <f>Ecrêtage!E187</f>
        <v>131.47585963344613</v>
      </c>
      <c r="E187" s="179">
        <f t="shared" si="9"/>
        <v>0</v>
      </c>
      <c r="F187" s="179">
        <f>+Données!X187</f>
        <v>59.5</v>
      </c>
      <c r="G187" s="296">
        <f t="shared" si="10"/>
        <v>0</v>
      </c>
      <c r="H187" s="124">
        <f t="shared" si="11"/>
        <v>0.87921970914300462</v>
      </c>
      <c r="I187" s="42">
        <f t="shared" si="12"/>
        <v>0</v>
      </c>
    </row>
    <row r="188" spans="1:9" x14ac:dyDescent="0.25">
      <c r="A188" s="38">
        <f>Données!A188</f>
        <v>5717</v>
      </c>
      <c r="B188" s="27" t="str">
        <f>Données!B188</f>
        <v>Founex</v>
      </c>
      <c r="C188" s="31">
        <f>Données!Z188</f>
        <v>3763</v>
      </c>
      <c r="D188" s="179">
        <f>Ecrêtage!E188</f>
        <v>96.08838869696163</v>
      </c>
      <c r="E188" s="179">
        <f t="shared" si="9"/>
        <v>0</v>
      </c>
      <c r="F188" s="179">
        <f>+Données!X188</f>
        <v>57</v>
      </c>
      <c r="G188" s="296">
        <f t="shared" si="10"/>
        <v>0</v>
      </c>
      <c r="H188" s="124">
        <f t="shared" si="11"/>
        <v>0.84227770455716411</v>
      </c>
      <c r="I188" s="42">
        <f t="shared" si="12"/>
        <v>0</v>
      </c>
    </row>
    <row r="189" spans="1:9" x14ac:dyDescent="0.25">
      <c r="A189" s="38">
        <f>Données!A189</f>
        <v>5718</v>
      </c>
      <c r="B189" s="27" t="str">
        <f>Données!B189</f>
        <v>Genolier</v>
      </c>
      <c r="C189" s="31">
        <f>Données!Z189</f>
        <v>2026</v>
      </c>
      <c r="D189" s="179">
        <f>Ecrêtage!E189</f>
        <v>104.98036543121241</v>
      </c>
      <c r="E189" s="179">
        <f t="shared" si="9"/>
        <v>0</v>
      </c>
      <c r="F189" s="179">
        <f>+Données!X189</f>
        <v>55</v>
      </c>
      <c r="G189" s="296">
        <f t="shared" si="10"/>
        <v>0</v>
      </c>
      <c r="H189" s="124">
        <f t="shared" si="11"/>
        <v>0.81272410088849167</v>
      </c>
      <c r="I189" s="42">
        <f t="shared" si="12"/>
        <v>0</v>
      </c>
    </row>
    <row r="190" spans="1:9" x14ac:dyDescent="0.25">
      <c r="A190" s="38">
        <f>Données!A190</f>
        <v>5719</v>
      </c>
      <c r="B190" s="27" t="str">
        <f>Données!B190</f>
        <v>Gingins</v>
      </c>
      <c r="C190" s="31">
        <f>Données!Z190</f>
        <v>1270</v>
      </c>
      <c r="D190" s="179">
        <f>Ecrêtage!E190</f>
        <v>94.442880139982492</v>
      </c>
      <c r="E190" s="179">
        <f t="shared" si="9"/>
        <v>0</v>
      </c>
      <c r="F190" s="179">
        <f>+Données!X190</f>
        <v>60</v>
      </c>
      <c r="G190" s="296">
        <f t="shared" si="10"/>
        <v>0</v>
      </c>
      <c r="H190" s="124">
        <f t="shared" si="11"/>
        <v>0.8866081100601727</v>
      </c>
      <c r="I190" s="42">
        <f t="shared" si="12"/>
        <v>0</v>
      </c>
    </row>
    <row r="191" spans="1:9" x14ac:dyDescent="0.25">
      <c r="A191" s="38">
        <f>Données!A191</f>
        <v>5720</v>
      </c>
      <c r="B191" s="27" t="str">
        <f>Données!B191</f>
        <v>Givrins</v>
      </c>
      <c r="C191" s="31">
        <f>Données!Z191</f>
        <v>1024</v>
      </c>
      <c r="D191" s="179">
        <f>Ecrêtage!E191</f>
        <v>82.878090941775497</v>
      </c>
      <c r="E191" s="179">
        <f t="shared" si="9"/>
        <v>0</v>
      </c>
      <c r="F191" s="179">
        <f>+Données!X191</f>
        <v>67</v>
      </c>
      <c r="G191" s="296">
        <f t="shared" si="10"/>
        <v>0</v>
      </c>
      <c r="H191" s="124">
        <f t="shared" si="11"/>
        <v>0.99004572290052617</v>
      </c>
      <c r="I191" s="42">
        <f t="shared" si="12"/>
        <v>0</v>
      </c>
    </row>
    <row r="192" spans="1:9" x14ac:dyDescent="0.25">
      <c r="A192" s="38">
        <f>Données!A192</f>
        <v>5721</v>
      </c>
      <c r="B192" s="27" t="str">
        <f>Données!B192</f>
        <v>Gland</v>
      </c>
      <c r="C192" s="31">
        <f>Données!Z192</f>
        <v>13686</v>
      </c>
      <c r="D192" s="179">
        <f>Ecrêtage!E192</f>
        <v>50.336486022571826</v>
      </c>
      <c r="E192" s="179">
        <f t="shared" si="9"/>
        <v>0</v>
      </c>
      <c r="F192" s="179">
        <f>+Données!X192</f>
        <v>61</v>
      </c>
      <c r="G192" s="296">
        <f t="shared" si="10"/>
        <v>0</v>
      </c>
      <c r="H192" s="124">
        <f t="shared" si="11"/>
        <v>0.90138491189450887</v>
      </c>
      <c r="I192" s="42">
        <f t="shared" si="12"/>
        <v>0</v>
      </c>
    </row>
    <row r="193" spans="1:9" x14ac:dyDescent="0.25">
      <c r="A193" s="38">
        <f>Données!A193</f>
        <v>5722</v>
      </c>
      <c r="B193" s="27" t="str">
        <f>Données!B193</f>
        <v>Grens</v>
      </c>
      <c r="C193" s="31">
        <f>Données!Z193</f>
        <v>400</v>
      </c>
      <c r="D193" s="179">
        <f>Ecrêtage!E193</f>
        <v>52.281502822580642</v>
      </c>
      <c r="E193" s="179">
        <f t="shared" si="9"/>
        <v>0</v>
      </c>
      <c r="F193" s="179">
        <f>+Données!X193</f>
        <v>62</v>
      </c>
      <c r="G193" s="296">
        <f t="shared" si="10"/>
        <v>0</v>
      </c>
      <c r="H193" s="124">
        <f t="shared" si="11"/>
        <v>0.91616171372884514</v>
      </c>
      <c r="I193" s="42">
        <f t="shared" si="12"/>
        <v>0</v>
      </c>
    </row>
    <row r="194" spans="1:9" x14ac:dyDescent="0.25">
      <c r="A194" s="38">
        <f>Données!A194</f>
        <v>5723</v>
      </c>
      <c r="B194" s="27" t="str">
        <f>Données!B194</f>
        <v>Mies</v>
      </c>
      <c r="C194" s="31">
        <f>Données!Z194</f>
        <v>2226</v>
      </c>
      <c r="D194" s="179">
        <f>Ecrêtage!E194</f>
        <v>114.00182726864332</v>
      </c>
      <c r="E194" s="179">
        <f t="shared" si="9"/>
        <v>0</v>
      </c>
      <c r="F194" s="179">
        <f>+Données!X194</f>
        <v>52</v>
      </c>
      <c r="G194" s="296">
        <f t="shared" si="10"/>
        <v>0</v>
      </c>
      <c r="H194" s="124">
        <f t="shared" si="11"/>
        <v>0.76839369538548297</v>
      </c>
      <c r="I194" s="42">
        <f t="shared" si="12"/>
        <v>0</v>
      </c>
    </row>
    <row r="195" spans="1:9" x14ac:dyDescent="0.25">
      <c r="A195" s="38">
        <f>Données!A195</f>
        <v>5724</v>
      </c>
      <c r="B195" s="27" t="str">
        <f>Données!B195</f>
        <v>Nyon</v>
      </c>
      <c r="C195" s="31">
        <f>Données!Z195</f>
        <v>22461</v>
      </c>
      <c r="D195" s="179">
        <f>Ecrêtage!E195</f>
        <v>67.672273419646885</v>
      </c>
      <c r="E195" s="179">
        <f t="shared" si="9"/>
        <v>0</v>
      </c>
      <c r="F195" s="179">
        <f>+Données!X195</f>
        <v>61</v>
      </c>
      <c r="G195" s="296">
        <f t="shared" si="10"/>
        <v>0</v>
      </c>
      <c r="H195" s="124">
        <f t="shared" si="11"/>
        <v>0.90138491189450887</v>
      </c>
      <c r="I195" s="42">
        <f t="shared" si="12"/>
        <v>0</v>
      </c>
    </row>
    <row r="196" spans="1:9" x14ac:dyDescent="0.25">
      <c r="A196" s="38">
        <f>Données!A196</f>
        <v>5725</v>
      </c>
      <c r="B196" s="27" t="str">
        <f>Données!B196</f>
        <v>Prangins</v>
      </c>
      <c r="C196" s="31">
        <f>Données!Z196</f>
        <v>4277</v>
      </c>
      <c r="D196" s="179">
        <f>Ecrêtage!E196</f>
        <v>90.929788485071157</v>
      </c>
      <c r="E196" s="179">
        <f t="shared" si="9"/>
        <v>0</v>
      </c>
      <c r="F196" s="179">
        <f>+Données!X196</f>
        <v>55</v>
      </c>
      <c r="G196" s="296">
        <f t="shared" si="10"/>
        <v>0</v>
      </c>
      <c r="H196" s="124">
        <f t="shared" si="11"/>
        <v>0.81272410088849167</v>
      </c>
      <c r="I196" s="42">
        <f t="shared" si="12"/>
        <v>0</v>
      </c>
    </row>
    <row r="197" spans="1:9" x14ac:dyDescent="0.25">
      <c r="A197" s="38">
        <f>Données!A197</f>
        <v>5726</v>
      </c>
      <c r="B197" s="27" t="str">
        <f>Données!B197</f>
        <v>La Rippe</v>
      </c>
      <c r="C197" s="31">
        <f>Données!Z197</f>
        <v>1197</v>
      </c>
      <c r="D197" s="179">
        <f>Ecrêtage!E197</f>
        <v>58.300035374895586</v>
      </c>
      <c r="E197" s="179">
        <f t="shared" si="9"/>
        <v>0</v>
      </c>
      <c r="F197" s="179">
        <f>+Données!X197</f>
        <v>64</v>
      </c>
      <c r="G197" s="296">
        <f t="shared" si="10"/>
        <v>0</v>
      </c>
      <c r="H197" s="124">
        <f t="shared" si="11"/>
        <v>0.94571531739751757</v>
      </c>
      <c r="I197" s="42">
        <f t="shared" si="12"/>
        <v>0</v>
      </c>
    </row>
    <row r="198" spans="1:9" x14ac:dyDescent="0.25">
      <c r="A198" s="38">
        <f>Données!A198</f>
        <v>5727</v>
      </c>
      <c r="B198" s="27" t="str">
        <f>Données!B198</f>
        <v>Saint-Cergue</v>
      </c>
      <c r="C198" s="31">
        <f>Données!Z198</f>
        <v>2786</v>
      </c>
      <c r="D198" s="179">
        <f>Ecrêtage!E198</f>
        <v>38.4231909003894</v>
      </c>
      <c r="E198" s="179">
        <f t="shared" si="9"/>
        <v>9.4857877394689112</v>
      </c>
      <c r="F198" s="179">
        <f>+Données!X198</f>
        <v>66</v>
      </c>
      <c r="G198" s="296">
        <f t="shared" si="10"/>
        <v>-470936.35072329809</v>
      </c>
      <c r="H198" s="124">
        <f t="shared" si="11"/>
        <v>0.97526892106619001</v>
      </c>
      <c r="I198" s="42">
        <f t="shared" si="12"/>
        <v>-459289.58666075976</v>
      </c>
    </row>
    <row r="199" spans="1:9" x14ac:dyDescent="0.25">
      <c r="A199" s="38">
        <f>Données!A199</f>
        <v>5728</v>
      </c>
      <c r="B199" s="27" t="str">
        <f>Données!B199</f>
        <v>Signy-Avenex</v>
      </c>
      <c r="C199" s="31">
        <f>Données!Z199</f>
        <v>583</v>
      </c>
      <c r="D199" s="179">
        <f>Ecrêtage!E199</f>
        <v>113.1643505648548</v>
      </c>
      <c r="E199" s="179">
        <f t="shared" ref="E199:E262" si="13">IF($D$306-D199&lt;0,0,$D$306-D199)</f>
        <v>0</v>
      </c>
      <c r="F199" s="179">
        <f>+Données!X199</f>
        <v>58</v>
      </c>
      <c r="G199" s="296">
        <f t="shared" ref="G199:G262" si="14">-((C199*E199*F199)*$E$5)</f>
        <v>0</v>
      </c>
      <c r="H199" s="124">
        <f t="shared" ref="H199:H262" si="15">F199/$F$306</f>
        <v>0.85705450639150027</v>
      </c>
      <c r="I199" s="42">
        <f t="shared" ref="I199:I262" si="16">G199*H199</f>
        <v>0</v>
      </c>
    </row>
    <row r="200" spans="1:9" x14ac:dyDescent="0.25">
      <c r="A200" s="38">
        <f>Données!A200</f>
        <v>5729</v>
      </c>
      <c r="B200" s="27" t="str">
        <f>Données!B200</f>
        <v>Tannay</v>
      </c>
      <c r="C200" s="31">
        <f>Données!Z200</f>
        <v>1720</v>
      </c>
      <c r="D200" s="179">
        <f>Ecrêtage!E200</f>
        <v>109.93247738484212</v>
      </c>
      <c r="E200" s="179">
        <f t="shared" si="13"/>
        <v>0</v>
      </c>
      <c r="F200" s="179">
        <f>+Données!X200</f>
        <v>60.5</v>
      </c>
      <c r="G200" s="296">
        <f t="shared" si="14"/>
        <v>0</v>
      </c>
      <c r="H200" s="124">
        <f t="shared" si="15"/>
        <v>0.89399651097734079</v>
      </c>
      <c r="I200" s="42">
        <f t="shared" si="16"/>
        <v>0</v>
      </c>
    </row>
    <row r="201" spans="1:9" x14ac:dyDescent="0.25">
      <c r="A201" s="38">
        <f>Données!A201</f>
        <v>5730</v>
      </c>
      <c r="B201" s="27" t="str">
        <f>Données!B201</f>
        <v>Trélex</v>
      </c>
      <c r="C201" s="31">
        <f>Données!Z201</f>
        <v>1427</v>
      </c>
      <c r="D201" s="179">
        <f>Ecrêtage!E201</f>
        <v>85.083098641739156</v>
      </c>
      <c r="E201" s="179">
        <f t="shared" si="13"/>
        <v>0</v>
      </c>
      <c r="F201" s="179">
        <f>+Données!X201</f>
        <v>55.5</v>
      </c>
      <c r="G201" s="296">
        <f t="shared" si="14"/>
        <v>0</v>
      </c>
      <c r="H201" s="124">
        <f t="shared" si="15"/>
        <v>0.82011250180565975</v>
      </c>
      <c r="I201" s="42">
        <f t="shared" si="16"/>
        <v>0</v>
      </c>
    </row>
    <row r="202" spans="1:9" x14ac:dyDescent="0.25">
      <c r="A202" s="38">
        <f>Données!A202</f>
        <v>5731</v>
      </c>
      <c r="B202" s="27" t="str">
        <f>Données!B202</f>
        <v>Le Vaud</v>
      </c>
      <c r="C202" s="31">
        <f>Données!Z202</f>
        <v>1411</v>
      </c>
      <c r="D202" s="179">
        <f>Ecrêtage!E202</f>
        <v>49.334005593119699</v>
      </c>
      <c r="E202" s="179">
        <f t="shared" si="13"/>
        <v>0</v>
      </c>
      <c r="F202" s="179">
        <f>+Données!X202</f>
        <v>74</v>
      </c>
      <c r="G202" s="296">
        <f t="shared" si="14"/>
        <v>0</v>
      </c>
      <c r="H202" s="124">
        <f t="shared" si="15"/>
        <v>1.0934833357408797</v>
      </c>
      <c r="I202" s="42">
        <f t="shared" si="16"/>
        <v>0</v>
      </c>
    </row>
    <row r="203" spans="1:9" x14ac:dyDescent="0.25">
      <c r="A203" s="38">
        <f>Données!A203</f>
        <v>5732</v>
      </c>
      <c r="B203" s="27" t="str">
        <f>Données!B203</f>
        <v>Vich</v>
      </c>
      <c r="C203" s="31">
        <f>Données!Z203</f>
        <v>1160</v>
      </c>
      <c r="D203" s="179">
        <f>Ecrêtage!E203</f>
        <v>68.844583333333347</v>
      </c>
      <c r="E203" s="179">
        <f t="shared" si="13"/>
        <v>0</v>
      </c>
      <c r="F203" s="179">
        <f>+Données!X203</f>
        <v>63</v>
      </c>
      <c r="G203" s="296">
        <f t="shared" si="14"/>
        <v>0</v>
      </c>
      <c r="H203" s="124">
        <f t="shared" si="15"/>
        <v>0.9309385155631813</v>
      </c>
      <c r="I203" s="42">
        <f t="shared" si="16"/>
        <v>0</v>
      </c>
    </row>
    <row r="204" spans="1:9" x14ac:dyDescent="0.25">
      <c r="A204" s="38">
        <f>Données!A204</f>
        <v>5741</v>
      </c>
      <c r="B204" s="27" t="str">
        <f>Données!B204</f>
        <v>L'Abergement</v>
      </c>
      <c r="C204" s="31">
        <f>Données!Z204</f>
        <v>260</v>
      </c>
      <c r="D204" s="179">
        <f>Ecrêtage!E204</f>
        <v>41.668336618589734</v>
      </c>
      <c r="E204" s="179">
        <f t="shared" si="13"/>
        <v>6.2406420212685774</v>
      </c>
      <c r="F204" s="179">
        <f>+Données!X204</f>
        <v>80</v>
      </c>
      <c r="G204" s="296">
        <f t="shared" si="14"/>
        <v>-35047.445591444332</v>
      </c>
      <c r="H204" s="124">
        <f t="shared" si="15"/>
        <v>1.1821441467468969</v>
      </c>
      <c r="I204" s="42">
        <f t="shared" si="16"/>
        <v>-41431.132664356257</v>
      </c>
    </row>
    <row r="205" spans="1:9" x14ac:dyDescent="0.25">
      <c r="A205" s="38">
        <f>Données!A205</f>
        <v>5742</v>
      </c>
      <c r="B205" s="27" t="str">
        <f>Données!B205</f>
        <v>Agiez</v>
      </c>
      <c r="C205" s="31">
        <f>Données!Z205</f>
        <v>381</v>
      </c>
      <c r="D205" s="179">
        <f>Ecrêtage!E205</f>
        <v>23.750708661417328</v>
      </c>
      <c r="E205" s="179">
        <f t="shared" si="13"/>
        <v>24.158269978440984</v>
      </c>
      <c r="F205" s="179">
        <f>+Données!X205</f>
        <v>76</v>
      </c>
      <c r="G205" s="296">
        <f t="shared" si="14"/>
        <v>-188872.25368384901</v>
      </c>
      <c r="H205" s="124">
        <f t="shared" si="15"/>
        <v>1.1230369394095521</v>
      </c>
      <c r="I205" s="42">
        <f t="shared" si="16"/>
        <v>-212110.51771649427</v>
      </c>
    </row>
    <row r="206" spans="1:9" x14ac:dyDescent="0.25">
      <c r="A206" s="38">
        <f>Données!A206</f>
        <v>5743</v>
      </c>
      <c r="B206" s="27" t="str">
        <f>Données!B206</f>
        <v>Arnex-sur-Orbe</v>
      </c>
      <c r="C206" s="31">
        <f>Données!Z206</f>
        <v>692</v>
      </c>
      <c r="D206" s="179">
        <f>Ecrêtage!E206</f>
        <v>28.068546771961248</v>
      </c>
      <c r="E206" s="179">
        <f t="shared" si="13"/>
        <v>19.840431867897063</v>
      </c>
      <c r="F206" s="179">
        <f>+Données!X206</f>
        <v>71</v>
      </c>
      <c r="G206" s="296">
        <f t="shared" si="14"/>
        <v>-263196.02660405001</v>
      </c>
      <c r="H206" s="124">
        <f t="shared" si="15"/>
        <v>1.049152930237871</v>
      </c>
      <c r="I206" s="42">
        <f t="shared" si="16"/>
        <v>-276132.88253860374</v>
      </c>
    </row>
    <row r="207" spans="1:9" x14ac:dyDescent="0.25">
      <c r="A207" s="38">
        <f>Données!A207</f>
        <v>5744</v>
      </c>
      <c r="B207" s="27" t="str">
        <f>Données!B207</f>
        <v>Ballaigues</v>
      </c>
      <c r="C207" s="31">
        <f>Données!Z207</f>
        <v>1152</v>
      </c>
      <c r="D207" s="179">
        <f>Ecrêtage!E207</f>
        <v>46.94765998931625</v>
      </c>
      <c r="E207" s="179">
        <f t="shared" si="13"/>
        <v>0.96131865054206145</v>
      </c>
      <c r="F207" s="179">
        <f>+Données!X207</f>
        <v>65</v>
      </c>
      <c r="G207" s="296">
        <f t="shared" si="14"/>
        <v>-19435.555949199184</v>
      </c>
      <c r="H207" s="124">
        <f t="shared" si="15"/>
        <v>0.96049211923185374</v>
      </c>
      <c r="I207" s="42">
        <f t="shared" si="16"/>
        <v>-18667.698322095588</v>
      </c>
    </row>
    <row r="208" spans="1:9" x14ac:dyDescent="0.25">
      <c r="A208" s="38">
        <f>Données!A208</f>
        <v>5745</v>
      </c>
      <c r="B208" s="27" t="str">
        <f>Données!B208</f>
        <v>Baulmes</v>
      </c>
      <c r="C208" s="31">
        <f>Données!Z208</f>
        <v>1132</v>
      </c>
      <c r="D208" s="179">
        <f>Ecrêtage!E208</f>
        <v>24.47404605187187</v>
      </c>
      <c r="E208" s="179">
        <f t="shared" si="13"/>
        <v>23.434932587986442</v>
      </c>
      <c r="F208" s="179">
        <f>+Données!X208</f>
        <v>76.5</v>
      </c>
      <c r="G208" s="296">
        <f t="shared" si="14"/>
        <v>-547942.93890870153</v>
      </c>
      <c r="H208" s="124">
        <f t="shared" si="15"/>
        <v>1.1304253403267202</v>
      </c>
      <c r="I208" s="42">
        <f t="shared" si="16"/>
        <v>-619408.58319549216</v>
      </c>
    </row>
    <row r="209" spans="1:9" x14ac:dyDescent="0.25">
      <c r="A209" s="38">
        <f>Données!A209</f>
        <v>5746</v>
      </c>
      <c r="B209" s="27" t="str">
        <f>Données!B209</f>
        <v>Bavois</v>
      </c>
      <c r="C209" s="31">
        <f>Données!Z209</f>
        <v>1009</v>
      </c>
      <c r="D209" s="179">
        <f>Ecrêtage!E209</f>
        <v>29.249820756708143</v>
      </c>
      <c r="E209" s="179">
        <f t="shared" si="13"/>
        <v>18.659157883150169</v>
      </c>
      <c r="F209" s="179">
        <f>+Données!X209</f>
        <v>72</v>
      </c>
      <c r="G209" s="296">
        <f t="shared" si="14"/>
        <v>-365998.63551167527</v>
      </c>
      <c r="H209" s="124">
        <f t="shared" si="15"/>
        <v>1.0639297320722072</v>
      </c>
      <c r="I209" s="42">
        <f t="shared" si="16"/>
        <v>-389396.83021873009</v>
      </c>
    </row>
    <row r="210" spans="1:9" x14ac:dyDescent="0.25">
      <c r="A210" s="38">
        <f>Données!A210</f>
        <v>5747</v>
      </c>
      <c r="B210" s="27" t="str">
        <f>Données!B210</f>
        <v>Bofflens</v>
      </c>
      <c r="C210" s="31">
        <f>Données!Z210</f>
        <v>204</v>
      </c>
      <c r="D210" s="179">
        <f>Ecrêtage!E210</f>
        <v>28.323342568911617</v>
      </c>
      <c r="E210" s="179">
        <f t="shared" si="13"/>
        <v>19.585636070946695</v>
      </c>
      <c r="F210" s="179">
        <f>+Données!X210</f>
        <v>69</v>
      </c>
      <c r="G210" s="296">
        <f t="shared" si="14"/>
        <v>-74435.601600354334</v>
      </c>
      <c r="H210" s="124">
        <f t="shared" si="15"/>
        <v>1.0195993265691985</v>
      </c>
      <c r="I210" s="42">
        <f t="shared" si="16"/>
        <v>-75894.489264494434</v>
      </c>
    </row>
    <row r="211" spans="1:9" x14ac:dyDescent="0.25">
      <c r="A211" s="38">
        <f>Données!A211</f>
        <v>5748</v>
      </c>
      <c r="B211" s="27" t="str">
        <f>Données!B211</f>
        <v>Bretonnières</v>
      </c>
      <c r="C211" s="31">
        <f>Données!Z211</f>
        <v>264</v>
      </c>
      <c r="D211" s="179">
        <f>Ecrêtage!E211</f>
        <v>25.615308582276668</v>
      </c>
      <c r="E211" s="179">
        <f t="shared" si="13"/>
        <v>22.293670057581643</v>
      </c>
      <c r="F211" s="179">
        <f>+Données!X211</f>
        <v>70.5</v>
      </c>
      <c r="G211" s="296">
        <f t="shared" si="14"/>
        <v>-112031.04252016159</v>
      </c>
      <c r="H211" s="124">
        <f t="shared" si="15"/>
        <v>1.041764529320703</v>
      </c>
      <c r="I211" s="42">
        <f t="shared" si="16"/>
        <v>-116709.9662803238</v>
      </c>
    </row>
    <row r="212" spans="1:9" x14ac:dyDescent="0.25">
      <c r="A212" s="38">
        <f>Données!A212</f>
        <v>5749</v>
      </c>
      <c r="B212" s="27" t="str">
        <f>Données!B212</f>
        <v>Chavornay</v>
      </c>
      <c r="C212" s="31">
        <f>Données!Z212</f>
        <v>5405</v>
      </c>
      <c r="D212" s="179">
        <f>Ecrêtage!E212</f>
        <v>26.769311735259571</v>
      </c>
      <c r="E212" s="179">
        <f t="shared" si="13"/>
        <v>21.139666904598741</v>
      </c>
      <c r="F212" s="179">
        <f>+Données!X212</f>
        <v>70.5</v>
      </c>
      <c r="G212" s="296">
        <f t="shared" si="14"/>
        <v>-2174937.1892544455</v>
      </c>
      <c r="H212" s="124">
        <f t="shared" si="15"/>
        <v>1.041764529320703</v>
      </c>
      <c r="I212" s="42">
        <f t="shared" si="16"/>
        <v>-2265772.41726575</v>
      </c>
    </row>
    <row r="213" spans="1:9" x14ac:dyDescent="0.25">
      <c r="A213" s="38">
        <f>Données!A213</f>
        <v>5750</v>
      </c>
      <c r="B213" s="27" t="str">
        <f>Données!B213</f>
        <v>Les Clées</v>
      </c>
      <c r="C213" s="31">
        <f>Données!Z213</f>
        <v>186</v>
      </c>
      <c r="D213" s="179">
        <f>Ecrêtage!E213</f>
        <v>29.357202732974912</v>
      </c>
      <c r="E213" s="179">
        <f t="shared" si="13"/>
        <v>18.5517759068834</v>
      </c>
      <c r="F213" s="179">
        <f>+Données!X213</f>
        <v>80</v>
      </c>
      <c r="G213" s="296">
        <f t="shared" si="14"/>
        <v>-74533.614883494753</v>
      </c>
      <c r="H213" s="124">
        <f t="shared" si="15"/>
        <v>1.1821441467468969</v>
      </c>
      <c r="I213" s="42">
        <f t="shared" si="16"/>
        <v>-88109.476570410727</v>
      </c>
    </row>
    <row r="214" spans="1:9" x14ac:dyDescent="0.25">
      <c r="A214" s="38">
        <f>Données!A214</f>
        <v>5752</v>
      </c>
      <c r="B214" s="27" t="str">
        <f>Données!B214</f>
        <v>Croy</v>
      </c>
      <c r="C214" s="31">
        <f>Données!Z214</f>
        <v>386</v>
      </c>
      <c r="D214" s="179">
        <f>Ecrêtage!E214</f>
        <v>26.435764898873707</v>
      </c>
      <c r="E214" s="179">
        <f t="shared" si="13"/>
        <v>21.473213740984605</v>
      </c>
      <c r="F214" s="179">
        <f>+Données!X214</f>
        <v>74</v>
      </c>
      <c r="G214" s="296">
        <f t="shared" si="14"/>
        <v>-165607.43687032076</v>
      </c>
      <c r="H214" s="124">
        <f t="shared" si="15"/>
        <v>1.0934833357408797</v>
      </c>
      <c r="I214" s="42">
        <f t="shared" si="16"/>
        <v>-181088.9724924555</v>
      </c>
    </row>
    <row r="215" spans="1:9" x14ac:dyDescent="0.25">
      <c r="A215" s="38">
        <f>Données!A215</f>
        <v>5754</v>
      </c>
      <c r="B215" s="27" t="str">
        <f>Données!B215</f>
        <v>Juriens</v>
      </c>
      <c r="C215" s="31">
        <f>Données!Z215</f>
        <v>346</v>
      </c>
      <c r="D215" s="179">
        <f>Ecrêtage!E215</f>
        <v>24.951507646154965</v>
      </c>
      <c r="E215" s="179">
        <f t="shared" si="13"/>
        <v>22.957470993703346</v>
      </c>
      <c r="F215" s="179">
        <f>+Données!X215</f>
        <v>79</v>
      </c>
      <c r="G215" s="296">
        <f t="shared" si="14"/>
        <v>-169430.26827830955</v>
      </c>
      <c r="H215" s="124">
        <f t="shared" si="15"/>
        <v>1.1673673449125608</v>
      </c>
      <c r="I215" s="42">
        <f t="shared" si="16"/>
        <v>-197787.3624278731</v>
      </c>
    </row>
    <row r="216" spans="1:9" x14ac:dyDescent="0.25">
      <c r="A216" s="38">
        <f>Données!A216</f>
        <v>5755</v>
      </c>
      <c r="B216" s="27" t="str">
        <f>Données!B216</f>
        <v>Lignerolle</v>
      </c>
      <c r="C216" s="31">
        <f>Données!Z216</f>
        <v>447</v>
      </c>
      <c r="D216" s="179">
        <f>Ecrêtage!E216</f>
        <v>24.431258190789677</v>
      </c>
      <c r="E216" s="179">
        <f t="shared" si="13"/>
        <v>23.477720449068634</v>
      </c>
      <c r="F216" s="179">
        <f>+Données!X216</f>
        <v>78.5</v>
      </c>
      <c r="G216" s="296">
        <f t="shared" si="14"/>
        <v>-222431.79735835036</v>
      </c>
      <c r="H216" s="124">
        <f t="shared" si="15"/>
        <v>1.1599789439953927</v>
      </c>
      <c r="I216" s="42">
        <f t="shared" si="16"/>
        <v>-258016.20141073642</v>
      </c>
    </row>
    <row r="217" spans="1:9" x14ac:dyDescent="0.25">
      <c r="A217" s="38">
        <f>Données!A217</f>
        <v>5756</v>
      </c>
      <c r="B217" s="27" t="str">
        <f>Données!B217</f>
        <v>Montcherand</v>
      </c>
      <c r="C217" s="31">
        <f>Données!Z217</f>
        <v>496</v>
      </c>
      <c r="D217" s="179">
        <f>Ecrêtage!E217</f>
        <v>35.288334453405014</v>
      </c>
      <c r="E217" s="179">
        <f t="shared" si="13"/>
        <v>12.620644186453298</v>
      </c>
      <c r="F217" s="179">
        <f>+Données!X217</f>
        <v>72</v>
      </c>
      <c r="G217" s="296">
        <f t="shared" si="14"/>
        <v>-121691.28020038744</v>
      </c>
      <c r="H217" s="124">
        <f t="shared" si="15"/>
        <v>1.0639297320722072</v>
      </c>
      <c r="I217" s="42">
        <f t="shared" si="16"/>
        <v>-129470.97113912211</v>
      </c>
    </row>
    <row r="218" spans="1:9" x14ac:dyDescent="0.25">
      <c r="A218" s="38">
        <f>Données!A218</f>
        <v>5757</v>
      </c>
      <c r="B218" s="27" t="str">
        <f>Données!B218</f>
        <v>Orbe</v>
      </c>
      <c r="C218" s="31">
        <f>Données!Z218</f>
        <v>7617</v>
      </c>
      <c r="D218" s="179">
        <f>Ecrêtage!E218</f>
        <v>28.586866394184497</v>
      </c>
      <c r="E218" s="179">
        <f t="shared" si="13"/>
        <v>19.322112245673814</v>
      </c>
      <c r="F218" s="179">
        <f>+Données!X218</f>
        <v>75.5</v>
      </c>
      <c r="G218" s="296">
        <f t="shared" si="14"/>
        <v>-3000193.5431614383</v>
      </c>
      <c r="H218" s="124">
        <f t="shared" si="15"/>
        <v>1.115648538492384</v>
      </c>
      <c r="I218" s="42">
        <f t="shared" si="16"/>
        <v>-3347161.5416223458</v>
      </c>
    </row>
    <row r="219" spans="1:9" x14ac:dyDescent="0.25">
      <c r="A219" s="38">
        <f>Données!A219</f>
        <v>5758</v>
      </c>
      <c r="B219" s="27" t="str">
        <f>Données!B219</f>
        <v>La Praz</v>
      </c>
      <c r="C219" s="31">
        <f>Données!Z219</f>
        <v>183</v>
      </c>
      <c r="D219" s="179">
        <f>Ecrêtage!E219</f>
        <v>24.594009480545136</v>
      </c>
      <c r="E219" s="179">
        <f t="shared" si="13"/>
        <v>23.314969159313176</v>
      </c>
      <c r="F219" s="179">
        <f>+Données!X219</f>
        <v>83</v>
      </c>
      <c r="G219" s="296">
        <f t="shared" si="14"/>
        <v>-95615.387971418109</v>
      </c>
      <c r="H219" s="124">
        <f t="shared" si="15"/>
        <v>1.2264745522499056</v>
      </c>
      <c r="I219" s="42">
        <f t="shared" si="16"/>
        <v>-117269.84015044603</v>
      </c>
    </row>
    <row r="220" spans="1:9" x14ac:dyDescent="0.25">
      <c r="A220" s="38">
        <f>Données!A220</f>
        <v>5759</v>
      </c>
      <c r="B220" s="27" t="str">
        <f>Données!B220</f>
        <v>Premier</v>
      </c>
      <c r="C220" s="31">
        <f>Données!Z220</f>
        <v>236</v>
      </c>
      <c r="D220" s="179">
        <f>Ecrêtage!E220</f>
        <v>24.012916000426397</v>
      </c>
      <c r="E220" s="179">
        <f t="shared" si="13"/>
        <v>23.896062639431914</v>
      </c>
      <c r="F220" s="179">
        <f>+Données!X220</f>
        <v>79.5</v>
      </c>
      <c r="G220" s="296">
        <f t="shared" si="14"/>
        <v>-121051.24035507583</v>
      </c>
      <c r="H220" s="124">
        <f t="shared" si="15"/>
        <v>1.1747557458297289</v>
      </c>
      <c r="I220" s="42">
        <f t="shared" si="16"/>
        <v>-142205.64014694089</v>
      </c>
    </row>
    <row r="221" spans="1:9" x14ac:dyDescent="0.25">
      <c r="A221" s="38">
        <f>Données!A221</f>
        <v>5760</v>
      </c>
      <c r="B221" s="27" t="str">
        <f>Données!B221</f>
        <v>Rances</v>
      </c>
      <c r="C221" s="31">
        <f>Données!Z221</f>
        <v>521</v>
      </c>
      <c r="D221" s="179">
        <f>Ecrêtage!E221</f>
        <v>31.302624164189023</v>
      </c>
      <c r="E221" s="179">
        <f t="shared" si="13"/>
        <v>16.606354475669288</v>
      </c>
      <c r="F221" s="179">
        <f>+Données!X221</f>
        <v>76.5</v>
      </c>
      <c r="G221" s="296">
        <f t="shared" si="14"/>
        <v>-178705.21513306853</v>
      </c>
      <c r="H221" s="124">
        <f t="shared" si="15"/>
        <v>1.1304253403267202</v>
      </c>
      <c r="I221" s="42">
        <f t="shared" si="16"/>
        <v>-202012.90363495873</v>
      </c>
    </row>
    <row r="222" spans="1:9" x14ac:dyDescent="0.25">
      <c r="A222" s="38">
        <f>Données!A222</f>
        <v>5761</v>
      </c>
      <c r="B222" s="27" t="str">
        <f>Données!B222</f>
        <v>Romainmôtier-Envy</v>
      </c>
      <c r="C222" s="31">
        <f>Données!Z222</f>
        <v>559</v>
      </c>
      <c r="D222" s="179">
        <f>Ecrêtage!E222</f>
        <v>25.77414145429649</v>
      </c>
      <c r="E222" s="179">
        <f t="shared" si="13"/>
        <v>22.134837185561821</v>
      </c>
      <c r="F222" s="179">
        <f>+Données!X222</f>
        <v>81</v>
      </c>
      <c r="G222" s="296">
        <f t="shared" si="14"/>
        <v>-270605.68908976455</v>
      </c>
      <c r="H222" s="124">
        <f t="shared" si="15"/>
        <v>1.1969209485812331</v>
      </c>
      <c r="I222" s="42">
        <f t="shared" si="16"/>
        <v>-323893.6180767992</v>
      </c>
    </row>
    <row r="223" spans="1:9" x14ac:dyDescent="0.25">
      <c r="A223" s="38">
        <f>Données!A223</f>
        <v>5762</v>
      </c>
      <c r="B223" s="27" t="str">
        <f>Données!B223</f>
        <v>Sergey</v>
      </c>
      <c r="C223" s="31">
        <f>Données!Z223</f>
        <v>140</v>
      </c>
      <c r="D223" s="179">
        <f>Ecrêtage!E223</f>
        <v>26.72426465201465</v>
      </c>
      <c r="E223" s="179">
        <f t="shared" si="13"/>
        <v>21.184713987843661</v>
      </c>
      <c r="F223" s="179">
        <f>+Données!X223</f>
        <v>78</v>
      </c>
      <c r="G223" s="296">
        <f t="shared" si="14"/>
        <v>-62461.010721758263</v>
      </c>
      <c r="H223" s="124">
        <f t="shared" si="15"/>
        <v>1.1525905430782244</v>
      </c>
      <c r="I223" s="42">
        <f t="shared" si="16"/>
        <v>-71991.970269006153</v>
      </c>
    </row>
    <row r="224" spans="1:9" x14ac:dyDescent="0.25">
      <c r="A224" s="38">
        <f>Données!A224</f>
        <v>5763</v>
      </c>
      <c r="B224" s="27" t="str">
        <f>Données!B224</f>
        <v>Valeyres-sous-Rances</v>
      </c>
      <c r="C224" s="31">
        <f>Données!Z224</f>
        <v>606</v>
      </c>
      <c r="D224" s="179">
        <f>Ecrêtage!E224</f>
        <v>36.793375168502763</v>
      </c>
      <c r="E224" s="179">
        <f t="shared" si="13"/>
        <v>11.115603471355548</v>
      </c>
      <c r="F224" s="179">
        <f>+Données!X224</f>
        <v>71</v>
      </c>
      <c r="G224" s="296">
        <f t="shared" si="14"/>
        <v>-129130.18783880684</v>
      </c>
      <c r="H224" s="124">
        <f t="shared" si="15"/>
        <v>1.049152930237871</v>
      </c>
      <c r="I224" s="42">
        <f t="shared" si="16"/>
        <v>-135477.3149532509</v>
      </c>
    </row>
    <row r="225" spans="1:9" x14ac:dyDescent="0.25">
      <c r="A225" s="38">
        <f>Données!A225</f>
        <v>5764</v>
      </c>
      <c r="B225" s="27" t="str">
        <f>Données!B225</f>
        <v>Vallorbe</v>
      </c>
      <c r="C225" s="31">
        <f>Données!Z225</f>
        <v>3987</v>
      </c>
      <c r="D225" s="179">
        <f>Ecrêtage!E225</f>
        <v>20.996802931204737</v>
      </c>
      <c r="E225" s="179">
        <f t="shared" si="13"/>
        <v>26.912175708653574</v>
      </c>
      <c r="F225" s="179">
        <f>+Données!X225</f>
        <v>71.5</v>
      </c>
      <c r="G225" s="296">
        <f t="shared" si="14"/>
        <v>-2071404.1940455071</v>
      </c>
      <c r="H225" s="124">
        <f t="shared" si="15"/>
        <v>1.0565413311550391</v>
      </c>
      <c r="I225" s="42">
        <f t="shared" si="16"/>
        <v>-2188524.1445369711</v>
      </c>
    </row>
    <row r="226" spans="1:9" x14ac:dyDescent="0.25">
      <c r="A226" s="38">
        <f>Données!A226</f>
        <v>5765</v>
      </c>
      <c r="B226" s="27" t="str">
        <f>Données!B226</f>
        <v>Vaulion</v>
      </c>
      <c r="C226" s="31">
        <f>Données!Z226</f>
        <v>483</v>
      </c>
      <c r="D226" s="179">
        <f>Ecrêtage!E226</f>
        <v>19.933371162743143</v>
      </c>
      <c r="E226" s="179">
        <f t="shared" si="13"/>
        <v>27.975607477115169</v>
      </c>
      <c r="F226" s="179">
        <f>+Données!X226</f>
        <v>81</v>
      </c>
      <c r="G226" s="296">
        <f t="shared" si="14"/>
        <v>-295512.21665833774</v>
      </c>
      <c r="H226" s="124">
        <f t="shared" si="15"/>
        <v>1.1969209485812331</v>
      </c>
      <c r="I226" s="42">
        <f t="shared" si="16"/>
        <v>-353704.7626800405</v>
      </c>
    </row>
    <row r="227" spans="1:9" x14ac:dyDescent="0.25">
      <c r="A227" s="38">
        <f>Données!A227</f>
        <v>5766</v>
      </c>
      <c r="B227" s="27" t="str">
        <f>Données!B227</f>
        <v>Vuiteboeuf</v>
      </c>
      <c r="C227" s="31">
        <f>Données!Z227</f>
        <v>592</v>
      </c>
      <c r="D227" s="179">
        <f>Ecrêtage!E227</f>
        <v>26.050893854568859</v>
      </c>
      <c r="E227" s="179">
        <f t="shared" si="13"/>
        <v>21.858084785289453</v>
      </c>
      <c r="F227" s="179">
        <f>+Données!X227</f>
        <v>75</v>
      </c>
      <c r="G227" s="296">
        <f t="shared" si="14"/>
        <v>-262034.72040604998</v>
      </c>
      <c r="H227" s="124">
        <f t="shared" si="15"/>
        <v>1.1082601375752159</v>
      </c>
      <c r="I227" s="42">
        <f t="shared" si="16"/>
        <v>-290402.63528669218</v>
      </c>
    </row>
    <row r="228" spans="1:9" x14ac:dyDescent="0.25">
      <c r="A228" s="38">
        <f>Données!A228</f>
        <v>5785</v>
      </c>
      <c r="B228" s="27" t="str">
        <f>Données!B228</f>
        <v>Corcelles-le-Jorat</v>
      </c>
      <c r="C228" s="31">
        <f>Données!Z228</f>
        <v>485</v>
      </c>
      <c r="D228" s="179">
        <f>Ecrêtage!E228</f>
        <v>31.879987079037793</v>
      </c>
      <c r="E228" s="179">
        <f t="shared" si="13"/>
        <v>16.028991560820518</v>
      </c>
      <c r="F228" s="179">
        <f>+Données!X228</f>
        <v>75</v>
      </c>
      <c r="G228" s="296">
        <f t="shared" si="14"/>
        <v>-157424.73336670853</v>
      </c>
      <c r="H228" s="124">
        <f t="shared" si="15"/>
        <v>1.1082601375752159</v>
      </c>
      <c r="I228" s="42">
        <f t="shared" si="16"/>
        <v>-174467.55665873009</v>
      </c>
    </row>
    <row r="229" spans="1:9" x14ac:dyDescent="0.25">
      <c r="A229" s="38">
        <f>Données!A229</f>
        <v>5790</v>
      </c>
      <c r="B229" s="27" t="str">
        <f>Données!B229</f>
        <v>Maracon</v>
      </c>
      <c r="C229" s="31">
        <f>Données!Z229</f>
        <v>544</v>
      </c>
      <c r="D229" s="179">
        <f>Ecrêtage!E229</f>
        <v>30.011629243979471</v>
      </c>
      <c r="E229" s="179">
        <f t="shared" si="13"/>
        <v>17.897349395878841</v>
      </c>
      <c r="F229" s="179">
        <f>+Données!X229</f>
        <v>74.5</v>
      </c>
      <c r="G229" s="296">
        <f t="shared" si="14"/>
        <v>-195842.81960536799</v>
      </c>
      <c r="H229" s="124">
        <f t="shared" si="15"/>
        <v>1.1008717366580478</v>
      </c>
      <c r="I229" s="42">
        <f t="shared" si="16"/>
        <v>-215597.82493097024</v>
      </c>
    </row>
    <row r="230" spans="1:9" x14ac:dyDescent="0.25">
      <c r="A230" s="38">
        <f>Données!A230</f>
        <v>5792</v>
      </c>
      <c r="B230" s="27" t="str">
        <f>Données!B230</f>
        <v>Montpreveyres</v>
      </c>
      <c r="C230" s="31">
        <f>Données!Z230</f>
        <v>661</v>
      </c>
      <c r="D230" s="179">
        <f>Ecrêtage!E230</f>
        <v>29.29349951408161</v>
      </c>
      <c r="E230" s="179">
        <f t="shared" si="13"/>
        <v>18.615479125776702</v>
      </c>
      <c r="F230" s="179">
        <f>+Données!X230</f>
        <v>75.5</v>
      </c>
      <c r="G230" s="296">
        <f t="shared" si="14"/>
        <v>-250833.99424809127</v>
      </c>
      <c r="H230" s="124">
        <f t="shared" si="15"/>
        <v>1.115648538492384</v>
      </c>
      <c r="I230" s="42">
        <f t="shared" si="16"/>
        <v>-279842.5790870901</v>
      </c>
    </row>
    <row r="231" spans="1:9" x14ac:dyDescent="0.25">
      <c r="A231" s="38">
        <f>Données!A231</f>
        <v>5798</v>
      </c>
      <c r="B231" s="27" t="str">
        <f>Données!B231</f>
        <v>Ropraz</v>
      </c>
      <c r="C231" s="31">
        <f>Données!Z231</f>
        <v>529</v>
      </c>
      <c r="D231" s="179">
        <f>Ecrêtage!E231</f>
        <v>30.639121165924756</v>
      </c>
      <c r="E231" s="179">
        <f t="shared" si="13"/>
        <v>17.269857473933556</v>
      </c>
      <c r="F231" s="179">
        <f>+Données!X231</f>
        <v>77.5</v>
      </c>
      <c r="G231" s="296">
        <f t="shared" si="14"/>
        <v>-191165.66508264959</v>
      </c>
      <c r="H231" s="124">
        <f t="shared" si="15"/>
        <v>1.1452021421610563</v>
      </c>
      <c r="I231" s="42">
        <f t="shared" si="16"/>
        <v>-218923.32916029336</v>
      </c>
    </row>
    <row r="232" spans="1:9" x14ac:dyDescent="0.25">
      <c r="A232" s="38">
        <f>Données!A232</f>
        <v>5799</v>
      </c>
      <c r="B232" s="27" t="str">
        <f>Données!B232</f>
        <v>Servion</v>
      </c>
      <c r="C232" s="31">
        <f>Données!Z232</f>
        <v>2136</v>
      </c>
      <c r="D232" s="179">
        <f>Ecrêtage!E232</f>
        <v>34.2556206915269</v>
      </c>
      <c r="E232" s="179">
        <f t="shared" si="13"/>
        <v>13.653357948331411</v>
      </c>
      <c r="F232" s="179">
        <f>+Données!X232</f>
        <v>69</v>
      </c>
      <c r="G232" s="296">
        <f t="shared" si="14"/>
        <v>-543317.35712135676</v>
      </c>
      <c r="H232" s="124">
        <f t="shared" si="15"/>
        <v>1.0195993265691985</v>
      </c>
      <c r="I232" s="42">
        <f t="shared" si="16"/>
        <v>-553966.01143429207</v>
      </c>
    </row>
    <row r="233" spans="1:9" x14ac:dyDescent="0.25">
      <c r="A233" s="38">
        <f>Données!A233</f>
        <v>5803</v>
      </c>
      <c r="B233" s="27" t="str">
        <f>Données!B233</f>
        <v>Vulliens</v>
      </c>
      <c r="C233" s="31">
        <f>Données!Z233</f>
        <v>632</v>
      </c>
      <c r="D233" s="179">
        <f>Ecrêtage!E233</f>
        <v>26.230214676702015</v>
      </c>
      <c r="E233" s="179">
        <f t="shared" si="13"/>
        <v>21.678763963156296</v>
      </c>
      <c r="F233" s="179">
        <f>+Données!X233</f>
        <v>74</v>
      </c>
      <c r="G233" s="296">
        <f t="shared" si="14"/>
        <v>-273745.55691780132</v>
      </c>
      <c r="H233" s="124">
        <f t="shared" si="15"/>
        <v>1.0934833357408797</v>
      </c>
      <c r="I233" s="42">
        <f t="shared" si="16"/>
        <v>-299336.20472272224</v>
      </c>
    </row>
    <row r="234" spans="1:9" x14ac:dyDescent="0.25">
      <c r="A234" s="38">
        <f>Données!A234</f>
        <v>5804</v>
      </c>
      <c r="B234" s="27" t="str">
        <f>Données!B234</f>
        <v>Jorat-Menthue</v>
      </c>
      <c r="C234" s="31">
        <f>Données!Z234</f>
        <v>1565</v>
      </c>
      <c r="D234" s="179">
        <f>Ecrêtage!E234</f>
        <v>28.833927265311669</v>
      </c>
      <c r="E234" s="179">
        <f t="shared" si="13"/>
        <v>19.075051374546643</v>
      </c>
      <c r="F234" s="179">
        <f>+Données!X234</f>
        <v>70.5</v>
      </c>
      <c r="G234" s="296">
        <f t="shared" si="14"/>
        <v>-568241.48856118531</v>
      </c>
      <c r="H234" s="124">
        <f t="shared" si="15"/>
        <v>1.041764529320703</v>
      </c>
      <c r="I234" s="42">
        <f t="shared" si="16"/>
        <v>-591973.82687143888</v>
      </c>
    </row>
    <row r="235" spans="1:9" x14ac:dyDescent="0.25">
      <c r="A235" s="38">
        <f>Données!A235</f>
        <v>5805</v>
      </c>
      <c r="B235" s="27" t="str">
        <f>Données!B235</f>
        <v>Oron</v>
      </c>
      <c r="C235" s="31">
        <f>Données!Z235</f>
        <v>6119</v>
      </c>
      <c r="D235" s="179">
        <f>Ecrêtage!E235</f>
        <v>28.51833366599768</v>
      </c>
      <c r="E235" s="179">
        <f t="shared" si="13"/>
        <v>19.390644973860631</v>
      </c>
      <c r="F235" s="179">
        <f>+Données!X235</f>
        <v>69</v>
      </c>
      <c r="G235" s="296">
        <f t="shared" si="14"/>
        <v>-2210474.7733658412</v>
      </c>
      <c r="H235" s="124">
        <f t="shared" si="15"/>
        <v>1.0195993265691985</v>
      </c>
      <c r="I235" s="42">
        <f t="shared" si="16"/>
        <v>-2253798.5903220135</v>
      </c>
    </row>
    <row r="236" spans="1:9" x14ac:dyDescent="0.25">
      <c r="A236" s="38">
        <f>Données!A236</f>
        <v>5806</v>
      </c>
      <c r="B236" s="27" t="str">
        <f>Données!B236</f>
        <v>Jorat-Mézières</v>
      </c>
      <c r="C236" s="31">
        <f>Données!Z236</f>
        <v>3110</v>
      </c>
      <c r="D236" s="179">
        <f>Ecrêtage!E236</f>
        <v>33.111442937056779</v>
      </c>
      <c r="E236" s="179">
        <f t="shared" si="13"/>
        <v>14.797535702801532</v>
      </c>
      <c r="F236" s="179">
        <f>+Données!X236</f>
        <v>73</v>
      </c>
      <c r="G236" s="296">
        <f t="shared" si="14"/>
        <v>-907060.82326389872</v>
      </c>
      <c r="H236" s="124">
        <f t="shared" si="15"/>
        <v>1.0787065339065434</v>
      </c>
      <c r="I236" s="42">
        <f t="shared" si="16"/>
        <v>-978452.43670541595</v>
      </c>
    </row>
    <row r="237" spans="1:9" x14ac:dyDescent="0.25">
      <c r="A237" s="38">
        <f>Données!A237</f>
        <v>5812</v>
      </c>
      <c r="B237" s="27" t="str">
        <f>Données!B237</f>
        <v>Champtauroz</v>
      </c>
      <c r="C237" s="31">
        <f>Données!Z237</f>
        <v>169</v>
      </c>
      <c r="D237" s="179">
        <f>Ecrêtage!E237</f>
        <v>21.652502113271346</v>
      </c>
      <c r="E237" s="179">
        <f t="shared" si="13"/>
        <v>26.256476526586965</v>
      </c>
      <c r="F237" s="179">
        <f>+Données!X237</f>
        <v>77</v>
      </c>
      <c r="G237" s="296">
        <f t="shared" si="14"/>
        <v>-92252.392840928573</v>
      </c>
      <c r="H237" s="124">
        <f t="shared" si="15"/>
        <v>1.1378137412438882</v>
      </c>
      <c r="I237" s="42">
        <f t="shared" si="16"/>
        <v>-104966.04023703783</v>
      </c>
    </row>
    <row r="238" spans="1:9" x14ac:dyDescent="0.25">
      <c r="A238" s="38">
        <f>Données!A238</f>
        <v>5813</v>
      </c>
      <c r="B238" s="27" t="str">
        <f>Données!B238</f>
        <v>Chevroux</v>
      </c>
      <c r="C238" s="31">
        <f>Données!Z238</f>
        <v>522</v>
      </c>
      <c r="D238" s="179">
        <f>Ecrêtage!E238</f>
        <v>33.52015474825442</v>
      </c>
      <c r="E238" s="179">
        <f t="shared" si="13"/>
        <v>14.388823891603892</v>
      </c>
      <c r="F238" s="179">
        <f>+Données!X238</f>
        <v>68.5</v>
      </c>
      <c r="G238" s="296">
        <f t="shared" si="14"/>
        <v>-138915.31749086169</v>
      </c>
      <c r="H238" s="124">
        <f t="shared" si="15"/>
        <v>1.0122109256520304</v>
      </c>
      <c r="I238" s="42">
        <f t="shared" si="16"/>
        <v>-140611.6021046708</v>
      </c>
    </row>
    <row r="239" spans="1:9" x14ac:dyDescent="0.25">
      <c r="A239" s="38">
        <f>Données!A239</f>
        <v>5816</v>
      </c>
      <c r="B239" s="27" t="str">
        <f>Données!B239</f>
        <v>Corcelles-près-Payerne</v>
      </c>
      <c r="C239" s="31">
        <f>Données!Z239</f>
        <v>2856</v>
      </c>
      <c r="D239" s="179">
        <f>Ecrêtage!E239</f>
        <v>23.004044070182815</v>
      </c>
      <c r="E239" s="179">
        <f t="shared" si="13"/>
        <v>24.904934569675497</v>
      </c>
      <c r="F239" s="179">
        <f>+Données!X239</f>
        <v>68.5</v>
      </c>
      <c r="G239" s="296">
        <f t="shared" si="14"/>
        <v>-1315521.4804577196</v>
      </c>
      <c r="H239" s="124">
        <f t="shared" si="15"/>
        <v>1.0122109256520304</v>
      </c>
      <c r="I239" s="42">
        <f t="shared" si="16"/>
        <v>-1331585.2154492377</v>
      </c>
    </row>
    <row r="240" spans="1:9" x14ac:dyDescent="0.25">
      <c r="A240" s="38">
        <f>Données!A240</f>
        <v>5817</v>
      </c>
      <c r="B240" s="27" t="str">
        <f>Données!B240</f>
        <v>Grandcour</v>
      </c>
      <c r="C240" s="31">
        <f>Données!Z240</f>
        <v>1001</v>
      </c>
      <c r="D240" s="179">
        <f>Ecrêtage!E240</f>
        <v>25.890642962479696</v>
      </c>
      <c r="E240" s="179">
        <f t="shared" si="13"/>
        <v>22.018335677378616</v>
      </c>
      <c r="F240" s="179">
        <f>+Données!X240</f>
        <v>73.5</v>
      </c>
      <c r="G240" s="296">
        <f t="shared" si="14"/>
        <v>-437390.82538909628</v>
      </c>
      <c r="H240" s="124">
        <f t="shared" si="15"/>
        <v>1.0860949348237114</v>
      </c>
      <c r="I240" s="42">
        <f t="shared" si="16"/>
        <v>-475047.95999345987</v>
      </c>
    </row>
    <row r="241" spans="1:9" x14ac:dyDescent="0.25">
      <c r="A241" s="38">
        <f>Données!A241</f>
        <v>5819</v>
      </c>
      <c r="B241" s="27" t="str">
        <f>Données!B241</f>
        <v>Henniez</v>
      </c>
      <c r="C241" s="31">
        <f>Données!Z241</f>
        <v>414</v>
      </c>
      <c r="D241" s="179">
        <f>Ecrêtage!E241</f>
        <v>24.820010852061891</v>
      </c>
      <c r="E241" s="179">
        <f t="shared" si="13"/>
        <v>23.08896778779642</v>
      </c>
      <c r="F241" s="179">
        <f>+Données!X241</f>
        <v>69</v>
      </c>
      <c r="G241" s="296">
        <f t="shared" si="14"/>
        <v>-178081.05253307198</v>
      </c>
      <c r="H241" s="124">
        <f t="shared" si="15"/>
        <v>1.0195993265691985</v>
      </c>
      <c r="I241" s="42">
        <f t="shared" si="16"/>
        <v>-181571.32123745425</v>
      </c>
    </row>
    <row r="242" spans="1:9" x14ac:dyDescent="0.25">
      <c r="A242" s="38">
        <f>Données!A242</f>
        <v>5821</v>
      </c>
      <c r="B242" s="27" t="str">
        <f>Données!B242</f>
        <v>Missy</v>
      </c>
      <c r="C242" s="31">
        <f>Données!Z242</f>
        <v>387</v>
      </c>
      <c r="D242" s="179">
        <f>Ecrêtage!E242</f>
        <v>21.643162503588862</v>
      </c>
      <c r="E242" s="179">
        <f t="shared" si="13"/>
        <v>26.26581613626945</v>
      </c>
      <c r="F242" s="179">
        <f>+Données!X242</f>
        <v>72</v>
      </c>
      <c r="G242" s="296">
        <f t="shared" si="14"/>
        <v>-197605.08922167323</v>
      </c>
      <c r="H242" s="124">
        <f t="shared" si="15"/>
        <v>1.0639297320722072</v>
      </c>
      <c r="I242" s="42">
        <f t="shared" si="16"/>
        <v>-210237.92963171939</v>
      </c>
    </row>
    <row r="243" spans="1:9" x14ac:dyDescent="0.25">
      <c r="A243" s="38">
        <f>Données!A243</f>
        <v>5822</v>
      </c>
      <c r="B243" s="27" t="str">
        <f>Données!B243</f>
        <v>Payerne</v>
      </c>
      <c r="C243" s="31">
        <f>Données!Z243</f>
        <v>10372</v>
      </c>
      <c r="D243" s="179">
        <f>Ecrêtage!E243</f>
        <v>21.869395025595782</v>
      </c>
      <c r="E243" s="179">
        <f t="shared" si="13"/>
        <v>26.039583614262529</v>
      </c>
      <c r="F243" s="179">
        <f>+Données!X243</f>
        <v>73</v>
      </c>
      <c r="G243" s="296">
        <f t="shared" si="14"/>
        <v>-5323327.2821809519</v>
      </c>
      <c r="H243" s="124">
        <f t="shared" si="15"/>
        <v>1.0787065339065434</v>
      </c>
      <c r="I243" s="42">
        <f t="shared" si="16"/>
        <v>-5742307.9214115543</v>
      </c>
    </row>
    <row r="244" spans="1:9" x14ac:dyDescent="0.25">
      <c r="A244" s="38">
        <f>Données!A244</f>
        <v>5827</v>
      </c>
      <c r="B244" s="27" t="str">
        <f>Données!B244</f>
        <v>Trey</v>
      </c>
      <c r="C244" s="31">
        <f>Données!Z244</f>
        <v>302</v>
      </c>
      <c r="D244" s="179">
        <f>Ecrêtage!E244</f>
        <v>25.546264645950082</v>
      </c>
      <c r="E244" s="179">
        <f t="shared" si="13"/>
        <v>22.36271399390823</v>
      </c>
      <c r="F244" s="179">
        <f>+Données!X244</f>
        <v>78</v>
      </c>
      <c r="G244" s="296">
        <f t="shared" si="14"/>
        <v>-142229.54452693564</v>
      </c>
      <c r="H244" s="124">
        <f t="shared" si="15"/>
        <v>1.1525905430782244</v>
      </c>
      <c r="I244" s="42">
        <f t="shared" si="16"/>
        <v>-163932.42796806924</v>
      </c>
    </row>
    <row r="245" spans="1:9" x14ac:dyDescent="0.25">
      <c r="A245" s="38">
        <f>Données!A245</f>
        <v>5828</v>
      </c>
      <c r="B245" s="27" t="str">
        <f>Données!B245</f>
        <v>Treytorrens (Payerne)</v>
      </c>
      <c r="C245" s="31">
        <f>Données!Z245</f>
        <v>105</v>
      </c>
      <c r="D245" s="179">
        <f>Ecrêtage!E245</f>
        <v>27.28384535982082</v>
      </c>
      <c r="E245" s="179">
        <f t="shared" si="13"/>
        <v>20.625133280037492</v>
      </c>
      <c r="F245" s="179">
        <f>+Données!X245</f>
        <v>81.5</v>
      </c>
      <c r="G245" s="296">
        <f t="shared" si="14"/>
        <v>-47654.886071858629</v>
      </c>
      <c r="H245" s="124">
        <f t="shared" si="15"/>
        <v>1.2043093494984012</v>
      </c>
      <c r="I245" s="42">
        <f t="shared" si="16"/>
        <v>-57391.224845620483</v>
      </c>
    </row>
    <row r="246" spans="1:9" x14ac:dyDescent="0.25">
      <c r="A246" s="38">
        <f>Données!A246</f>
        <v>5830</v>
      </c>
      <c r="B246" s="27" t="str">
        <f>Données!B246</f>
        <v>Villarzel</v>
      </c>
      <c r="C246" s="31">
        <f>Données!Z246</f>
        <v>486</v>
      </c>
      <c r="D246" s="179">
        <f>Ecrêtage!E246</f>
        <v>25.666802743484226</v>
      </c>
      <c r="E246" s="179">
        <f t="shared" si="13"/>
        <v>22.242175896374086</v>
      </c>
      <c r="F246" s="179">
        <f>+Données!X246</f>
        <v>75</v>
      </c>
      <c r="G246" s="296">
        <f t="shared" si="14"/>
        <v>-218896.37408416558</v>
      </c>
      <c r="H246" s="124">
        <f t="shared" si="15"/>
        <v>1.1082601375752159</v>
      </c>
      <c r="I246" s="42">
        <f t="shared" si="16"/>
        <v>-242594.12565723326</v>
      </c>
    </row>
    <row r="247" spans="1:9" x14ac:dyDescent="0.25">
      <c r="A247" s="38">
        <f>Données!A247</f>
        <v>5831</v>
      </c>
      <c r="B247" s="27" t="str">
        <f>Données!B247</f>
        <v>Valbroye</v>
      </c>
      <c r="C247" s="31">
        <f>Données!Z247</f>
        <v>3361</v>
      </c>
      <c r="D247" s="179">
        <f>Ecrêtage!E247</f>
        <v>26.023530638959048</v>
      </c>
      <c r="E247" s="179">
        <f t="shared" si="13"/>
        <v>21.885448000899263</v>
      </c>
      <c r="F247" s="179">
        <f>+Données!X247</f>
        <v>70.5</v>
      </c>
      <c r="G247" s="296">
        <f t="shared" si="14"/>
        <v>-1400157.318565012</v>
      </c>
      <c r="H247" s="124">
        <f t="shared" si="15"/>
        <v>1.041764529320703</v>
      </c>
      <c r="I247" s="42">
        <f t="shared" si="16"/>
        <v>-1458634.2299498173</v>
      </c>
    </row>
    <row r="248" spans="1:9" x14ac:dyDescent="0.25">
      <c r="A248" s="38">
        <f>Données!A248</f>
        <v>5841</v>
      </c>
      <c r="B248" s="27" t="str">
        <f>Données!B248</f>
        <v>Château-d'Oex</v>
      </c>
      <c r="C248" s="31">
        <f>Données!Z248</f>
        <v>3568</v>
      </c>
      <c r="D248" s="179">
        <f>Ecrêtage!E248</f>
        <v>34.704595094317135</v>
      </c>
      <c r="E248" s="179">
        <f t="shared" si="13"/>
        <v>13.204383545541177</v>
      </c>
      <c r="F248" s="179">
        <f>+Données!X248</f>
        <v>81.5</v>
      </c>
      <c r="G248" s="296">
        <f t="shared" si="14"/>
        <v>-1036726.8569932528</v>
      </c>
      <c r="H248" s="124">
        <f t="shared" si="15"/>
        <v>1.2043093494984012</v>
      </c>
      <c r="I248" s="42">
        <f t="shared" si="16"/>
        <v>-1248539.8467530662</v>
      </c>
    </row>
    <row r="249" spans="1:9" x14ac:dyDescent="0.25">
      <c r="A249" s="38">
        <f>Données!A249</f>
        <v>5842</v>
      </c>
      <c r="B249" s="27" t="str">
        <f>Données!B249</f>
        <v>Rossinière</v>
      </c>
      <c r="C249" s="31">
        <f>Données!Z249</f>
        <v>534</v>
      </c>
      <c r="D249" s="179">
        <f>Ecrêtage!E249</f>
        <v>30.848518133197707</v>
      </c>
      <c r="E249" s="179">
        <f t="shared" si="13"/>
        <v>17.060460506660604</v>
      </c>
      <c r="F249" s="179">
        <f>+Données!X249</f>
        <v>81</v>
      </c>
      <c r="G249" s="296">
        <f t="shared" si="14"/>
        <v>-199241.95286387642</v>
      </c>
      <c r="H249" s="124">
        <f t="shared" si="15"/>
        <v>1.1969209485812331</v>
      </c>
      <c r="I249" s="42">
        <f t="shared" si="16"/>
        <v>-238476.8672190083</v>
      </c>
    </row>
    <row r="250" spans="1:9" x14ac:dyDescent="0.25">
      <c r="A250" s="38">
        <f>Données!A250</f>
        <v>5843</v>
      </c>
      <c r="B250" s="27" t="str">
        <f>Données!B250</f>
        <v>Rougemont</v>
      </c>
      <c r="C250" s="31">
        <f>Données!Z250</f>
        <v>826</v>
      </c>
      <c r="D250" s="179">
        <f>Ecrêtage!E250</f>
        <v>108.63830620855938</v>
      </c>
      <c r="E250" s="179">
        <f t="shared" si="13"/>
        <v>0</v>
      </c>
      <c r="F250" s="179">
        <f>+Données!X250</f>
        <v>79</v>
      </c>
      <c r="G250" s="296">
        <f t="shared" si="14"/>
        <v>0</v>
      </c>
      <c r="H250" s="124">
        <f t="shared" si="15"/>
        <v>1.1673673449125608</v>
      </c>
      <c r="I250" s="42">
        <f t="shared" si="16"/>
        <v>0</v>
      </c>
    </row>
    <row r="251" spans="1:9" x14ac:dyDescent="0.25">
      <c r="A251" s="38">
        <f>Données!A251</f>
        <v>5851</v>
      </c>
      <c r="B251" s="27" t="str">
        <f>Données!B251</f>
        <v>Allaman</v>
      </c>
      <c r="C251" s="31">
        <f>Données!Z251</f>
        <v>420</v>
      </c>
      <c r="D251" s="179">
        <f>Ecrêtage!E251</f>
        <v>58.691070573870569</v>
      </c>
      <c r="E251" s="179">
        <f t="shared" si="13"/>
        <v>0</v>
      </c>
      <c r="F251" s="179">
        <f>+Données!X251</f>
        <v>65</v>
      </c>
      <c r="G251" s="296">
        <f t="shared" si="14"/>
        <v>0</v>
      </c>
      <c r="H251" s="124">
        <f t="shared" si="15"/>
        <v>0.96049211923185374</v>
      </c>
      <c r="I251" s="42">
        <f t="shared" si="16"/>
        <v>0</v>
      </c>
    </row>
    <row r="252" spans="1:9" x14ac:dyDescent="0.25">
      <c r="A252" s="38">
        <f>Données!A252</f>
        <v>5852</v>
      </c>
      <c r="B252" s="27" t="str">
        <f>Données!B252</f>
        <v>Bursinel</v>
      </c>
      <c r="C252" s="31">
        <f>Données!Z252</f>
        <v>503</v>
      </c>
      <c r="D252" s="179">
        <f>Ecrêtage!E252</f>
        <v>70.872696722888477</v>
      </c>
      <c r="E252" s="179">
        <f t="shared" si="13"/>
        <v>0</v>
      </c>
      <c r="F252" s="179">
        <f>+Données!X252</f>
        <v>62</v>
      </c>
      <c r="G252" s="296">
        <f t="shared" si="14"/>
        <v>0</v>
      </c>
      <c r="H252" s="124">
        <f t="shared" si="15"/>
        <v>0.91616171372884514</v>
      </c>
      <c r="I252" s="42">
        <f t="shared" si="16"/>
        <v>0</v>
      </c>
    </row>
    <row r="253" spans="1:9" x14ac:dyDescent="0.25">
      <c r="A253" s="38">
        <f>Données!A253</f>
        <v>5853</v>
      </c>
      <c r="B253" s="27" t="str">
        <f>Données!B253</f>
        <v>Bursins</v>
      </c>
      <c r="C253" s="31">
        <f>Données!Z253</f>
        <v>766</v>
      </c>
      <c r="D253" s="179">
        <f>Ecrêtage!E253</f>
        <v>62.057067811569141</v>
      </c>
      <c r="E253" s="179">
        <f t="shared" si="13"/>
        <v>0</v>
      </c>
      <c r="F253" s="179">
        <f>+Données!X253</f>
        <v>71</v>
      </c>
      <c r="G253" s="296">
        <f t="shared" si="14"/>
        <v>0</v>
      </c>
      <c r="H253" s="124">
        <f t="shared" si="15"/>
        <v>1.049152930237871</v>
      </c>
      <c r="I253" s="42">
        <f t="shared" si="16"/>
        <v>0</v>
      </c>
    </row>
    <row r="254" spans="1:9" x14ac:dyDescent="0.25">
      <c r="A254" s="38">
        <f>Données!A254</f>
        <v>5854</v>
      </c>
      <c r="B254" s="27" t="str">
        <f>Données!B254</f>
        <v>Burtigny</v>
      </c>
      <c r="C254" s="31">
        <f>Données!Z254</f>
        <v>414</v>
      </c>
      <c r="D254" s="179">
        <f>Ecrêtage!E254</f>
        <v>36.861900879001404</v>
      </c>
      <c r="E254" s="179">
        <f t="shared" si="13"/>
        <v>11.047077760856908</v>
      </c>
      <c r="F254" s="179">
        <f>+Données!X254</f>
        <v>78.5</v>
      </c>
      <c r="G254" s="296">
        <f t="shared" si="14"/>
        <v>-96935.124640523951</v>
      </c>
      <c r="H254" s="124">
        <f t="shared" si="15"/>
        <v>1.1599789439953927</v>
      </c>
      <c r="I254" s="42">
        <f t="shared" si="16"/>
        <v>-112442.70351657674</v>
      </c>
    </row>
    <row r="255" spans="1:9" x14ac:dyDescent="0.25">
      <c r="A255" s="38">
        <f>Données!A255</f>
        <v>5855</v>
      </c>
      <c r="B255" s="27" t="str">
        <f>Données!B255</f>
        <v>Dully</v>
      </c>
      <c r="C255" s="31">
        <f>Données!Z255</f>
        <v>631</v>
      </c>
      <c r="D255" s="179">
        <f>Ecrêtage!E255</f>
        <v>130.8578707053793</v>
      </c>
      <c r="E255" s="179">
        <f t="shared" si="13"/>
        <v>0</v>
      </c>
      <c r="F255" s="179">
        <f>+Données!X255</f>
        <v>53</v>
      </c>
      <c r="G255" s="296">
        <f t="shared" si="14"/>
        <v>0</v>
      </c>
      <c r="H255" s="124">
        <f t="shared" si="15"/>
        <v>0.78317049721981924</v>
      </c>
      <c r="I255" s="42">
        <f t="shared" si="16"/>
        <v>0</v>
      </c>
    </row>
    <row r="256" spans="1:9" x14ac:dyDescent="0.25">
      <c r="A256" s="38">
        <f>Données!A256</f>
        <v>5856</v>
      </c>
      <c r="B256" s="27" t="str">
        <f>Données!B256</f>
        <v>Essertines-sur-Rolle</v>
      </c>
      <c r="C256" s="31">
        <f>Données!Z256</f>
        <v>749</v>
      </c>
      <c r="D256" s="179">
        <f>Ecrêtage!E256</f>
        <v>48.679219811879506</v>
      </c>
      <c r="E256" s="179">
        <f t="shared" si="13"/>
        <v>0</v>
      </c>
      <c r="F256" s="179">
        <f>+Données!X256</f>
        <v>66.5</v>
      </c>
      <c r="G256" s="296">
        <f t="shared" si="14"/>
        <v>0</v>
      </c>
      <c r="H256" s="124">
        <f t="shared" si="15"/>
        <v>0.98265732198335809</v>
      </c>
      <c r="I256" s="42">
        <f t="shared" si="16"/>
        <v>0</v>
      </c>
    </row>
    <row r="257" spans="1:9" x14ac:dyDescent="0.25">
      <c r="A257" s="38">
        <f>Données!A257</f>
        <v>5857</v>
      </c>
      <c r="B257" s="27" t="str">
        <f>Données!B257</f>
        <v>Gilly</v>
      </c>
      <c r="C257" s="31">
        <f>Données!Z257</f>
        <v>1446</v>
      </c>
      <c r="D257" s="179">
        <f>Ecrêtage!E257</f>
        <v>60.177623275113397</v>
      </c>
      <c r="E257" s="179">
        <f t="shared" si="13"/>
        <v>0</v>
      </c>
      <c r="F257" s="179">
        <f>+Données!X257</f>
        <v>64.5</v>
      </c>
      <c r="G257" s="296">
        <f t="shared" si="14"/>
        <v>0</v>
      </c>
      <c r="H257" s="124">
        <f t="shared" si="15"/>
        <v>0.95310371831468566</v>
      </c>
      <c r="I257" s="42">
        <f t="shared" si="16"/>
        <v>0</v>
      </c>
    </row>
    <row r="258" spans="1:9" x14ac:dyDescent="0.25">
      <c r="A258" s="38">
        <f>Données!A258</f>
        <v>5858</v>
      </c>
      <c r="B258" s="27" t="str">
        <f>Données!B258</f>
        <v>Luins</v>
      </c>
      <c r="C258" s="31">
        <f>Données!Z258</f>
        <v>618</v>
      </c>
      <c r="D258" s="179">
        <f>Ecrêtage!E258</f>
        <v>66.604364967407022</v>
      </c>
      <c r="E258" s="179">
        <f t="shared" si="13"/>
        <v>0</v>
      </c>
      <c r="F258" s="179">
        <f>+Données!X258</f>
        <v>58.5</v>
      </c>
      <c r="G258" s="296">
        <f t="shared" si="14"/>
        <v>0</v>
      </c>
      <c r="H258" s="124">
        <f t="shared" si="15"/>
        <v>0.86444290730866835</v>
      </c>
      <c r="I258" s="42">
        <f t="shared" si="16"/>
        <v>0</v>
      </c>
    </row>
    <row r="259" spans="1:9" x14ac:dyDescent="0.25">
      <c r="A259" s="38">
        <f>Données!A259</f>
        <v>5859</v>
      </c>
      <c r="B259" s="27" t="str">
        <f>Données!B259</f>
        <v>Mont-sur-Rolle</v>
      </c>
      <c r="C259" s="31">
        <f>Données!Z259</f>
        <v>2759</v>
      </c>
      <c r="D259" s="179">
        <f>Ecrêtage!E259</f>
        <v>57.423871424372052</v>
      </c>
      <c r="E259" s="179">
        <f t="shared" si="13"/>
        <v>0</v>
      </c>
      <c r="F259" s="179">
        <f>+Données!X259</f>
        <v>63.5</v>
      </c>
      <c r="G259" s="296">
        <f t="shared" si="14"/>
        <v>0</v>
      </c>
      <c r="H259" s="124">
        <f t="shared" si="15"/>
        <v>0.93832691648034938</v>
      </c>
      <c r="I259" s="42">
        <f t="shared" si="16"/>
        <v>0</v>
      </c>
    </row>
    <row r="260" spans="1:9" x14ac:dyDescent="0.25">
      <c r="A260" s="38">
        <f>Données!A260</f>
        <v>5860</v>
      </c>
      <c r="B260" s="27" t="str">
        <f>Données!B260</f>
        <v>Perroy</v>
      </c>
      <c r="C260" s="31">
        <f>Données!Z260</f>
        <v>1542</v>
      </c>
      <c r="D260" s="179">
        <f>Ecrêtage!E260</f>
        <v>85.844981090500411</v>
      </c>
      <c r="E260" s="179">
        <f t="shared" si="13"/>
        <v>0</v>
      </c>
      <c r="F260" s="179">
        <f>+Données!X260</f>
        <v>58.5</v>
      </c>
      <c r="G260" s="296">
        <f t="shared" si="14"/>
        <v>0</v>
      </c>
      <c r="H260" s="124">
        <f t="shared" si="15"/>
        <v>0.86444290730866835</v>
      </c>
      <c r="I260" s="42">
        <f t="shared" si="16"/>
        <v>0</v>
      </c>
    </row>
    <row r="261" spans="1:9" x14ac:dyDescent="0.25">
      <c r="A261" s="38">
        <f>Données!A261</f>
        <v>5861</v>
      </c>
      <c r="B261" s="27" t="str">
        <f>Données!B261</f>
        <v>Rolle</v>
      </c>
      <c r="C261" s="31">
        <f>Données!Z261</f>
        <v>6321</v>
      </c>
      <c r="D261" s="179">
        <f>Ecrêtage!E261</f>
        <v>125.96943447146302</v>
      </c>
      <c r="E261" s="179">
        <f t="shared" si="13"/>
        <v>0</v>
      </c>
      <c r="F261" s="179">
        <f>+Données!X261</f>
        <v>59.5</v>
      </c>
      <c r="G261" s="296">
        <f t="shared" si="14"/>
        <v>0</v>
      </c>
      <c r="H261" s="124">
        <f t="shared" si="15"/>
        <v>0.87921970914300462</v>
      </c>
      <c r="I261" s="42">
        <f t="shared" si="16"/>
        <v>0</v>
      </c>
    </row>
    <row r="262" spans="1:9" x14ac:dyDescent="0.25">
      <c r="A262" s="38">
        <f>Données!A262</f>
        <v>5862</v>
      </c>
      <c r="B262" s="27" t="str">
        <f>Données!B262</f>
        <v>Tartegnin</v>
      </c>
      <c r="C262" s="31">
        <f>Données!Z262</f>
        <v>249</v>
      </c>
      <c r="D262" s="179">
        <f>Ecrêtage!E262</f>
        <v>41.652152407096743</v>
      </c>
      <c r="E262" s="179">
        <f t="shared" si="13"/>
        <v>6.2568262327615685</v>
      </c>
      <c r="F262" s="179">
        <f>+Données!X262</f>
        <v>79</v>
      </c>
      <c r="G262" s="296">
        <f t="shared" si="14"/>
        <v>-33231.067782656261</v>
      </c>
      <c r="H262" s="124">
        <f t="shared" si="15"/>
        <v>1.1673673449125608</v>
      </c>
      <c r="I262" s="42">
        <f t="shared" si="16"/>
        <v>-38792.863366048776</v>
      </c>
    </row>
    <row r="263" spans="1:9" x14ac:dyDescent="0.25">
      <c r="A263" s="38">
        <f>Données!A263</f>
        <v>5863</v>
      </c>
      <c r="B263" s="27" t="str">
        <f>Données!B263</f>
        <v>Vinzel</v>
      </c>
      <c r="C263" s="31">
        <f>Données!Z263</f>
        <v>378</v>
      </c>
      <c r="D263" s="179">
        <f>Ecrêtage!E263</f>
        <v>62.594870488825713</v>
      </c>
      <c r="E263" s="179">
        <f t="shared" ref="E263:E305" si="17">IF($D$306-D263&lt;0,0,$D$306-D263)</f>
        <v>0</v>
      </c>
      <c r="F263" s="179">
        <f>+Données!X263</f>
        <v>67</v>
      </c>
      <c r="G263" s="296">
        <f t="shared" ref="G263:G305" si="18">-((C263*E263*F263)*$E$5)</f>
        <v>0</v>
      </c>
      <c r="H263" s="124">
        <f t="shared" ref="H263:H305" si="19">F263/$F$306</f>
        <v>0.99004572290052617</v>
      </c>
      <c r="I263" s="42">
        <f t="shared" ref="I263:I305" si="20">G263*H263</f>
        <v>0</v>
      </c>
    </row>
    <row r="264" spans="1:9" x14ac:dyDescent="0.25">
      <c r="A264" s="38">
        <f>Données!A264</f>
        <v>5871</v>
      </c>
      <c r="B264" s="27" t="str">
        <f>Données!B264</f>
        <v>L'Abbaye</v>
      </c>
      <c r="C264" s="31">
        <f>Données!Z264</f>
        <v>1534</v>
      </c>
      <c r="D264" s="179">
        <f>Ecrêtage!E264</f>
        <v>32.748094084747443</v>
      </c>
      <c r="E264" s="179">
        <f t="shared" si="17"/>
        <v>15.160884555110869</v>
      </c>
      <c r="F264" s="179">
        <f>+Données!X264</f>
        <v>77.3</v>
      </c>
      <c r="G264" s="296">
        <f t="shared" si="18"/>
        <v>-485392.60825726885</v>
      </c>
      <c r="H264" s="124">
        <f t="shared" si="19"/>
        <v>1.142246781794189</v>
      </c>
      <c r="I264" s="42">
        <f t="shared" si="20"/>
        <v>-554438.14468855283</v>
      </c>
    </row>
    <row r="265" spans="1:9" x14ac:dyDescent="0.25">
      <c r="A265" s="38">
        <f>Données!A265</f>
        <v>5872</v>
      </c>
      <c r="B265" s="27" t="str">
        <f>Données!B265</f>
        <v>Le Chenit</v>
      </c>
      <c r="C265" s="31">
        <f>Données!Z265</f>
        <v>4613</v>
      </c>
      <c r="D265" s="179">
        <f>Ecrêtage!E265</f>
        <v>68.701371408096989</v>
      </c>
      <c r="E265" s="179">
        <f t="shared" si="17"/>
        <v>0</v>
      </c>
      <c r="F265" s="179">
        <f>+Données!X265</f>
        <v>66.83</v>
      </c>
      <c r="G265" s="296">
        <f t="shared" si="18"/>
        <v>0</v>
      </c>
      <c r="H265" s="124">
        <f t="shared" si="19"/>
        <v>0.98753366658868902</v>
      </c>
      <c r="I265" s="42">
        <f t="shared" si="20"/>
        <v>0</v>
      </c>
    </row>
    <row r="266" spans="1:9" x14ac:dyDescent="0.25">
      <c r="A266" s="38">
        <f>Données!A266</f>
        <v>5873</v>
      </c>
      <c r="B266" s="27" t="str">
        <f>Données!B266</f>
        <v>Le Lieu</v>
      </c>
      <c r="C266" s="31">
        <f>Données!Z266</f>
        <v>886</v>
      </c>
      <c r="D266" s="179">
        <f>Ecrêtage!E266</f>
        <v>39.733032167042893</v>
      </c>
      <c r="E266" s="179">
        <f t="shared" si="17"/>
        <v>8.1759464728154185</v>
      </c>
      <c r="F266" s="179">
        <f>+Données!X266</f>
        <v>70</v>
      </c>
      <c r="G266" s="296">
        <f t="shared" si="18"/>
        <v>-136909.49406588334</v>
      </c>
      <c r="H266" s="124">
        <f t="shared" si="19"/>
        <v>1.0343761284035349</v>
      </c>
      <c r="I266" s="42">
        <f t="shared" si="20"/>
        <v>-141615.91241355514</v>
      </c>
    </row>
    <row r="267" spans="1:9" x14ac:dyDescent="0.25">
      <c r="A267" s="38">
        <f>Données!A267</f>
        <v>5882</v>
      </c>
      <c r="B267" s="27" t="str">
        <f>Données!B267</f>
        <v>Chardonne</v>
      </c>
      <c r="C267" s="31">
        <f>Données!Z267</f>
        <v>3192</v>
      </c>
      <c r="D267" s="179">
        <f>Ecrêtage!E267</f>
        <v>63.206506615804216</v>
      </c>
      <c r="E267" s="179">
        <f t="shared" si="17"/>
        <v>0</v>
      </c>
      <c r="F267" s="179">
        <f>+Données!X267</f>
        <v>68</v>
      </c>
      <c r="G267" s="296">
        <f t="shared" si="18"/>
        <v>0</v>
      </c>
      <c r="H267" s="124">
        <f t="shared" si="19"/>
        <v>1.0048225247348623</v>
      </c>
      <c r="I267" s="42">
        <f t="shared" si="20"/>
        <v>0</v>
      </c>
    </row>
    <row r="268" spans="1:9" x14ac:dyDescent="0.25">
      <c r="A268" s="38">
        <f>Données!A268</f>
        <v>5883</v>
      </c>
      <c r="B268" s="27" t="str">
        <f>Données!B268</f>
        <v>Corseaux</v>
      </c>
      <c r="C268" s="31">
        <f>Données!Z268</f>
        <v>2307</v>
      </c>
      <c r="D268" s="179">
        <f>Ecrêtage!E268</f>
        <v>78.411430589670744</v>
      </c>
      <c r="E268" s="179">
        <f t="shared" si="17"/>
        <v>0</v>
      </c>
      <c r="F268" s="179">
        <f>+Données!X268</f>
        <v>67.5</v>
      </c>
      <c r="G268" s="296">
        <f t="shared" si="18"/>
        <v>0</v>
      </c>
      <c r="H268" s="124">
        <f t="shared" si="19"/>
        <v>0.99743412381769425</v>
      </c>
      <c r="I268" s="42">
        <f t="shared" si="20"/>
        <v>0</v>
      </c>
    </row>
    <row r="269" spans="1:9" x14ac:dyDescent="0.25">
      <c r="A269" s="38">
        <f>Données!A269</f>
        <v>5884</v>
      </c>
      <c r="B269" s="27" t="str">
        <f>Données!B269</f>
        <v>Corsier-sur-Vevey</v>
      </c>
      <c r="C269" s="31">
        <f>Données!Z269</f>
        <v>3366</v>
      </c>
      <c r="D269" s="179">
        <f>Ecrêtage!E269</f>
        <v>38.039234724506038</v>
      </c>
      <c r="E269" s="179">
        <f t="shared" si="17"/>
        <v>9.8697439153522737</v>
      </c>
      <c r="F269" s="179">
        <f>+Données!X269</f>
        <v>64.5</v>
      </c>
      <c r="G269" s="296">
        <f t="shared" si="18"/>
        <v>-578553.43290220422</v>
      </c>
      <c r="H269" s="124">
        <f t="shared" si="19"/>
        <v>0.95310371831468566</v>
      </c>
      <c r="I269" s="42">
        <f t="shared" si="20"/>
        <v>-551421.42814281688</v>
      </c>
    </row>
    <row r="270" spans="1:9" x14ac:dyDescent="0.25">
      <c r="A270" s="38">
        <f>Données!A270</f>
        <v>5885</v>
      </c>
      <c r="B270" s="27" t="str">
        <f>Données!B270</f>
        <v>Jongny</v>
      </c>
      <c r="C270" s="31">
        <f>Données!Z270</f>
        <v>1842</v>
      </c>
      <c r="D270" s="179">
        <f>Ecrêtage!E270</f>
        <v>56.508523174945388</v>
      </c>
      <c r="E270" s="179">
        <f t="shared" si="17"/>
        <v>0</v>
      </c>
      <c r="F270" s="179">
        <f>+Données!X270</f>
        <v>69.5</v>
      </c>
      <c r="G270" s="296">
        <f t="shared" si="18"/>
        <v>0</v>
      </c>
      <c r="H270" s="124">
        <f t="shared" si="19"/>
        <v>1.0269877274863668</v>
      </c>
      <c r="I270" s="42">
        <f t="shared" si="20"/>
        <v>0</v>
      </c>
    </row>
    <row r="271" spans="1:9" x14ac:dyDescent="0.25">
      <c r="A271" s="38">
        <f>Données!A271</f>
        <v>5886</v>
      </c>
      <c r="B271" s="27" t="str">
        <f>Données!B271</f>
        <v>Montreux</v>
      </c>
      <c r="C271" s="31">
        <f>Données!Z271</f>
        <v>26081</v>
      </c>
      <c r="D271" s="179">
        <f>Ecrêtage!E271</f>
        <v>44.210664126257548</v>
      </c>
      <c r="E271" s="179">
        <f t="shared" si="17"/>
        <v>3.6983145136007636</v>
      </c>
      <c r="F271" s="179">
        <f>+Données!X271</f>
        <v>65</v>
      </c>
      <c r="G271" s="296">
        <f t="shared" si="18"/>
        <v>-1692798.2515528377</v>
      </c>
      <c r="H271" s="124">
        <f t="shared" si="19"/>
        <v>0.96049211923185374</v>
      </c>
      <c r="I271" s="42">
        <f t="shared" si="20"/>
        <v>-1625919.3800659617</v>
      </c>
    </row>
    <row r="272" spans="1:9" x14ac:dyDescent="0.25">
      <c r="A272" s="38">
        <f>Données!A272</f>
        <v>5889</v>
      </c>
      <c r="B272" s="27" t="str">
        <f>Données!B272</f>
        <v>La Tour-de-Peilz</v>
      </c>
      <c r="C272" s="31">
        <f>Données!Z272</f>
        <v>12400</v>
      </c>
      <c r="D272" s="179">
        <f>Ecrêtage!E272</f>
        <v>57.184501488995288</v>
      </c>
      <c r="E272" s="179">
        <f t="shared" si="17"/>
        <v>0</v>
      </c>
      <c r="F272" s="179">
        <f>+Données!X272</f>
        <v>64</v>
      </c>
      <c r="G272" s="296">
        <f t="shared" si="18"/>
        <v>0</v>
      </c>
      <c r="H272" s="124">
        <f t="shared" si="19"/>
        <v>0.94571531739751757</v>
      </c>
      <c r="I272" s="42">
        <f t="shared" si="20"/>
        <v>0</v>
      </c>
    </row>
    <row r="273" spans="1:9" x14ac:dyDescent="0.25">
      <c r="A273" s="38">
        <f>Données!A273</f>
        <v>5890</v>
      </c>
      <c r="B273" s="27" t="str">
        <f>Données!B273</f>
        <v>Vevey</v>
      </c>
      <c r="C273" s="31">
        <f>Données!Z273</f>
        <v>19743</v>
      </c>
      <c r="D273" s="179">
        <f>Ecrêtage!E273</f>
        <v>47.858632496936877</v>
      </c>
      <c r="E273" s="179">
        <f t="shared" si="17"/>
        <v>5.0346142921434023E-2</v>
      </c>
      <c r="F273" s="179">
        <f>+Données!X273</f>
        <v>74.5</v>
      </c>
      <c r="G273" s="296">
        <f t="shared" si="18"/>
        <v>-19993.986142422695</v>
      </c>
      <c r="H273" s="124">
        <f t="shared" si="19"/>
        <v>1.1008717366580478</v>
      </c>
      <c r="I273" s="42">
        <f t="shared" si="20"/>
        <v>-22010.814247325816</v>
      </c>
    </row>
    <row r="274" spans="1:9" x14ac:dyDescent="0.25">
      <c r="A274" s="38">
        <f>Données!A274</f>
        <v>5891</v>
      </c>
      <c r="B274" s="27" t="str">
        <f>Données!B274</f>
        <v>Veytaux</v>
      </c>
      <c r="C274" s="31">
        <f>Données!Z274</f>
        <v>970</v>
      </c>
      <c r="D274" s="179">
        <f>Ecrêtage!E274</f>
        <v>42.384240253158296</v>
      </c>
      <c r="E274" s="179">
        <f t="shared" si="17"/>
        <v>5.5247383867000153</v>
      </c>
      <c r="F274" s="179">
        <f>+Données!X274</f>
        <v>69.5</v>
      </c>
      <c r="G274" s="296">
        <f t="shared" si="18"/>
        <v>-100561.56435163302</v>
      </c>
      <c r="H274" s="124">
        <f t="shared" si="19"/>
        <v>1.0269877274863668</v>
      </c>
      <c r="I274" s="42">
        <f t="shared" si="20"/>
        <v>-103275.49244595763</v>
      </c>
    </row>
    <row r="275" spans="1:9" x14ac:dyDescent="0.25">
      <c r="A275" s="38">
        <f>Données!A275</f>
        <v>5892</v>
      </c>
      <c r="B275" s="27" t="str">
        <f>Données!B275</f>
        <v>Blonay-St-Légier</v>
      </c>
      <c r="C275" s="31">
        <f>Données!Z275</f>
        <v>12123</v>
      </c>
      <c r="D275" s="179">
        <f>Ecrêtage!E275</f>
        <v>61.842880077743274</v>
      </c>
      <c r="E275" s="179">
        <f t="shared" si="17"/>
        <v>0</v>
      </c>
      <c r="F275" s="179">
        <f>+Données!X275</f>
        <v>68.5</v>
      </c>
      <c r="G275" s="296">
        <f t="shared" si="18"/>
        <v>0</v>
      </c>
      <c r="H275" s="124">
        <f t="shared" si="19"/>
        <v>1.0122109256520304</v>
      </c>
      <c r="I275" s="42">
        <f t="shared" si="20"/>
        <v>0</v>
      </c>
    </row>
    <row r="276" spans="1:9" x14ac:dyDescent="0.25">
      <c r="A276" s="38">
        <f>Données!A276</f>
        <v>5902</v>
      </c>
      <c r="B276" s="27" t="str">
        <f>Données!B276</f>
        <v>Belmont-sur-Yverdon</v>
      </c>
      <c r="C276" s="31">
        <f>Données!Z276</f>
        <v>434</v>
      </c>
      <c r="D276" s="179">
        <f>Ecrêtage!E276</f>
        <v>27.46014219881501</v>
      </c>
      <c r="E276" s="179">
        <f t="shared" si="17"/>
        <v>20.448836441043301</v>
      </c>
      <c r="F276" s="179">
        <f>+Données!X276</f>
        <v>70</v>
      </c>
      <c r="G276" s="296">
        <f t="shared" si="18"/>
        <v>-167733.62579130178</v>
      </c>
      <c r="H276" s="124">
        <f t="shared" si="19"/>
        <v>1.0343761284035349</v>
      </c>
      <c r="I276" s="42">
        <f t="shared" si="20"/>
        <v>-173499.65844909404</v>
      </c>
    </row>
    <row r="277" spans="1:9" s="158" customFormat="1" x14ac:dyDescent="0.25">
      <c r="A277" s="38">
        <f>Données!A277</f>
        <v>5903</v>
      </c>
      <c r="B277" s="27" t="str">
        <f>Données!B277</f>
        <v>Bioley-Magnoux</v>
      </c>
      <c r="C277" s="31">
        <f>Données!Z277</f>
        <v>247</v>
      </c>
      <c r="D277" s="179">
        <f>Ecrêtage!E277</f>
        <v>25.406348724375043</v>
      </c>
      <c r="E277" s="179">
        <f t="shared" si="17"/>
        <v>22.502629915483269</v>
      </c>
      <c r="F277" s="179">
        <f>+Données!X277</f>
        <v>72</v>
      </c>
      <c r="G277" s="296">
        <f t="shared" si="18"/>
        <v>-108050.42801257771</v>
      </c>
      <c r="H277" s="124">
        <f t="shared" si="19"/>
        <v>1.0639297320722072</v>
      </c>
      <c r="I277" s="42">
        <f t="shared" si="20"/>
        <v>-114958.06292570912</v>
      </c>
    </row>
    <row r="278" spans="1:9" s="158" customFormat="1" x14ac:dyDescent="0.25">
      <c r="A278" s="38">
        <f>Données!A278</f>
        <v>5904</v>
      </c>
      <c r="B278" s="27" t="str">
        <f>Données!B278</f>
        <v>Chamblon</v>
      </c>
      <c r="C278" s="31">
        <f>Données!Z278</f>
        <v>567</v>
      </c>
      <c r="D278" s="179">
        <f>Ecrêtage!E278</f>
        <v>33.315540591096145</v>
      </c>
      <c r="E278" s="179">
        <f t="shared" si="17"/>
        <v>14.593438048762167</v>
      </c>
      <c r="F278" s="179">
        <f>+Données!X278</f>
        <v>66</v>
      </c>
      <c r="G278" s="296">
        <f t="shared" si="18"/>
        <v>-147451.22243840998</v>
      </c>
      <c r="H278" s="124">
        <f t="shared" si="19"/>
        <v>0.97526892106619001</v>
      </c>
      <c r="I278" s="42">
        <f t="shared" si="20"/>
        <v>-143804.59461739889</v>
      </c>
    </row>
    <row r="279" spans="1:9" s="158" customFormat="1" x14ac:dyDescent="0.25">
      <c r="A279" s="38">
        <f>Données!A279</f>
        <v>5905</v>
      </c>
      <c r="B279" s="27" t="str">
        <f>Données!B279</f>
        <v>Champvent</v>
      </c>
      <c r="C279" s="31">
        <f>Données!Z279</f>
        <v>734</v>
      </c>
      <c r="D279" s="179">
        <f>Ecrêtage!E279</f>
        <v>29.336012650836903</v>
      </c>
      <c r="E279" s="179">
        <f t="shared" si="17"/>
        <v>18.572965989021409</v>
      </c>
      <c r="F279" s="179">
        <f>+Données!X279</f>
        <v>70</v>
      </c>
      <c r="G279" s="296">
        <f t="shared" si="18"/>
        <v>-257655.3279792984</v>
      </c>
      <c r="H279" s="124">
        <f t="shared" si="19"/>
        <v>1.0343761284035349</v>
      </c>
      <c r="I279" s="42">
        <f t="shared" si="20"/>
        <v>-266512.52061776962</v>
      </c>
    </row>
    <row r="280" spans="1:9" s="158" customFormat="1" x14ac:dyDescent="0.25">
      <c r="A280" s="38">
        <f>Données!A280</f>
        <v>5907</v>
      </c>
      <c r="B280" s="27" t="str">
        <f>Données!B280</f>
        <v>Chavannes-le-Chêne</v>
      </c>
      <c r="C280" s="31">
        <f>Données!Z280</f>
        <v>316</v>
      </c>
      <c r="D280" s="179">
        <f>Ecrêtage!E280</f>
        <v>26.7514299578059</v>
      </c>
      <c r="E280" s="179">
        <f t="shared" si="17"/>
        <v>21.157548682052411</v>
      </c>
      <c r="F280" s="179">
        <f>+Données!X280</f>
        <v>75</v>
      </c>
      <c r="G280" s="296">
        <f t="shared" si="18"/>
        <v>-135387.15401645339</v>
      </c>
      <c r="H280" s="124">
        <f t="shared" si="19"/>
        <v>1.1082601375752159</v>
      </c>
      <c r="I280" s="42">
        <f t="shared" si="20"/>
        <v>-150044.18593619158</v>
      </c>
    </row>
    <row r="281" spans="1:9" s="158" customFormat="1" x14ac:dyDescent="0.25">
      <c r="A281" s="38">
        <f>Données!A281</f>
        <v>5908</v>
      </c>
      <c r="B281" s="27" t="str">
        <f>Données!B281</f>
        <v>Chêne-Pâquier</v>
      </c>
      <c r="C281" s="31">
        <f>Données!Z281</f>
        <v>163</v>
      </c>
      <c r="D281" s="179">
        <f>Ecrêtage!E281</f>
        <v>30.170413905930481</v>
      </c>
      <c r="E281" s="179">
        <f t="shared" si="17"/>
        <v>17.738564733927831</v>
      </c>
      <c r="F281" s="179">
        <f>+Données!X281</f>
        <v>75</v>
      </c>
      <c r="G281" s="296">
        <f t="shared" si="18"/>
        <v>-58550.567545512291</v>
      </c>
      <c r="H281" s="124">
        <f t="shared" si="19"/>
        <v>1.1082601375752159</v>
      </c>
      <c r="I281" s="42">
        <f t="shared" si="20"/>
        <v>-64889.260043096423</v>
      </c>
    </row>
    <row r="282" spans="1:9" s="158" customFormat="1" x14ac:dyDescent="0.25">
      <c r="A282" s="38">
        <f>Données!A282</f>
        <v>5909</v>
      </c>
      <c r="B282" s="27" t="str">
        <f>Données!B282</f>
        <v>Cheseaux-Noréaz</v>
      </c>
      <c r="C282" s="31">
        <f>Données!Z282</f>
        <v>734</v>
      </c>
      <c r="D282" s="179">
        <f>Ecrêtage!E282</f>
        <v>46.57286937248363</v>
      </c>
      <c r="E282" s="179">
        <f t="shared" si="17"/>
        <v>1.3361092673746811</v>
      </c>
      <c r="F282" s="179">
        <f>+Données!X282</f>
        <v>67</v>
      </c>
      <c r="G282" s="296">
        <f t="shared" si="18"/>
        <v>-17740.939018757061</v>
      </c>
      <c r="H282" s="124">
        <f t="shared" si="19"/>
        <v>0.99004572290052617</v>
      </c>
      <c r="I282" s="42">
        <f t="shared" si="20"/>
        <v>-17564.340795759486</v>
      </c>
    </row>
    <row r="283" spans="1:9" s="158" customFormat="1" x14ac:dyDescent="0.25">
      <c r="A283" s="38">
        <f>Données!A283</f>
        <v>5910</v>
      </c>
      <c r="B283" s="27" t="str">
        <f>Données!B283</f>
        <v>Cronay</v>
      </c>
      <c r="C283" s="31">
        <f>Données!Z283</f>
        <v>410</v>
      </c>
      <c r="D283" s="179">
        <f>Ecrêtage!E283</f>
        <v>25.902059866962301</v>
      </c>
      <c r="E283" s="179">
        <f t="shared" si="17"/>
        <v>22.006918772896011</v>
      </c>
      <c r="F283" s="179">
        <f>+Données!X283</f>
        <v>77</v>
      </c>
      <c r="G283" s="296">
        <f t="shared" si="18"/>
        <v>-187584.77492828833</v>
      </c>
      <c r="H283" s="124">
        <f t="shared" si="19"/>
        <v>1.1378137412438882</v>
      </c>
      <c r="I283" s="42">
        <f t="shared" si="20"/>
        <v>-213436.53456154847</v>
      </c>
    </row>
    <row r="284" spans="1:9" s="158" customFormat="1" x14ac:dyDescent="0.25">
      <c r="A284" s="38">
        <f>Données!A284</f>
        <v>5911</v>
      </c>
      <c r="B284" s="27" t="str">
        <f>Données!B284</f>
        <v>Cuarny</v>
      </c>
      <c r="C284" s="31">
        <f>Données!Z284</f>
        <v>236</v>
      </c>
      <c r="D284" s="179">
        <f>Ecrêtage!E284</f>
        <v>32.333409641206245</v>
      </c>
      <c r="E284" s="179">
        <f t="shared" si="17"/>
        <v>15.575568998652066</v>
      </c>
      <c r="F284" s="179">
        <f>+Données!X284</f>
        <v>77</v>
      </c>
      <c r="G284" s="296">
        <f t="shared" si="18"/>
        <v>-76420.594757746454</v>
      </c>
      <c r="H284" s="124">
        <f t="shared" si="19"/>
        <v>1.1378137412438882</v>
      </c>
      <c r="I284" s="42">
        <f t="shared" si="20"/>
        <v>-86952.402829394559</v>
      </c>
    </row>
    <row r="285" spans="1:9" x14ac:dyDescent="0.25">
      <c r="A285" s="38">
        <f>Données!A285</f>
        <v>5912</v>
      </c>
      <c r="B285" s="27" t="str">
        <f>Données!B285</f>
        <v>Démoret</v>
      </c>
      <c r="C285" s="31">
        <f>Données!Z285</f>
        <v>167</v>
      </c>
      <c r="D285" s="179">
        <f>Ecrêtage!E285</f>
        <v>18.17705204974666</v>
      </c>
      <c r="E285" s="179">
        <f t="shared" si="17"/>
        <v>29.731926590111652</v>
      </c>
      <c r="F285" s="179">
        <f>+Données!X285</f>
        <v>78</v>
      </c>
      <c r="G285" s="296">
        <f t="shared" si="18"/>
        <v>-104567.78045595449</v>
      </c>
      <c r="H285" s="124">
        <f t="shared" si="19"/>
        <v>1.1525905430782244</v>
      </c>
      <c r="I285" s="42">
        <f t="shared" si="20"/>
        <v>-120523.83486421312</v>
      </c>
    </row>
    <row r="286" spans="1:9" x14ac:dyDescent="0.25">
      <c r="A286" s="38">
        <f>Données!A286</f>
        <v>5913</v>
      </c>
      <c r="B286" s="27" t="str">
        <f>Données!B286</f>
        <v>Donneloye</v>
      </c>
      <c r="C286" s="31">
        <f>Données!Z286</f>
        <v>905</v>
      </c>
      <c r="D286" s="179">
        <f>Ecrêtage!E286</f>
        <v>24.163706501173092</v>
      </c>
      <c r="E286" s="179">
        <f t="shared" si="17"/>
        <v>23.74527213868522</v>
      </c>
      <c r="F286" s="179">
        <f>+Données!X286</f>
        <v>73</v>
      </c>
      <c r="G286" s="296">
        <f t="shared" si="18"/>
        <v>-423557.47903740458</v>
      </c>
      <c r="H286" s="124">
        <f t="shared" si="19"/>
        <v>1.0787065339065434</v>
      </c>
      <c r="I286" s="42">
        <f t="shared" si="20"/>
        <v>-456894.2201226321</v>
      </c>
    </row>
    <row r="287" spans="1:9" x14ac:dyDescent="0.25">
      <c r="A287" s="38">
        <f>Données!A287</f>
        <v>5914</v>
      </c>
      <c r="B287" s="27" t="str">
        <f>Données!B287</f>
        <v>Ependes</v>
      </c>
      <c r="C287" s="31">
        <f>Données!Z287</f>
        <v>372</v>
      </c>
      <c r="D287" s="179">
        <f>Ecrêtage!E287</f>
        <v>26.413954721673612</v>
      </c>
      <c r="E287" s="179">
        <f t="shared" si="17"/>
        <v>21.4950239181847</v>
      </c>
      <c r="F287" s="179">
        <f>+Données!X287</f>
        <v>73.5</v>
      </c>
      <c r="G287" s="296">
        <f t="shared" si="18"/>
        <v>-158683.57487217165</v>
      </c>
      <c r="H287" s="124">
        <f t="shared" si="19"/>
        <v>1.0860949348237114</v>
      </c>
      <c r="I287" s="42">
        <f t="shared" si="20"/>
        <v>-172345.4269083848</v>
      </c>
    </row>
    <row r="288" spans="1:9" x14ac:dyDescent="0.25">
      <c r="A288" s="38">
        <f>Données!A288</f>
        <v>5919</v>
      </c>
      <c r="B288" s="27" t="str">
        <f>Données!B288</f>
        <v>Mathod</v>
      </c>
      <c r="C288" s="31">
        <f>Données!Z288</f>
        <v>684</v>
      </c>
      <c r="D288" s="179">
        <f>Ecrêtage!E288</f>
        <v>30.488177827864416</v>
      </c>
      <c r="E288" s="179">
        <f t="shared" si="17"/>
        <v>17.420800811993896</v>
      </c>
      <c r="F288" s="179">
        <f>+Données!X288</f>
        <v>72</v>
      </c>
      <c r="G288" s="296">
        <f t="shared" si="18"/>
        <v>-231643.69156505037</v>
      </c>
      <c r="H288" s="124">
        <f t="shared" si="19"/>
        <v>1.0639297320722072</v>
      </c>
      <c r="I288" s="42">
        <f t="shared" si="20"/>
        <v>-246452.61070302103</v>
      </c>
    </row>
    <row r="289" spans="1:9" x14ac:dyDescent="0.25">
      <c r="A289" s="38">
        <f>Données!A289</f>
        <v>5921</v>
      </c>
      <c r="B289" s="27" t="str">
        <f>Données!B289</f>
        <v>Molondin</v>
      </c>
      <c r="C289" s="31">
        <f>Données!Z289</f>
        <v>257</v>
      </c>
      <c r="D289" s="179">
        <f>Ecrêtage!E289</f>
        <v>19.809175673728205</v>
      </c>
      <c r="E289" s="179">
        <f t="shared" si="17"/>
        <v>28.099802966130106</v>
      </c>
      <c r="F289" s="179">
        <f>+Données!X289</f>
        <v>81</v>
      </c>
      <c r="G289" s="296">
        <f t="shared" si="18"/>
        <v>-157937.47155340124</v>
      </c>
      <c r="H289" s="124">
        <f t="shared" si="19"/>
        <v>1.1969209485812331</v>
      </c>
      <c r="I289" s="42">
        <f t="shared" si="20"/>
        <v>-189038.66826821852</v>
      </c>
    </row>
    <row r="290" spans="1:9" x14ac:dyDescent="0.25">
      <c r="A290" s="38">
        <f>Données!A290</f>
        <v>5922</v>
      </c>
      <c r="B290" s="27" t="str">
        <f>Données!B290</f>
        <v>Montagny-près-Yverdon</v>
      </c>
      <c r="C290" s="31">
        <f>Données!Z290</f>
        <v>770</v>
      </c>
      <c r="D290" s="179">
        <f>Ecrêtage!E290</f>
        <v>51.679749773482328</v>
      </c>
      <c r="E290" s="179">
        <f t="shared" si="17"/>
        <v>0</v>
      </c>
      <c r="F290" s="179">
        <f>+Données!X290</f>
        <v>64.5</v>
      </c>
      <c r="G290" s="296">
        <f t="shared" si="18"/>
        <v>0</v>
      </c>
      <c r="H290" s="124">
        <f t="shared" si="19"/>
        <v>0.95310371831468566</v>
      </c>
      <c r="I290" s="42">
        <f t="shared" si="20"/>
        <v>0</v>
      </c>
    </row>
    <row r="291" spans="1:9" x14ac:dyDescent="0.25">
      <c r="A291" s="38">
        <f>Données!A291</f>
        <v>5923</v>
      </c>
      <c r="B291" s="27" t="str">
        <f>Données!B291</f>
        <v>Oppens</v>
      </c>
      <c r="C291" s="31">
        <f>Données!Z291</f>
        <v>202</v>
      </c>
      <c r="D291" s="179">
        <f>Ecrêtage!E291</f>
        <v>22.075085564111966</v>
      </c>
      <c r="E291" s="179">
        <f t="shared" si="17"/>
        <v>25.833893075746346</v>
      </c>
      <c r="F291" s="179">
        <f>+Données!X291</f>
        <v>81</v>
      </c>
      <c r="G291" s="296">
        <f t="shared" si="18"/>
        <v>-114127.42279644767</v>
      </c>
      <c r="H291" s="124">
        <f t="shared" si="19"/>
        <v>1.1969209485812331</v>
      </c>
      <c r="I291" s="42">
        <f t="shared" si="20"/>
        <v>-136601.50315265558</v>
      </c>
    </row>
    <row r="292" spans="1:9" x14ac:dyDescent="0.25">
      <c r="A292" s="38">
        <f>Données!A292</f>
        <v>5924</v>
      </c>
      <c r="B292" s="27" t="str">
        <f>Données!B292</f>
        <v>Orges</v>
      </c>
      <c r="C292" s="31">
        <f>Données!Z292</f>
        <v>407</v>
      </c>
      <c r="D292" s="179">
        <f>Ecrêtage!E292</f>
        <v>28.593230626203596</v>
      </c>
      <c r="E292" s="179">
        <f t="shared" si="17"/>
        <v>19.315748013654716</v>
      </c>
      <c r="F292" s="179">
        <f>+Données!X292</f>
        <v>74</v>
      </c>
      <c r="G292" s="296">
        <f t="shared" si="18"/>
        <v>-157072.95864231823</v>
      </c>
      <c r="H292" s="124">
        <f t="shared" si="19"/>
        <v>1.0934833357408797</v>
      </c>
      <c r="I292" s="42">
        <f t="shared" si="20"/>
        <v>-171756.66277089139</v>
      </c>
    </row>
    <row r="293" spans="1:9" x14ac:dyDescent="0.25">
      <c r="A293" s="38">
        <f>Données!A293</f>
        <v>5925</v>
      </c>
      <c r="B293" s="27" t="str">
        <f>Données!B293</f>
        <v>Orzens</v>
      </c>
      <c r="C293" s="31">
        <f>Données!Z293</f>
        <v>212</v>
      </c>
      <c r="D293" s="179">
        <f>Ecrêtage!E293</f>
        <v>24.791056245521848</v>
      </c>
      <c r="E293" s="179">
        <f t="shared" si="17"/>
        <v>23.117922394336464</v>
      </c>
      <c r="F293" s="179">
        <f>+Données!X293</f>
        <v>79</v>
      </c>
      <c r="G293" s="296">
        <f t="shared" si="18"/>
        <v>-104538.32035029371</v>
      </c>
      <c r="H293" s="124">
        <f t="shared" si="19"/>
        <v>1.1673673449125608</v>
      </c>
      <c r="I293" s="42">
        <f t="shared" si="20"/>
        <v>-122034.62146894108</v>
      </c>
    </row>
    <row r="294" spans="1:9" x14ac:dyDescent="0.25">
      <c r="A294" s="38">
        <f>Données!A294</f>
        <v>5926</v>
      </c>
      <c r="B294" s="27" t="str">
        <f>Données!B294</f>
        <v>Pomy</v>
      </c>
      <c r="C294" s="31">
        <f>Données!Z294</f>
        <v>868</v>
      </c>
      <c r="D294" s="179">
        <f>Ecrêtage!E294</f>
        <v>30.854944181216329</v>
      </c>
      <c r="E294" s="179">
        <f t="shared" si="17"/>
        <v>17.054034458641983</v>
      </c>
      <c r="F294" s="179">
        <f>+Données!X294</f>
        <v>71</v>
      </c>
      <c r="G294" s="296">
        <f t="shared" si="18"/>
        <v>-283771.6296166408</v>
      </c>
      <c r="H294" s="124">
        <f t="shared" si="19"/>
        <v>1.049152930237871</v>
      </c>
      <c r="I294" s="42">
        <f t="shared" si="20"/>
        <v>-297719.83673067455</v>
      </c>
    </row>
    <row r="295" spans="1:9" x14ac:dyDescent="0.25">
      <c r="A295" s="38">
        <f>Données!A295</f>
        <v>5928</v>
      </c>
      <c r="B295" s="27" t="str">
        <f>Données!B295</f>
        <v>Rovray</v>
      </c>
      <c r="C295" s="31">
        <f>Données!Z295</f>
        <v>197</v>
      </c>
      <c r="D295" s="179">
        <f>Ecrêtage!E295</f>
        <v>25.865461644954031</v>
      </c>
      <c r="E295" s="179">
        <f t="shared" si="17"/>
        <v>22.04351699490428</v>
      </c>
      <c r="F295" s="179">
        <f>+Données!X295</f>
        <v>71.5</v>
      </c>
      <c r="G295" s="296">
        <f t="shared" si="18"/>
        <v>-83833.368830565552</v>
      </c>
      <c r="H295" s="124">
        <f t="shared" si="19"/>
        <v>1.0565413311550391</v>
      </c>
      <c r="I295" s="42">
        <f t="shared" si="20"/>
        <v>-88573.419099457096</v>
      </c>
    </row>
    <row r="296" spans="1:9" x14ac:dyDescent="0.25">
      <c r="A296" s="38">
        <f>Données!A296</f>
        <v>5929</v>
      </c>
      <c r="B296" s="27" t="str">
        <f>Données!B296</f>
        <v>Suchy</v>
      </c>
      <c r="C296" s="31">
        <f>Données!Z296</f>
        <v>671</v>
      </c>
      <c r="D296" s="179">
        <f>Ecrêtage!E296</f>
        <v>32.194709176069829</v>
      </c>
      <c r="E296" s="179">
        <f t="shared" si="17"/>
        <v>15.714269463788483</v>
      </c>
      <c r="F296" s="179">
        <f>+Données!X296</f>
        <v>70</v>
      </c>
      <c r="G296" s="296">
        <f t="shared" si="18"/>
        <v>-199286.79391281918</v>
      </c>
      <c r="H296" s="124">
        <f t="shared" si="19"/>
        <v>1.0343761284035349</v>
      </c>
      <c r="I296" s="42">
        <f t="shared" si="20"/>
        <v>-206137.50232949504</v>
      </c>
    </row>
    <row r="297" spans="1:9" x14ac:dyDescent="0.25">
      <c r="A297" s="38">
        <f>Données!A297</f>
        <v>5930</v>
      </c>
      <c r="B297" s="27" t="str">
        <f>Données!B297</f>
        <v>Suscévaz</v>
      </c>
      <c r="C297" s="31">
        <f>Données!Z297</f>
        <v>220</v>
      </c>
      <c r="D297" s="179">
        <f>Ecrêtage!E297</f>
        <v>26.132533459595958</v>
      </c>
      <c r="E297" s="179">
        <f t="shared" si="17"/>
        <v>21.776445180262353</v>
      </c>
      <c r="F297" s="179">
        <f>+Données!X297</f>
        <v>72</v>
      </c>
      <c r="G297" s="296">
        <f t="shared" si="18"/>
        <v>-93133.50074694604</v>
      </c>
      <c r="H297" s="124">
        <f t="shared" si="19"/>
        <v>1.0639297320722072</v>
      </c>
      <c r="I297" s="42">
        <f t="shared" si="20"/>
        <v>-99087.500496645007</v>
      </c>
    </row>
    <row r="298" spans="1:9" x14ac:dyDescent="0.25">
      <c r="A298" s="38">
        <f>Données!A298</f>
        <v>5931</v>
      </c>
      <c r="B298" s="27" t="str">
        <f>Données!B298</f>
        <v>Treycovagnes</v>
      </c>
      <c r="C298" s="31">
        <f>Données!Z298</f>
        <v>520</v>
      </c>
      <c r="D298" s="179">
        <f>Ecrêtage!E298</f>
        <v>31.358825384615379</v>
      </c>
      <c r="E298" s="179">
        <f t="shared" si="17"/>
        <v>16.550153255242932</v>
      </c>
      <c r="F298" s="179">
        <f>+Données!X298</f>
        <v>75</v>
      </c>
      <c r="G298" s="296">
        <f t="shared" si="18"/>
        <v>-174273.11377770812</v>
      </c>
      <c r="H298" s="124">
        <f t="shared" si="19"/>
        <v>1.1082601375752159</v>
      </c>
      <c r="I298" s="42">
        <f t="shared" si="20"/>
        <v>-193139.94505094405</v>
      </c>
    </row>
    <row r="299" spans="1:9" x14ac:dyDescent="0.25">
      <c r="A299" s="38">
        <f>Données!A299</f>
        <v>5932</v>
      </c>
      <c r="B299" s="27" t="str">
        <f>Données!B299</f>
        <v>Ursins</v>
      </c>
      <c r="C299" s="31">
        <f>Données!Z299</f>
        <v>230</v>
      </c>
      <c r="D299" s="179">
        <f>Ecrêtage!E299</f>
        <v>34.546204637681157</v>
      </c>
      <c r="E299" s="179">
        <f t="shared" si="17"/>
        <v>13.362774002177154</v>
      </c>
      <c r="F299" s="179">
        <f>+Données!X299</f>
        <v>75</v>
      </c>
      <c r="G299" s="296">
        <f t="shared" si="18"/>
        <v>-62237.119915140102</v>
      </c>
      <c r="H299" s="124">
        <f t="shared" si="19"/>
        <v>1.1082601375752159</v>
      </c>
      <c r="I299" s="42">
        <f t="shared" si="20"/>
        <v>-68974.919079438376</v>
      </c>
    </row>
    <row r="300" spans="1:9" x14ac:dyDescent="0.25">
      <c r="A300" s="38">
        <f>Données!A300</f>
        <v>5933</v>
      </c>
      <c r="B300" s="27" t="str">
        <f>Données!B300</f>
        <v>Valeyres-sous-Montagny</v>
      </c>
      <c r="C300" s="31">
        <f>Données!Z300</f>
        <v>703</v>
      </c>
      <c r="D300" s="179">
        <f>Ecrêtage!E300</f>
        <v>33.39687116007385</v>
      </c>
      <c r="E300" s="179">
        <f t="shared" si="17"/>
        <v>14.512107479784461</v>
      </c>
      <c r="F300" s="179">
        <f>+Données!X300</f>
        <v>70.5</v>
      </c>
      <c r="G300" s="296">
        <f t="shared" si="18"/>
        <v>-194195.29001202114</v>
      </c>
      <c r="H300" s="124">
        <f t="shared" si="19"/>
        <v>1.041764529320703</v>
      </c>
      <c r="I300" s="42">
        <f t="shared" si="20"/>
        <v>-202305.76489567061</v>
      </c>
    </row>
    <row r="301" spans="1:9" x14ac:dyDescent="0.25">
      <c r="A301" s="38">
        <f>Données!A301</f>
        <v>5934</v>
      </c>
      <c r="B301" s="27" t="str">
        <f>Données!B301</f>
        <v>Valeyres-sous-Ursins</v>
      </c>
      <c r="C301" s="31">
        <f>Données!Z301</f>
        <v>241</v>
      </c>
      <c r="D301" s="179">
        <f>Ecrêtage!E301</f>
        <v>28.703548526162628</v>
      </c>
      <c r="E301" s="179">
        <f t="shared" si="17"/>
        <v>19.205430113695684</v>
      </c>
      <c r="F301" s="179">
        <f>+Données!X301</f>
        <v>77</v>
      </c>
      <c r="G301" s="296">
        <f t="shared" si="18"/>
        <v>-96226.694987359733</v>
      </c>
      <c r="H301" s="124">
        <f t="shared" si="19"/>
        <v>1.1378137412438882</v>
      </c>
      <c r="I301" s="42">
        <f t="shared" si="20"/>
        <v>-109488.05583110229</v>
      </c>
    </row>
    <row r="302" spans="1:9" x14ac:dyDescent="0.25">
      <c r="A302" s="38">
        <f>Données!A302</f>
        <v>5935</v>
      </c>
      <c r="B302" s="27" t="str">
        <f>Données!B302</f>
        <v>Villars-Epeney</v>
      </c>
      <c r="C302" s="31">
        <f>Données!Z302</f>
        <v>92</v>
      </c>
      <c r="D302" s="179">
        <f>Ecrêtage!E302</f>
        <v>73.091126918158565</v>
      </c>
      <c r="E302" s="179">
        <f t="shared" si="17"/>
        <v>0</v>
      </c>
      <c r="F302" s="179">
        <f>+Données!X302</f>
        <v>68</v>
      </c>
      <c r="G302" s="296">
        <f t="shared" si="18"/>
        <v>0</v>
      </c>
      <c r="H302" s="124">
        <f t="shared" si="19"/>
        <v>1.0048225247348623</v>
      </c>
      <c r="I302" s="42">
        <f t="shared" si="20"/>
        <v>0</v>
      </c>
    </row>
    <row r="303" spans="1:9" x14ac:dyDescent="0.25">
      <c r="A303" s="38">
        <f>Données!A303</f>
        <v>5937</v>
      </c>
      <c r="B303" s="27" t="str">
        <f>Données!B303</f>
        <v>Vugelles-La Mothe</v>
      </c>
      <c r="C303" s="31">
        <f>Données!Z303</f>
        <v>137</v>
      </c>
      <c r="D303" s="179">
        <f>Ecrêtage!E303</f>
        <v>24.407868613138689</v>
      </c>
      <c r="E303" s="179">
        <f t="shared" si="17"/>
        <v>23.501110026719623</v>
      </c>
      <c r="F303" s="179">
        <f>+Données!X303</f>
        <v>70</v>
      </c>
      <c r="G303" s="296">
        <f t="shared" si="18"/>
        <v>-60851.424192185128</v>
      </c>
      <c r="H303" s="124">
        <f t="shared" si="19"/>
        <v>1.0343761284035349</v>
      </c>
      <c r="I303" s="42">
        <f t="shared" si="20"/>
        <v>-62943.260563753654</v>
      </c>
    </row>
    <row r="304" spans="1:9" x14ac:dyDescent="0.25">
      <c r="A304" s="38">
        <f>Données!A304</f>
        <v>5938</v>
      </c>
      <c r="B304" s="27" t="str">
        <f>Données!B304</f>
        <v>Yverdon-les-Bains</v>
      </c>
      <c r="C304" s="31">
        <f>Données!Z304</f>
        <v>29877</v>
      </c>
      <c r="D304" s="179">
        <f>Ecrêtage!E304</f>
        <v>26.125303575771781</v>
      </c>
      <c r="E304" s="179">
        <f t="shared" si="17"/>
        <v>21.78367506408653</v>
      </c>
      <c r="F304" s="179">
        <f>+Données!X304</f>
        <v>75</v>
      </c>
      <c r="G304" s="296">
        <f t="shared" si="18"/>
        <v>-13179324.912766693</v>
      </c>
      <c r="H304" s="124">
        <f t="shared" si="19"/>
        <v>1.1082601375752159</v>
      </c>
      <c r="I304" s="42">
        <f t="shared" si="20"/>
        <v>-14606120.440971285</v>
      </c>
    </row>
    <row r="305" spans="1:9" x14ac:dyDescent="0.25">
      <c r="A305" s="38">
        <f>Données!A305</f>
        <v>5939</v>
      </c>
      <c r="B305" s="27" t="str">
        <f>Données!B305</f>
        <v>Yvonand</v>
      </c>
      <c r="C305" s="31">
        <f>Données!Z305</f>
        <v>3531</v>
      </c>
      <c r="D305" s="179">
        <f>Ecrêtage!E305</f>
        <v>27.581339860932044</v>
      </c>
      <c r="E305" s="179">
        <f t="shared" si="17"/>
        <v>20.327638778926268</v>
      </c>
      <c r="F305" s="179">
        <f>+Données!X305</f>
        <v>71.5</v>
      </c>
      <c r="G305" s="323">
        <f t="shared" si="18"/>
        <v>-1385652.910260543</v>
      </c>
      <c r="H305" s="124">
        <f t="shared" si="19"/>
        <v>1.0565413311550391</v>
      </c>
      <c r="I305" s="42">
        <f t="shared" si="20"/>
        <v>-1463999.570325528</v>
      </c>
    </row>
    <row r="306" spans="1:9" x14ac:dyDescent="0.25">
      <c r="A306" s="25"/>
      <c r="B306" s="73">
        <f>COUNTA(B6:B305)</f>
        <v>300</v>
      </c>
      <c r="C306" s="9">
        <f>SUM(C6:C305)</f>
        <v>830791</v>
      </c>
      <c r="D306" s="17">
        <f>Ecrêtage!E306</f>
        <v>47.908978639858312</v>
      </c>
      <c r="E306" s="17"/>
      <c r="F306" s="125">
        <f>VPI!Q306</f>
        <v>67.673642186656622</v>
      </c>
      <c r="G306" s="256">
        <f>SUM(G6:G305)</f>
        <v>-127181968.57278575</v>
      </c>
      <c r="H306" s="294">
        <f>F306/F$306</f>
        <v>1</v>
      </c>
      <c r="I306" s="30">
        <f>SUM(I6:I305)</f>
        <v>-135877868.72343656</v>
      </c>
    </row>
  </sheetData>
  <sheetProtection sheet="1" objects="1" scenarios="1"/>
  <mergeCells count="8">
    <mergeCell ref="A4:A5"/>
    <mergeCell ref="I4:I5"/>
    <mergeCell ref="H4:H5"/>
    <mergeCell ref="F4:F5"/>
    <mergeCell ref="G4:G5"/>
    <mergeCell ref="B4:B5"/>
    <mergeCell ref="C4:C5"/>
    <mergeCell ref="D4:D5"/>
  </mergeCells>
  <phoneticPr fontId="21" type="noConversion"/>
  <hyperlinks>
    <hyperlink ref="E1" location="Population!A1" display="← Précédent" xr:uid="{FA7D792E-F931-4B28-A994-C274FA1E13DC}"/>
    <hyperlink ref="G1" location="DT!A1" display="Suivant →" xr:uid="{42740692-23A6-4EE7-A698-07672C5336C9}"/>
    <hyperlink ref="F1" location="'Table des matières'!A1" display="Table des             matières" xr:uid="{1F6BF085-4168-4E4A-85BB-BC1DC2C07F2A}"/>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theme="6" tint="0.39997558519241921"/>
  </sheetPr>
  <dimension ref="A1:AL307"/>
  <sheetViews>
    <sheetView zoomScaleNormal="100" workbookViewId="0">
      <pane ySplit="5" topLeftCell="A6" activePane="bottomLeft" state="frozen"/>
      <selection pane="bottomLeft" activeCell="A6" sqref="A6"/>
    </sheetView>
  </sheetViews>
  <sheetFormatPr baseColWidth="10" defaultColWidth="10.75" defaultRowHeight="15" x14ac:dyDescent="0.25"/>
  <cols>
    <col min="1" max="1" width="7.25" style="11" customWidth="1"/>
    <col min="2" max="2" width="20.25" style="11" bestFit="1" customWidth="1"/>
    <col min="3" max="3" width="11.375" style="5" bestFit="1" customWidth="1"/>
    <col min="4" max="4" width="3.625" style="174" customWidth="1"/>
    <col min="5" max="5" width="10.75" style="5" bestFit="1" customWidth="1"/>
    <col min="6" max="6" width="12.5" style="5" customWidth="1"/>
    <col min="7" max="7" width="13.75" style="5" customWidth="1"/>
    <col min="8" max="8" width="13.25" style="5" customWidth="1"/>
    <col min="9" max="9" width="3.625" style="174" customWidth="1"/>
    <col min="10" max="10" width="9.875" style="5" bestFit="1" customWidth="1"/>
    <col min="11" max="11" width="12.5" style="5" customWidth="1"/>
    <col min="12" max="12" width="13" style="5" bestFit="1" customWidth="1"/>
    <col min="13" max="13" width="13.25" style="5" bestFit="1" customWidth="1"/>
    <col min="14" max="14" width="3.625" style="174" customWidth="1"/>
    <col min="15" max="15" width="13.875" style="5" customWidth="1"/>
    <col min="16" max="16" width="10" style="13" customWidth="1"/>
    <col min="17" max="17" width="2.5" style="11" customWidth="1"/>
    <col min="18" max="18" width="10.875" style="158" bestFit="1" customWidth="1"/>
    <col min="19" max="19" width="11.75" style="158" bestFit="1" customWidth="1"/>
    <col min="20" max="20" width="11.125" style="158" bestFit="1" customWidth="1"/>
    <col min="21" max="22" width="10.625" style="158" bestFit="1" customWidth="1"/>
    <col min="23" max="23" width="12.75" style="158" bestFit="1" customWidth="1"/>
    <col min="24" max="38" width="10.75" style="158"/>
    <col min="39" max="16384" width="10.75" style="11"/>
  </cols>
  <sheetData>
    <row r="1" spans="1:38" s="220" customFormat="1" ht="26.25" x14ac:dyDescent="0.4">
      <c r="A1" s="207" t="s">
        <v>568</v>
      </c>
      <c r="B1" s="212"/>
      <c r="C1" s="217"/>
      <c r="D1" s="218"/>
      <c r="E1" s="217"/>
      <c r="G1" s="314" t="s">
        <v>403</v>
      </c>
      <c r="H1" s="233" t="s">
        <v>395</v>
      </c>
      <c r="I1" s="712" t="s">
        <v>404</v>
      </c>
      <c r="J1" s="712"/>
      <c r="K1" s="217"/>
      <c r="O1" s="217"/>
      <c r="P1" s="219"/>
      <c r="Q1" s="214"/>
    </row>
    <row r="2" spans="1:38" s="33" customFormat="1" ht="15.75" x14ac:dyDescent="0.25">
      <c r="A2" s="278" t="str">
        <f>Paramètres!B4</f>
        <v>Acomptes 2024</v>
      </c>
      <c r="B2" s="32"/>
      <c r="C2" s="34"/>
      <c r="D2" s="129"/>
      <c r="E2" s="34"/>
      <c r="F2" s="34"/>
      <c r="G2" s="34"/>
      <c r="H2" s="34"/>
      <c r="I2" s="129"/>
      <c r="J2" s="34"/>
      <c r="K2" s="34"/>
      <c r="L2" s="34"/>
      <c r="M2" s="34"/>
      <c r="N2" s="129"/>
      <c r="O2" s="34"/>
      <c r="P2" s="79"/>
      <c r="Q2" s="158"/>
    </row>
    <row r="3" spans="1:38" s="158" customFormat="1" ht="25.5" customHeight="1" x14ac:dyDescent="0.25">
      <c r="C3" s="5"/>
      <c r="D3" s="174"/>
      <c r="E3" s="5"/>
      <c r="F3" s="5"/>
      <c r="G3" s="5"/>
      <c r="H3" s="5"/>
      <c r="I3" s="174"/>
      <c r="J3" s="5"/>
      <c r="K3" s="5"/>
      <c r="L3" s="5"/>
      <c r="M3" s="5"/>
      <c r="N3" s="174"/>
      <c r="O3" s="5"/>
      <c r="P3" s="175"/>
    </row>
    <row r="4" spans="1:38" ht="60" customHeight="1" x14ac:dyDescent="0.25">
      <c r="A4" s="701" t="s">
        <v>44</v>
      </c>
      <c r="B4" s="701" t="s">
        <v>84</v>
      </c>
      <c r="C4" s="707" t="s">
        <v>492</v>
      </c>
      <c r="D4" s="261"/>
      <c r="E4" s="707" t="s">
        <v>428</v>
      </c>
      <c r="F4" s="707" t="s">
        <v>43</v>
      </c>
      <c r="G4" s="232" t="s">
        <v>257</v>
      </c>
      <c r="H4" s="232" t="s">
        <v>506</v>
      </c>
      <c r="I4" s="261"/>
      <c r="J4" s="707" t="s">
        <v>427</v>
      </c>
      <c r="K4" s="707" t="s">
        <v>426</v>
      </c>
      <c r="L4" s="232" t="s">
        <v>190</v>
      </c>
      <c r="M4" s="232" t="s">
        <v>507</v>
      </c>
      <c r="N4" s="261"/>
      <c r="O4" s="707" t="s">
        <v>508</v>
      </c>
      <c r="P4" s="158"/>
      <c r="Q4" s="158"/>
      <c r="AF4" s="11"/>
      <c r="AG4" s="11"/>
      <c r="AH4" s="11"/>
      <c r="AI4" s="11"/>
      <c r="AJ4" s="11"/>
      <c r="AK4" s="11"/>
      <c r="AL4" s="11"/>
    </row>
    <row r="5" spans="1:38" x14ac:dyDescent="0.25">
      <c r="A5" s="702"/>
      <c r="B5" s="703"/>
      <c r="C5" s="711"/>
      <c r="D5" s="261"/>
      <c r="E5" s="711"/>
      <c r="F5" s="708"/>
      <c r="G5" s="257">
        <f>Paramètres!B40</f>
        <v>8</v>
      </c>
      <c r="H5" s="258">
        <f>+Paramètres!C40</f>
        <v>0.74496417307785467</v>
      </c>
      <c r="I5" s="262"/>
      <c r="J5" s="711"/>
      <c r="K5" s="711"/>
      <c r="L5" s="257">
        <f>Paramètres!B41</f>
        <v>1</v>
      </c>
      <c r="M5" s="260">
        <f>+Paramètres!C41</f>
        <v>0.74496417307785467</v>
      </c>
      <c r="N5" s="262"/>
      <c r="O5" s="708"/>
      <c r="P5" s="158"/>
      <c r="Q5" s="158"/>
      <c r="AF5" s="11"/>
      <c r="AG5" s="11"/>
      <c r="AH5" s="11"/>
      <c r="AI5" s="11"/>
      <c r="AJ5" s="11"/>
      <c r="AK5" s="11"/>
      <c r="AL5" s="11"/>
    </row>
    <row r="6" spans="1:38" x14ac:dyDescent="0.25">
      <c r="A6" s="36">
        <f>+Données!A6</f>
        <v>5401</v>
      </c>
      <c r="B6" s="184" t="str">
        <f>+Données!B6</f>
        <v>Aigle</v>
      </c>
      <c r="C6" s="172">
        <f>+Ecrêtage!C6</f>
        <v>294617.5415151515</v>
      </c>
      <c r="D6" s="171"/>
      <c r="E6" s="172">
        <f>Données!AF6+Données!AG6+Données!AH6</f>
        <v>7191856</v>
      </c>
      <c r="F6" s="128">
        <f t="shared" ref="F6" si="0">+C6*$G$5</f>
        <v>2356940.332121212</v>
      </c>
      <c r="G6" s="41">
        <f>IF(E6&gt;F6,E6-F6,0)</f>
        <v>4834915.667878788</v>
      </c>
      <c r="H6" s="240">
        <f>-G6*H$5</f>
        <v>-3601838.9524224848</v>
      </c>
      <c r="J6" s="41">
        <f>Données!AN6</f>
        <v>520347</v>
      </c>
      <c r="K6" s="155">
        <f t="shared" ref="K6" si="1">C6*L$5</f>
        <v>294617.5415151515</v>
      </c>
      <c r="L6" s="50">
        <f>IF(J6&gt;K6,J6-K6,0)</f>
        <v>225729.4584848485</v>
      </c>
      <c r="M6" s="255">
        <f>-L6*M$5</f>
        <v>-168160.3593794771</v>
      </c>
      <c r="O6" s="63">
        <f t="shared" ref="O6" si="2">M6+H6</f>
        <v>-3769999.3118019616</v>
      </c>
      <c r="P6" s="200"/>
      <c r="Q6" s="164"/>
      <c r="R6" s="164"/>
      <c r="S6" s="164"/>
      <c r="T6" s="164"/>
      <c r="U6" s="164"/>
      <c r="AF6" s="11"/>
      <c r="AG6" s="11"/>
      <c r="AH6" s="11"/>
      <c r="AI6" s="11"/>
      <c r="AJ6" s="11"/>
      <c r="AK6" s="11"/>
      <c r="AL6" s="11"/>
    </row>
    <row r="7" spans="1:38" s="158" customFormat="1" x14ac:dyDescent="0.25">
      <c r="A7" s="38">
        <f>+Données!A7</f>
        <v>5402</v>
      </c>
      <c r="B7" s="184" t="str">
        <f>+Données!B7</f>
        <v>Bex</v>
      </c>
      <c r="C7" s="173">
        <f>+Ecrêtage!C7</f>
        <v>191952.18042253522</v>
      </c>
      <c r="D7" s="171"/>
      <c r="E7" s="173">
        <f>Données!AF7+Données!AG7+Données!AH7</f>
        <v>4965718</v>
      </c>
      <c r="F7" s="171">
        <f t="shared" ref="F7:F70" si="3">+C7*$G$5</f>
        <v>1535617.4433802818</v>
      </c>
      <c r="G7" s="8">
        <f t="shared" ref="G7:G70" si="4">IF(E7&gt;F7,E7-F7,0)</f>
        <v>3430100.5566197182</v>
      </c>
      <c r="H7" s="240">
        <f t="shared" ref="H7:H70" si="5">-G7*H$5</f>
        <v>-2555302.0247360975</v>
      </c>
      <c r="I7" s="174"/>
      <c r="J7" s="8">
        <f>Données!AN7</f>
        <v>630027</v>
      </c>
      <c r="K7" s="154">
        <f t="shared" ref="K7:K70" si="6">C7*L$5</f>
        <v>191952.18042253522</v>
      </c>
      <c r="L7" s="174">
        <f t="shared" ref="L7:L70" si="7">IF(J7&gt;K7,J7-K7,0)</f>
        <v>438074.81957746478</v>
      </c>
      <c r="M7" s="240">
        <f t="shared" ref="M7:M70" si="8">-L7*M$5</f>
        <v>-326350.0457127564</v>
      </c>
      <c r="N7" s="174"/>
      <c r="O7" s="42">
        <f t="shared" ref="O7:O70" si="9">M7+H7</f>
        <v>-2881652.070448854</v>
      </c>
      <c r="P7" s="200"/>
      <c r="Q7" s="164"/>
      <c r="R7" s="164"/>
      <c r="S7" s="164"/>
      <c r="T7" s="164"/>
      <c r="U7" s="164"/>
    </row>
    <row r="8" spans="1:38" s="158" customFormat="1" x14ac:dyDescent="0.25">
      <c r="A8" s="38">
        <f>+Données!A8</f>
        <v>5403</v>
      </c>
      <c r="B8" s="184" t="str">
        <f>+Données!B8</f>
        <v>Chessel</v>
      </c>
      <c r="C8" s="173">
        <f>+Ecrêtage!C8</f>
        <v>13520.577538461539</v>
      </c>
      <c r="D8" s="171"/>
      <c r="E8" s="173">
        <f>Données!AF8+Données!AG8+Données!AH8</f>
        <v>101326</v>
      </c>
      <c r="F8" s="171">
        <f t="shared" si="3"/>
        <v>108164.62030769231</v>
      </c>
      <c r="G8" s="8">
        <f t="shared" si="4"/>
        <v>0</v>
      </c>
      <c r="H8" s="240">
        <f t="shared" si="5"/>
        <v>0</v>
      </c>
      <c r="I8" s="174"/>
      <c r="J8" s="8">
        <f>Données!AN8</f>
        <v>44204</v>
      </c>
      <c r="K8" s="154">
        <f t="shared" si="6"/>
        <v>13520.577538461539</v>
      </c>
      <c r="L8" s="174">
        <f t="shared" si="7"/>
        <v>30683.422461538459</v>
      </c>
      <c r="M8" s="240">
        <f t="shared" si="8"/>
        <v>-22858.050441258471</v>
      </c>
      <c r="N8" s="174"/>
      <c r="O8" s="42">
        <f t="shared" si="9"/>
        <v>-22858.050441258471</v>
      </c>
      <c r="P8" s="200"/>
      <c r="Q8" s="164"/>
      <c r="R8" s="164"/>
      <c r="S8" s="164"/>
      <c r="T8" s="164"/>
      <c r="U8" s="164"/>
    </row>
    <row r="9" spans="1:38" s="158" customFormat="1" x14ac:dyDescent="0.25">
      <c r="A9" s="38">
        <f>+Données!A9</f>
        <v>5404</v>
      </c>
      <c r="B9" s="184" t="str">
        <f>+Données!B9</f>
        <v>Corbeyrier</v>
      </c>
      <c r="C9" s="173">
        <f>+Ecrêtage!C9</f>
        <v>11663.176261261262</v>
      </c>
      <c r="D9" s="171"/>
      <c r="E9" s="173">
        <f>Données!AF9+Données!AG9+Données!AH9</f>
        <v>328154</v>
      </c>
      <c r="F9" s="171">
        <f t="shared" si="3"/>
        <v>93305.410090090096</v>
      </c>
      <c r="G9" s="8">
        <f t="shared" si="4"/>
        <v>234848.5899099099</v>
      </c>
      <c r="H9" s="240">
        <f t="shared" si="5"/>
        <v>-174953.78558073624</v>
      </c>
      <c r="I9" s="174"/>
      <c r="J9" s="8">
        <f>Données!AN9</f>
        <v>33852</v>
      </c>
      <c r="K9" s="154">
        <f t="shared" si="6"/>
        <v>11663.176261261262</v>
      </c>
      <c r="L9" s="174">
        <f t="shared" si="7"/>
        <v>22188.823738738738</v>
      </c>
      <c r="M9" s="240">
        <f t="shared" si="8"/>
        <v>-16529.878728099775</v>
      </c>
      <c r="N9" s="174"/>
      <c r="O9" s="42">
        <f t="shared" si="9"/>
        <v>-191483.66430883601</v>
      </c>
      <c r="P9" s="200"/>
      <c r="Q9" s="164"/>
      <c r="R9" s="164"/>
      <c r="S9" s="164"/>
      <c r="T9" s="164"/>
      <c r="U9" s="164"/>
    </row>
    <row r="10" spans="1:38" s="158" customFormat="1" x14ac:dyDescent="0.25">
      <c r="A10" s="38">
        <f>+Données!A10</f>
        <v>5405</v>
      </c>
      <c r="B10" s="184" t="str">
        <f>+Données!B10</f>
        <v>Gryon</v>
      </c>
      <c r="C10" s="173">
        <f>+Ecrêtage!C10</f>
        <v>73284.694739229046</v>
      </c>
      <c r="D10" s="171"/>
      <c r="E10" s="173">
        <f>Données!AF10+Données!AG10+Données!AH10</f>
        <v>1390377</v>
      </c>
      <c r="F10" s="171">
        <f t="shared" si="3"/>
        <v>586277.55791383237</v>
      </c>
      <c r="G10" s="8">
        <f t="shared" si="4"/>
        <v>804099.44208616763</v>
      </c>
      <c r="H10" s="240">
        <f t="shared" si="5"/>
        <v>-599025.27594608616</v>
      </c>
      <c r="I10" s="174"/>
      <c r="J10" s="8">
        <f>Données!AN10</f>
        <v>12343</v>
      </c>
      <c r="K10" s="154">
        <f t="shared" si="6"/>
        <v>73284.694739229046</v>
      </c>
      <c r="L10" s="174">
        <f t="shared" si="7"/>
        <v>0</v>
      </c>
      <c r="M10" s="240">
        <f t="shared" si="8"/>
        <v>0</v>
      </c>
      <c r="N10" s="174"/>
      <c r="O10" s="42">
        <f t="shared" si="9"/>
        <v>-599025.27594608616</v>
      </c>
      <c r="P10" s="200"/>
      <c r="Q10" s="164"/>
      <c r="R10" s="164"/>
      <c r="S10" s="164"/>
      <c r="T10" s="164"/>
      <c r="U10" s="164"/>
    </row>
    <row r="11" spans="1:38" x14ac:dyDescent="0.25">
      <c r="A11" s="38">
        <f>+Données!A11</f>
        <v>5406</v>
      </c>
      <c r="B11" s="184" t="str">
        <f>+Données!B11</f>
        <v>Lavey-Morcles</v>
      </c>
      <c r="C11" s="173">
        <f>+Ecrêtage!C11</f>
        <v>22110.99022054868</v>
      </c>
      <c r="D11" s="171"/>
      <c r="E11" s="173">
        <f>Données!AF11+Données!AG11+Données!AH11</f>
        <v>402109</v>
      </c>
      <c r="F11" s="171">
        <f t="shared" si="3"/>
        <v>176887.92176438944</v>
      </c>
      <c r="G11" s="8">
        <f t="shared" si="4"/>
        <v>225221.07823561056</v>
      </c>
      <c r="H11" s="240">
        <f t="shared" si="5"/>
        <v>-167781.63430749445</v>
      </c>
      <c r="J11" s="8">
        <f>Données!AN11</f>
        <v>24861</v>
      </c>
      <c r="K11" s="154">
        <f t="shared" si="6"/>
        <v>22110.99022054868</v>
      </c>
      <c r="L11" s="12">
        <f t="shared" si="7"/>
        <v>2750.0097794513204</v>
      </c>
      <c r="M11" s="240">
        <f t="shared" si="8"/>
        <v>-2048.6587613049664</v>
      </c>
      <c r="O11" s="42">
        <f t="shared" si="9"/>
        <v>-169830.29306879942</v>
      </c>
      <c r="P11" s="200"/>
      <c r="Q11" s="164"/>
      <c r="R11" s="164"/>
      <c r="S11" s="164"/>
      <c r="T11" s="164"/>
      <c r="U11" s="164"/>
      <c r="AF11" s="11"/>
      <c r="AG11" s="11"/>
      <c r="AH11" s="11"/>
      <c r="AI11" s="11"/>
      <c r="AJ11" s="11"/>
      <c r="AK11" s="11"/>
      <c r="AL11" s="11"/>
    </row>
    <row r="12" spans="1:38" x14ac:dyDescent="0.25">
      <c r="A12" s="38">
        <f>+Données!A12</f>
        <v>5407</v>
      </c>
      <c r="B12" s="184" t="str">
        <f>+Données!B12</f>
        <v>Leysin</v>
      </c>
      <c r="C12" s="173">
        <f>+Ecrêtage!C12</f>
        <v>89840.418034188027</v>
      </c>
      <c r="D12" s="171"/>
      <c r="E12" s="173">
        <f>Données!AF12+Données!AG12+Données!AH12</f>
        <v>2843604</v>
      </c>
      <c r="F12" s="171">
        <f t="shared" si="3"/>
        <v>718723.34427350422</v>
      </c>
      <c r="G12" s="8">
        <f t="shared" si="4"/>
        <v>2124880.6557264957</v>
      </c>
      <c r="H12" s="240">
        <f t="shared" si="5"/>
        <v>-1582959.9605824184</v>
      </c>
      <c r="J12" s="8">
        <f>Données!AN12</f>
        <v>85561</v>
      </c>
      <c r="K12" s="154">
        <f t="shared" si="6"/>
        <v>89840.418034188027</v>
      </c>
      <c r="L12" s="12">
        <f t="shared" si="7"/>
        <v>0</v>
      </c>
      <c r="M12" s="240">
        <f t="shared" si="8"/>
        <v>0</v>
      </c>
      <c r="O12" s="42">
        <f t="shared" si="9"/>
        <v>-1582959.9605824184</v>
      </c>
      <c r="P12" s="200"/>
      <c r="Q12" s="164"/>
      <c r="R12" s="164"/>
      <c r="S12" s="164"/>
      <c r="T12" s="164"/>
      <c r="U12" s="164"/>
      <c r="AF12" s="11"/>
      <c r="AG12" s="11"/>
      <c r="AH12" s="11"/>
      <c r="AI12" s="11"/>
      <c r="AJ12" s="11"/>
      <c r="AK12" s="11"/>
      <c r="AL12" s="11"/>
    </row>
    <row r="13" spans="1:38" x14ac:dyDescent="0.25">
      <c r="A13" s="38">
        <f>+Données!A13</f>
        <v>5408</v>
      </c>
      <c r="B13" s="184" t="str">
        <f>+Données!B13</f>
        <v>Noville</v>
      </c>
      <c r="C13" s="173">
        <f>+Ecrêtage!C13</f>
        <v>41970.812088888903</v>
      </c>
      <c r="D13" s="171"/>
      <c r="E13" s="173">
        <f>Données!AF13+Données!AG13+Données!AH13</f>
        <v>483940</v>
      </c>
      <c r="F13" s="171">
        <f t="shared" si="3"/>
        <v>335766.49671111122</v>
      </c>
      <c r="G13" s="8">
        <f t="shared" si="4"/>
        <v>148173.50328888878</v>
      </c>
      <c r="H13" s="240">
        <f t="shared" si="5"/>
        <v>-110383.95134965581</v>
      </c>
      <c r="J13" s="8">
        <f>Données!AN13</f>
        <v>65637</v>
      </c>
      <c r="K13" s="154">
        <f t="shared" si="6"/>
        <v>41970.812088888903</v>
      </c>
      <c r="L13" s="12">
        <f t="shared" si="7"/>
        <v>23666.187911111097</v>
      </c>
      <c r="M13" s="240">
        <f t="shared" si="8"/>
        <v>-17630.462107105999</v>
      </c>
      <c r="O13" s="42">
        <f t="shared" si="9"/>
        <v>-128014.4134567618</v>
      </c>
      <c r="P13" s="200"/>
      <c r="Q13" s="164"/>
      <c r="R13" s="164"/>
      <c r="S13" s="164"/>
      <c r="T13" s="164"/>
      <c r="U13" s="164"/>
      <c r="AF13" s="11"/>
      <c r="AG13" s="11"/>
      <c r="AH13" s="11"/>
      <c r="AI13" s="11"/>
      <c r="AJ13" s="11"/>
      <c r="AK13" s="11"/>
      <c r="AL13" s="11"/>
    </row>
    <row r="14" spans="1:38" x14ac:dyDescent="0.25">
      <c r="A14" s="38">
        <f>+Données!A14</f>
        <v>5409</v>
      </c>
      <c r="B14" s="184" t="str">
        <f>+Données!B14</f>
        <v>Ollon</v>
      </c>
      <c r="C14" s="173">
        <f>+Ecrêtage!C14</f>
        <v>405929.69030542986</v>
      </c>
      <c r="D14" s="171"/>
      <c r="E14" s="173">
        <f>Données!AF14+Données!AG14+Données!AH14</f>
        <v>7014601.2000000002</v>
      </c>
      <c r="F14" s="171">
        <f t="shared" si="3"/>
        <v>3247437.5224434389</v>
      </c>
      <c r="G14" s="8">
        <f t="shared" si="4"/>
        <v>3767163.6775565613</v>
      </c>
      <c r="H14" s="240">
        <f t="shared" si="5"/>
        <v>-2806401.9738998539</v>
      </c>
      <c r="J14" s="8">
        <f>Données!AN14</f>
        <v>1337615</v>
      </c>
      <c r="K14" s="154">
        <f t="shared" si="6"/>
        <v>405929.69030542986</v>
      </c>
      <c r="L14" s="12">
        <f t="shared" si="7"/>
        <v>931685.30969457014</v>
      </c>
      <c r="M14" s="240">
        <f t="shared" si="8"/>
        <v>-694072.17630540044</v>
      </c>
      <c r="O14" s="42">
        <f t="shared" si="9"/>
        <v>-3500474.1502052546</v>
      </c>
      <c r="P14" s="200"/>
      <c r="Q14" s="164"/>
      <c r="R14" s="164"/>
      <c r="S14" s="164"/>
      <c r="T14" s="164"/>
      <c r="U14" s="164"/>
      <c r="AF14" s="11"/>
      <c r="AG14" s="11"/>
      <c r="AH14" s="11"/>
      <c r="AI14" s="11"/>
      <c r="AJ14" s="11"/>
      <c r="AK14" s="11"/>
      <c r="AL14" s="11"/>
    </row>
    <row r="15" spans="1:38" x14ac:dyDescent="0.25">
      <c r="A15" s="38">
        <f>+Données!A15</f>
        <v>5410</v>
      </c>
      <c r="B15" s="184" t="str">
        <f>+Données!B15</f>
        <v>Ormont-Dessous</v>
      </c>
      <c r="C15" s="173">
        <f>+Ecrêtage!C15</f>
        <v>38412.928528138524</v>
      </c>
      <c r="D15" s="171"/>
      <c r="E15" s="173">
        <f>Données!AF15+Données!AG15+Données!AH15</f>
        <v>1464079</v>
      </c>
      <c r="F15" s="171">
        <f t="shared" si="3"/>
        <v>307303.42822510819</v>
      </c>
      <c r="G15" s="8">
        <f t="shared" si="4"/>
        <v>1156775.5717748918</v>
      </c>
      <c r="H15" s="240">
        <f t="shared" si="5"/>
        <v>-861756.35726394481</v>
      </c>
      <c r="J15" s="8">
        <f>Données!AN15</f>
        <v>90384</v>
      </c>
      <c r="K15" s="154">
        <f t="shared" si="6"/>
        <v>38412.928528138524</v>
      </c>
      <c r="L15" s="12">
        <f t="shared" si="7"/>
        <v>51971.071471861476</v>
      </c>
      <c r="M15" s="240">
        <f t="shared" si="8"/>
        <v>-38716.586283005367</v>
      </c>
      <c r="O15" s="42">
        <f t="shared" si="9"/>
        <v>-900472.94354695012</v>
      </c>
      <c r="P15" s="200"/>
      <c r="Q15" s="164"/>
      <c r="R15" s="164"/>
      <c r="S15" s="164"/>
      <c r="T15" s="164"/>
      <c r="U15" s="164"/>
      <c r="AF15" s="11"/>
      <c r="AG15" s="11"/>
      <c r="AH15" s="11"/>
      <c r="AI15" s="11"/>
      <c r="AJ15" s="11"/>
      <c r="AK15" s="11"/>
      <c r="AL15" s="11"/>
    </row>
    <row r="16" spans="1:38" x14ac:dyDescent="0.25">
      <c r="A16" s="38">
        <f>+Données!A16</f>
        <v>5411</v>
      </c>
      <c r="B16" s="184" t="str">
        <f>+Données!B16</f>
        <v>Ormont-Dessus</v>
      </c>
      <c r="C16" s="173">
        <f>+Ecrêtage!C16</f>
        <v>76159.947763157907</v>
      </c>
      <c r="D16" s="171"/>
      <c r="E16" s="173">
        <f>Données!AF16+Données!AG16+Données!AH16</f>
        <v>1511355</v>
      </c>
      <c r="F16" s="171">
        <f t="shared" si="3"/>
        <v>609279.58210526325</v>
      </c>
      <c r="G16" s="8">
        <f t="shared" si="4"/>
        <v>902075.41789473675</v>
      </c>
      <c r="H16" s="240">
        <f t="shared" si="5"/>
        <v>-672013.86774581275</v>
      </c>
      <c r="J16" s="8">
        <f>Données!AN16</f>
        <v>95299</v>
      </c>
      <c r="K16" s="154">
        <f t="shared" si="6"/>
        <v>76159.947763157907</v>
      </c>
      <c r="L16" s="12">
        <f t="shared" si="7"/>
        <v>19139.052236842093</v>
      </c>
      <c r="M16" s="240">
        <f t="shared" si="8"/>
        <v>-14257.908223112934</v>
      </c>
      <c r="O16" s="42">
        <f t="shared" si="9"/>
        <v>-686271.77596892568</v>
      </c>
      <c r="P16" s="200"/>
      <c r="Q16" s="164"/>
      <c r="R16" s="164"/>
      <c r="S16" s="164"/>
      <c r="T16" s="164"/>
      <c r="U16" s="164"/>
      <c r="AF16" s="11"/>
      <c r="AG16" s="11"/>
      <c r="AH16" s="11"/>
      <c r="AI16" s="11"/>
      <c r="AJ16" s="11"/>
      <c r="AK16" s="11"/>
      <c r="AL16" s="11"/>
    </row>
    <row r="17" spans="1:38" x14ac:dyDescent="0.25">
      <c r="A17" s="38">
        <f>+Données!A17</f>
        <v>5412</v>
      </c>
      <c r="B17" s="184" t="str">
        <f>+Données!B17</f>
        <v>Rennaz</v>
      </c>
      <c r="C17" s="173">
        <f>+Ecrêtage!C17</f>
        <v>32236.510434782613</v>
      </c>
      <c r="D17" s="171"/>
      <c r="E17" s="173">
        <f>Données!AF17+Données!AG17+Données!AH17</f>
        <v>328500</v>
      </c>
      <c r="F17" s="171">
        <f t="shared" si="3"/>
        <v>257892.0834782609</v>
      </c>
      <c r="G17" s="8">
        <f t="shared" si="4"/>
        <v>70607.916521739098</v>
      </c>
      <c r="H17" s="240">
        <f t="shared" si="5"/>
        <v>-52600.36814436756</v>
      </c>
      <c r="J17" s="8">
        <f>Données!AN17</f>
        <v>41740</v>
      </c>
      <c r="K17" s="154">
        <f t="shared" si="6"/>
        <v>32236.510434782613</v>
      </c>
      <c r="L17" s="12">
        <f t="shared" si="7"/>
        <v>9503.4895652173873</v>
      </c>
      <c r="M17" s="240">
        <f t="shared" si="8"/>
        <v>-7079.7592453061916</v>
      </c>
      <c r="O17" s="42">
        <f t="shared" si="9"/>
        <v>-59680.127389673755</v>
      </c>
      <c r="P17" s="200"/>
      <c r="Q17" s="164"/>
      <c r="R17" s="164"/>
      <c r="S17" s="164"/>
      <c r="T17" s="164"/>
      <c r="U17" s="164"/>
      <c r="AF17" s="11"/>
      <c r="AG17" s="11"/>
      <c r="AH17" s="11"/>
      <c r="AI17" s="11"/>
      <c r="AJ17" s="11"/>
      <c r="AK17" s="11"/>
      <c r="AL17" s="11"/>
    </row>
    <row r="18" spans="1:38" x14ac:dyDescent="0.25">
      <c r="A18" s="38">
        <f>+Données!A18</f>
        <v>5413</v>
      </c>
      <c r="B18" s="184" t="str">
        <f>+Données!B18</f>
        <v>Roche</v>
      </c>
      <c r="C18" s="173">
        <f>+Ecrêtage!C18</f>
        <v>42591.589534313724</v>
      </c>
      <c r="D18" s="171"/>
      <c r="E18" s="173">
        <f>Données!AF18+Données!AG18+Données!AH18</f>
        <v>469863</v>
      </c>
      <c r="F18" s="171">
        <f t="shared" si="3"/>
        <v>340732.71627450979</v>
      </c>
      <c r="G18" s="8">
        <f t="shared" si="4"/>
        <v>129130.28372549021</v>
      </c>
      <c r="H18" s="240">
        <f t="shared" si="5"/>
        <v>-96197.435034868569</v>
      </c>
      <c r="J18" s="8">
        <f>Données!AN18</f>
        <v>16354</v>
      </c>
      <c r="K18" s="154">
        <f t="shared" si="6"/>
        <v>42591.589534313724</v>
      </c>
      <c r="L18" s="12">
        <f t="shared" si="7"/>
        <v>0</v>
      </c>
      <c r="M18" s="240">
        <f t="shared" si="8"/>
        <v>0</v>
      </c>
      <c r="O18" s="42">
        <f t="shared" si="9"/>
        <v>-96197.435034868569</v>
      </c>
      <c r="P18" s="200"/>
      <c r="Q18" s="164"/>
      <c r="R18" s="164"/>
      <c r="S18" s="164"/>
      <c r="T18" s="164"/>
      <c r="U18" s="164"/>
      <c r="AF18" s="11"/>
      <c r="AG18" s="11"/>
      <c r="AH18" s="11"/>
      <c r="AI18" s="11"/>
      <c r="AJ18" s="11"/>
      <c r="AK18" s="11"/>
      <c r="AL18" s="11"/>
    </row>
    <row r="19" spans="1:38" x14ac:dyDescent="0.25">
      <c r="A19" s="38">
        <f>+Données!A19</f>
        <v>5414</v>
      </c>
      <c r="B19" s="184" t="str">
        <f>+Données!B19</f>
        <v>Villeneuve</v>
      </c>
      <c r="C19" s="173">
        <f>+Ecrêtage!C19</f>
        <v>165869.64903703702</v>
      </c>
      <c r="D19" s="171"/>
      <c r="E19" s="173">
        <f>Données!AF19+Données!AG19+Données!AH19</f>
        <v>3880954</v>
      </c>
      <c r="F19" s="171">
        <f t="shared" si="3"/>
        <v>1326957.1922962961</v>
      </c>
      <c r="G19" s="8">
        <f t="shared" si="4"/>
        <v>2553996.8077037036</v>
      </c>
      <c r="H19" s="240">
        <f t="shared" si="5"/>
        <v>-1902636.1198944701</v>
      </c>
      <c r="J19" s="8">
        <f>Données!AN19</f>
        <v>142065</v>
      </c>
      <c r="K19" s="154">
        <f t="shared" si="6"/>
        <v>165869.64903703702</v>
      </c>
      <c r="L19" s="12">
        <f t="shared" si="7"/>
        <v>0</v>
      </c>
      <c r="M19" s="240">
        <f t="shared" si="8"/>
        <v>0</v>
      </c>
      <c r="O19" s="42">
        <f t="shared" si="9"/>
        <v>-1902636.1198944701</v>
      </c>
      <c r="P19" s="200"/>
      <c r="Q19" s="164"/>
      <c r="R19" s="164"/>
      <c r="S19" s="164"/>
      <c r="T19" s="164"/>
      <c r="U19" s="164"/>
      <c r="AF19" s="11"/>
      <c r="AG19" s="11"/>
      <c r="AH19" s="11"/>
      <c r="AI19" s="11"/>
      <c r="AJ19" s="11"/>
      <c r="AK19" s="11"/>
      <c r="AL19" s="11"/>
    </row>
    <row r="20" spans="1:38" x14ac:dyDescent="0.25">
      <c r="A20" s="38">
        <f>+Données!A20</f>
        <v>5415</v>
      </c>
      <c r="B20" s="184" t="str">
        <f>+Données!B20</f>
        <v>Yvorne</v>
      </c>
      <c r="C20" s="173">
        <f>+Ecrêtage!C20</f>
        <v>33673.599766899759</v>
      </c>
      <c r="D20" s="171"/>
      <c r="E20" s="173">
        <f>Données!AF20+Données!AG20+Données!AH20</f>
        <v>740564</v>
      </c>
      <c r="F20" s="171">
        <f t="shared" si="3"/>
        <v>269388.79813519807</v>
      </c>
      <c r="G20" s="8">
        <f t="shared" si="4"/>
        <v>471175.20186480193</v>
      </c>
      <c r="H20" s="240">
        <f t="shared" si="5"/>
        <v>-351008.64463200344</v>
      </c>
      <c r="J20" s="8">
        <f>Données!AN20</f>
        <v>47758</v>
      </c>
      <c r="K20" s="154">
        <f t="shared" si="6"/>
        <v>33673.599766899759</v>
      </c>
      <c r="L20" s="12">
        <f t="shared" si="7"/>
        <v>14084.400233100241</v>
      </c>
      <c r="M20" s="240">
        <f t="shared" si="8"/>
        <v>-10492.373572949065</v>
      </c>
      <c r="O20" s="42">
        <f t="shared" si="9"/>
        <v>-361501.01820495253</v>
      </c>
      <c r="P20" s="200"/>
      <c r="Q20" s="164"/>
      <c r="R20" s="164"/>
      <c r="S20" s="164"/>
      <c r="T20" s="164"/>
      <c r="U20" s="164"/>
      <c r="AF20" s="11"/>
      <c r="AG20" s="11"/>
      <c r="AH20" s="11"/>
      <c r="AI20" s="11"/>
      <c r="AJ20" s="11"/>
      <c r="AK20" s="11"/>
      <c r="AL20" s="11"/>
    </row>
    <row r="21" spans="1:38" s="158" customFormat="1" x14ac:dyDescent="0.25">
      <c r="A21" s="38">
        <f>+Données!A21</f>
        <v>5422</v>
      </c>
      <c r="B21" s="184" t="str">
        <f>+Données!B21</f>
        <v>Aubonne</v>
      </c>
      <c r="C21" s="173">
        <f>+Ecrêtage!C21</f>
        <v>297528.5668571429</v>
      </c>
      <c r="D21" s="171"/>
      <c r="E21" s="173">
        <f>Données!AF21+Données!AG21+Données!AH21</f>
        <v>2086171</v>
      </c>
      <c r="F21" s="171">
        <f t="shared" si="3"/>
        <v>2380228.5348571432</v>
      </c>
      <c r="G21" s="8">
        <f t="shared" si="4"/>
        <v>0</v>
      </c>
      <c r="H21" s="240">
        <f t="shared" si="5"/>
        <v>0</v>
      </c>
      <c r="I21" s="174"/>
      <c r="J21" s="8">
        <f>Données!AN21</f>
        <v>45133</v>
      </c>
      <c r="K21" s="154">
        <f t="shared" si="6"/>
        <v>297528.5668571429</v>
      </c>
      <c r="L21" s="174">
        <f t="shared" si="7"/>
        <v>0</v>
      </c>
      <c r="M21" s="240">
        <f t="shared" si="8"/>
        <v>0</v>
      </c>
      <c r="N21" s="174"/>
      <c r="O21" s="42">
        <f t="shared" si="9"/>
        <v>0</v>
      </c>
      <c r="P21" s="200"/>
      <c r="Q21" s="164"/>
      <c r="R21" s="164"/>
      <c r="S21" s="164"/>
      <c r="T21" s="164"/>
      <c r="U21" s="164"/>
    </row>
    <row r="22" spans="1:38" x14ac:dyDescent="0.25">
      <c r="A22" s="38">
        <f>+Données!A22</f>
        <v>5423</v>
      </c>
      <c r="B22" s="184" t="str">
        <f>+Données!B22</f>
        <v>Ballens</v>
      </c>
      <c r="C22" s="173">
        <f>+Ecrêtage!C22</f>
        <v>17345.56260273973</v>
      </c>
      <c r="D22" s="171"/>
      <c r="E22" s="173">
        <f>Données!AF22+Données!AG22+Données!AH22</f>
        <v>232210</v>
      </c>
      <c r="F22" s="171">
        <f t="shared" si="3"/>
        <v>138764.50082191784</v>
      </c>
      <c r="G22" s="8">
        <f t="shared" si="4"/>
        <v>93445.499178082158</v>
      </c>
      <c r="H22" s="240">
        <f t="shared" si="5"/>
        <v>-69613.549023047322</v>
      </c>
      <c r="J22" s="8">
        <f>Données!AN22</f>
        <v>22991</v>
      </c>
      <c r="K22" s="154">
        <f t="shared" si="6"/>
        <v>17345.56260273973</v>
      </c>
      <c r="L22" s="12">
        <f t="shared" si="7"/>
        <v>5645.4373972602698</v>
      </c>
      <c r="M22" s="240">
        <f t="shared" si="8"/>
        <v>-4205.6486023127927</v>
      </c>
      <c r="O22" s="42">
        <f t="shared" si="9"/>
        <v>-73819.197625360117</v>
      </c>
      <c r="P22" s="200"/>
      <c r="Q22" s="164"/>
      <c r="R22" s="164"/>
      <c r="S22" s="164"/>
      <c r="T22" s="164"/>
      <c r="U22" s="164"/>
      <c r="AF22" s="11"/>
      <c r="AG22" s="11"/>
      <c r="AH22" s="11"/>
      <c r="AI22" s="11"/>
      <c r="AJ22" s="11"/>
      <c r="AK22" s="11"/>
      <c r="AL22" s="11"/>
    </row>
    <row r="23" spans="1:38" x14ac:dyDescent="0.25">
      <c r="A23" s="38">
        <f>+Données!A23</f>
        <v>5424</v>
      </c>
      <c r="B23" s="184" t="str">
        <f>+Données!B23</f>
        <v>Berolle</v>
      </c>
      <c r="C23" s="173">
        <f>+Ecrêtage!C23</f>
        <v>10263.233774834438</v>
      </c>
      <c r="D23" s="171"/>
      <c r="E23" s="173">
        <f>Données!AF23+Données!AG23+Données!AH23</f>
        <v>141031</v>
      </c>
      <c r="F23" s="171">
        <f t="shared" si="3"/>
        <v>82105.870198675504</v>
      </c>
      <c r="G23" s="8">
        <f t="shared" si="4"/>
        <v>58925.129801324496</v>
      </c>
      <c r="H23" s="240">
        <f t="shared" si="5"/>
        <v>-43897.110595948958</v>
      </c>
      <c r="J23" s="8">
        <f>Données!AN23</f>
        <v>63851</v>
      </c>
      <c r="K23" s="154">
        <f t="shared" si="6"/>
        <v>10263.233774834438</v>
      </c>
      <c r="L23" s="12">
        <f t="shared" si="7"/>
        <v>53587.766225165564</v>
      </c>
      <c r="M23" s="240">
        <f t="shared" si="8"/>
        <v>-39920.965953019855</v>
      </c>
      <c r="O23" s="42">
        <f t="shared" si="9"/>
        <v>-83818.07654896882</v>
      </c>
      <c r="P23" s="200"/>
      <c r="Q23" s="164"/>
      <c r="R23" s="164"/>
      <c r="S23" s="164"/>
      <c r="T23" s="164"/>
      <c r="U23" s="164"/>
      <c r="AF23" s="11"/>
      <c r="AG23" s="11"/>
      <c r="AH23" s="11"/>
      <c r="AI23" s="11"/>
      <c r="AJ23" s="11"/>
      <c r="AK23" s="11"/>
      <c r="AL23" s="11"/>
    </row>
    <row r="24" spans="1:38" x14ac:dyDescent="0.25">
      <c r="A24" s="38">
        <f>+Données!A24</f>
        <v>5425</v>
      </c>
      <c r="B24" s="184" t="str">
        <f>+Données!B24</f>
        <v>Bière</v>
      </c>
      <c r="C24" s="173">
        <f>+Ecrêtage!C24</f>
        <v>42246.57887556222</v>
      </c>
      <c r="D24" s="171"/>
      <c r="E24" s="173">
        <f>Données!AF24+Données!AG24+Données!AH24</f>
        <v>950014</v>
      </c>
      <c r="F24" s="171">
        <f t="shared" si="3"/>
        <v>337972.63100449776</v>
      </c>
      <c r="G24" s="8">
        <f t="shared" si="4"/>
        <v>612041.36899550224</v>
      </c>
      <c r="H24" s="240">
        <f t="shared" si="5"/>
        <v>-455948.89234317245</v>
      </c>
      <c r="J24" s="8">
        <f>Données!AN24</f>
        <v>150905</v>
      </c>
      <c r="K24" s="154">
        <f t="shared" si="6"/>
        <v>42246.57887556222</v>
      </c>
      <c r="L24" s="12">
        <f t="shared" si="7"/>
        <v>108658.42112443778</v>
      </c>
      <c r="M24" s="240">
        <f t="shared" si="8"/>
        <v>-80946.630840912083</v>
      </c>
      <c r="O24" s="42">
        <f t="shared" si="9"/>
        <v>-536895.52318408457</v>
      </c>
      <c r="P24" s="200"/>
      <c r="Q24" s="164"/>
      <c r="R24" s="164"/>
      <c r="S24" s="164"/>
      <c r="T24" s="164"/>
      <c r="U24" s="164"/>
      <c r="AF24" s="11"/>
      <c r="AG24" s="11"/>
      <c r="AH24" s="11"/>
      <c r="AI24" s="11"/>
      <c r="AJ24" s="11"/>
      <c r="AK24" s="11"/>
      <c r="AL24" s="11"/>
    </row>
    <row r="25" spans="1:38" x14ac:dyDescent="0.25">
      <c r="A25" s="38">
        <f>+Données!A25</f>
        <v>5426</v>
      </c>
      <c r="B25" s="184" t="str">
        <f>+Données!B25</f>
        <v>Bougy-Villars</v>
      </c>
      <c r="C25" s="173">
        <f>+Ecrêtage!C25</f>
        <v>61944.740516795857</v>
      </c>
      <c r="D25" s="171"/>
      <c r="E25" s="173">
        <f>Données!AF25+Données!AG25+Données!AH25</f>
        <v>0</v>
      </c>
      <c r="F25" s="171">
        <f t="shared" si="3"/>
        <v>495557.92413436685</v>
      </c>
      <c r="G25" s="8">
        <f t="shared" si="4"/>
        <v>0</v>
      </c>
      <c r="H25" s="240">
        <f t="shared" si="5"/>
        <v>0</v>
      </c>
      <c r="J25" s="8">
        <f>Données!AN25</f>
        <v>0</v>
      </c>
      <c r="K25" s="154">
        <f t="shared" si="6"/>
        <v>61944.740516795857</v>
      </c>
      <c r="L25" s="12">
        <f t="shared" si="7"/>
        <v>0</v>
      </c>
      <c r="M25" s="240">
        <f t="shared" si="8"/>
        <v>0</v>
      </c>
      <c r="O25" s="42">
        <f t="shared" si="9"/>
        <v>0</v>
      </c>
      <c r="P25" s="200"/>
      <c r="Q25" s="164"/>
      <c r="R25" s="164"/>
      <c r="S25" s="164"/>
      <c r="T25" s="164"/>
      <c r="U25" s="164"/>
      <c r="AF25" s="11"/>
      <c r="AG25" s="11"/>
      <c r="AH25" s="11"/>
      <c r="AI25" s="11"/>
      <c r="AJ25" s="11"/>
      <c r="AK25" s="11"/>
      <c r="AL25" s="11"/>
    </row>
    <row r="26" spans="1:38" x14ac:dyDescent="0.25">
      <c r="A26" s="38">
        <f>+Données!A26</f>
        <v>5427</v>
      </c>
      <c r="B26" s="184" t="str">
        <f>+Données!B26</f>
        <v>Féchy</v>
      </c>
      <c r="C26" s="173">
        <f>+Ecrêtage!C26</f>
        <v>86921.388449519218</v>
      </c>
      <c r="D26" s="171"/>
      <c r="E26" s="173">
        <f>Données!AF26+Données!AG26+Données!AH26</f>
        <v>319732</v>
      </c>
      <c r="F26" s="171">
        <f t="shared" si="3"/>
        <v>695371.10759615374</v>
      </c>
      <c r="G26" s="8">
        <f t="shared" si="4"/>
        <v>0</v>
      </c>
      <c r="H26" s="240">
        <f t="shared" si="5"/>
        <v>0</v>
      </c>
      <c r="J26" s="8">
        <f>Données!AN26</f>
        <v>4213</v>
      </c>
      <c r="K26" s="154">
        <f t="shared" si="6"/>
        <v>86921.388449519218</v>
      </c>
      <c r="L26" s="12">
        <f t="shared" si="7"/>
        <v>0</v>
      </c>
      <c r="M26" s="240">
        <f t="shared" si="8"/>
        <v>0</v>
      </c>
      <c r="O26" s="42">
        <f t="shared" si="9"/>
        <v>0</v>
      </c>
      <c r="P26" s="200"/>
      <c r="Q26" s="164"/>
      <c r="R26" s="164"/>
      <c r="S26" s="164"/>
      <c r="T26" s="164"/>
      <c r="U26" s="164"/>
      <c r="AF26" s="11"/>
      <c r="AG26" s="11"/>
      <c r="AH26" s="11"/>
      <c r="AI26" s="11"/>
      <c r="AJ26" s="11"/>
      <c r="AK26" s="11"/>
      <c r="AL26" s="11"/>
    </row>
    <row r="27" spans="1:38" x14ac:dyDescent="0.25">
      <c r="A27" s="38">
        <f>+Données!A27</f>
        <v>5428</v>
      </c>
      <c r="B27" s="184" t="str">
        <f>+Données!B27</f>
        <v>Gimel</v>
      </c>
      <c r="C27" s="173">
        <f>+Ecrêtage!C27</f>
        <v>71357.07080536912</v>
      </c>
      <c r="D27" s="171"/>
      <c r="E27" s="173">
        <f>Données!AF27+Données!AG27+Données!AH27</f>
        <v>1287623</v>
      </c>
      <c r="F27" s="171">
        <f t="shared" si="3"/>
        <v>570856.56644295296</v>
      </c>
      <c r="G27" s="8">
        <f t="shared" si="4"/>
        <v>716766.43355704704</v>
      </c>
      <c r="H27" s="240">
        <f t="shared" si="5"/>
        <v>-533965.3134647886</v>
      </c>
      <c r="J27" s="8">
        <f>Données!AN27</f>
        <v>24699</v>
      </c>
      <c r="K27" s="154">
        <f t="shared" si="6"/>
        <v>71357.07080536912</v>
      </c>
      <c r="L27" s="12">
        <f t="shared" si="7"/>
        <v>0</v>
      </c>
      <c r="M27" s="240">
        <f t="shared" si="8"/>
        <v>0</v>
      </c>
      <c r="O27" s="42">
        <f t="shared" si="9"/>
        <v>-533965.3134647886</v>
      </c>
      <c r="P27" s="200"/>
      <c r="Q27" s="164"/>
      <c r="R27" s="164"/>
      <c r="S27" s="164"/>
      <c r="T27" s="164"/>
      <c r="U27" s="164"/>
      <c r="AF27" s="11"/>
      <c r="AG27" s="11"/>
      <c r="AH27" s="11"/>
      <c r="AI27" s="11"/>
      <c r="AJ27" s="11"/>
      <c r="AK27" s="11"/>
      <c r="AL27" s="11"/>
    </row>
    <row r="28" spans="1:38" x14ac:dyDescent="0.25">
      <c r="A28" s="38">
        <f>+Données!A28</f>
        <v>5429</v>
      </c>
      <c r="B28" s="184" t="str">
        <f>+Données!B28</f>
        <v>Longirod</v>
      </c>
      <c r="C28" s="173">
        <f>+Ecrêtage!C28</f>
        <v>17141.954451612906</v>
      </c>
      <c r="D28" s="171"/>
      <c r="E28" s="173">
        <f>Données!AF28+Données!AG28+Données!AH28</f>
        <v>219013</v>
      </c>
      <c r="F28" s="171">
        <f t="shared" si="3"/>
        <v>137135.63561290325</v>
      </c>
      <c r="G28" s="8">
        <f t="shared" si="4"/>
        <v>81877.36438709675</v>
      </c>
      <c r="H28" s="240">
        <f t="shared" si="5"/>
        <v>-60995.703054427715</v>
      </c>
      <c r="J28" s="8">
        <f>Données!AN28</f>
        <v>24891</v>
      </c>
      <c r="K28" s="154">
        <f t="shared" si="6"/>
        <v>17141.954451612906</v>
      </c>
      <c r="L28" s="12">
        <f t="shared" si="7"/>
        <v>7749.0455483870937</v>
      </c>
      <c r="M28" s="240">
        <f t="shared" si="8"/>
        <v>-5772.7613090968225</v>
      </c>
      <c r="O28" s="42">
        <f t="shared" si="9"/>
        <v>-66768.464363524545</v>
      </c>
      <c r="P28" s="200"/>
      <c r="Q28" s="164"/>
      <c r="R28" s="164"/>
      <c r="S28" s="164"/>
      <c r="T28" s="164"/>
      <c r="U28" s="164"/>
      <c r="AF28" s="11"/>
      <c r="AG28" s="11"/>
      <c r="AH28" s="11"/>
      <c r="AI28" s="11"/>
      <c r="AJ28" s="11"/>
      <c r="AK28" s="11"/>
      <c r="AL28" s="11"/>
    </row>
    <row r="29" spans="1:38" x14ac:dyDescent="0.25">
      <c r="A29" s="38">
        <f>+Données!A29</f>
        <v>5430</v>
      </c>
      <c r="B29" s="184" t="str">
        <f>+Données!B29</f>
        <v>Marchissy</v>
      </c>
      <c r="C29" s="173">
        <f>+Ecrêtage!C29</f>
        <v>17121.702064516132</v>
      </c>
      <c r="D29" s="171"/>
      <c r="E29" s="173">
        <f>Données!AF29+Données!AG29+Données!AH29</f>
        <v>216480</v>
      </c>
      <c r="F29" s="171">
        <f t="shared" si="3"/>
        <v>136973.61651612906</v>
      </c>
      <c r="G29" s="8">
        <f t="shared" si="4"/>
        <v>79506.383483870944</v>
      </c>
      <c r="H29" s="240">
        <f t="shared" si="5"/>
        <v>-59229.407226472722</v>
      </c>
      <c r="J29" s="8">
        <f>Données!AN29</f>
        <v>-16342</v>
      </c>
      <c r="K29" s="154">
        <f t="shared" si="6"/>
        <v>17121.702064516132</v>
      </c>
      <c r="L29" s="12">
        <f t="shared" si="7"/>
        <v>0</v>
      </c>
      <c r="M29" s="240">
        <f t="shared" si="8"/>
        <v>0</v>
      </c>
      <c r="O29" s="42">
        <f t="shared" si="9"/>
        <v>-59229.407226472722</v>
      </c>
      <c r="P29" s="200"/>
      <c r="Q29" s="164"/>
      <c r="R29" s="164"/>
      <c r="S29" s="164"/>
      <c r="T29" s="164"/>
      <c r="U29" s="164"/>
      <c r="AF29" s="11"/>
      <c r="AG29" s="11"/>
      <c r="AH29" s="11"/>
      <c r="AI29" s="11"/>
      <c r="AJ29" s="11"/>
      <c r="AK29" s="11"/>
      <c r="AL29" s="11"/>
    </row>
    <row r="30" spans="1:38" x14ac:dyDescent="0.25">
      <c r="A30" s="38">
        <f>+Données!A30</f>
        <v>5431</v>
      </c>
      <c r="B30" s="184" t="str">
        <f>+Données!B30</f>
        <v>Mollens</v>
      </c>
      <c r="C30" s="173">
        <f>+Ecrêtage!C30</f>
        <v>9475.2202702702707</v>
      </c>
      <c r="D30" s="171"/>
      <c r="E30" s="173">
        <f>Données!AF30+Données!AG30+Données!AH30</f>
        <v>114420</v>
      </c>
      <c r="F30" s="171">
        <f t="shared" si="3"/>
        <v>75801.762162162166</v>
      </c>
      <c r="G30" s="8">
        <f t="shared" si="4"/>
        <v>38618.237837837834</v>
      </c>
      <c r="H30" s="240">
        <f t="shared" si="5"/>
        <v>-28769.20361658878</v>
      </c>
      <c r="J30" s="8">
        <f>Données!AN30</f>
        <v>47143</v>
      </c>
      <c r="K30" s="154">
        <f t="shared" si="6"/>
        <v>9475.2202702702707</v>
      </c>
      <c r="L30" s="12">
        <f t="shared" si="7"/>
        <v>37667.779729729729</v>
      </c>
      <c r="M30" s="240">
        <f t="shared" si="8"/>
        <v>-28061.146378036883</v>
      </c>
      <c r="O30" s="42">
        <f t="shared" si="9"/>
        <v>-56830.349994625663</v>
      </c>
      <c r="P30" s="200"/>
      <c r="Q30" s="164"/>
      <c r="R30" s="164"/>
      <c r="S30" s="164"/>
      <c r="T30" s="164"/>
      <c r="U30" s="164"/>
      <c r="AF30" s="11"/>
      <c r="AG30" s="11"/>
      <c r="AH30" s="11"/>
      <c r="AI30" s="11"/>
      <c r="AJ30" s="11"/>
      <c r="AK30" s="11"/>
      <c r="AL30" s="11"/>
    </row>
    <row r="31" spans="1:38" x14ac:dyDescent="0.25">
      <c r="A31" s="38">
        <f>+Données!A31</f>
        <v>5434</v>
      </c>
      <c r="B31" s="184" t="str">
        <f>+Données!B31</f>
        <v>Saint-George</v>
      </c>
      <c r="C31" s="173">
        <f>+Ecrêtage!C31</f>
        <v>40910.420311750597</v>
      </c>
      <c r="D31" s="171"/>
      <c r="E31" s="173">
        <f>Données!AF31+Données!AG31+Données!AH31</f>
        <v>536477</v>
      </c>
      <c r="F31" s="171">
        <f t="shared" si="3"/>
        <v>327283.36249400477</v>
      </c>
      <c r="G31" s="8">
        <f t="shared" si="4"/>
        <v>209193.63750599523</v>
      </c>
      <c r="H31" s="240">
        <f t="shared" si="5"/>
        <v>-155841.76517780221</v>
      </c>
      <c r="J31" s="8">
        <f>Données!AN31</f>
        <v>7747</v>
      </c>
      <c r="K31" s="154">
        <f t="shared" si="6"/>
        <v>40910.420311750597</v>
      </c>
      <c r="L31" s="12">
        <f t="shared" si="7"/>
        <v>0</v>
      </c>
      <c r="M31" s="240">
        <f t="shared" si="8"/>
        <v>0</v>
      </c>
      <c r="O31" s="42">
        <f t="shared" si="9"/>
        <v>-155841.76517780221</v>
      </c>
      <c r="P31" s="200"/>
      <c r="Q31" s="164"/>
      <c r="R31" s="164"/>
      <c r="S31" s="164"/>
      <c r="T31" s="164"/>
      <c r="U31" s="164"/>
      <c r="AF31" s="11"/>
      <c r="AG31" s="11"/>
      <c r="AH31" s="11"/>
      <c r="AI31" s="11"/>
      <c r="AJ31" s="11"/>
      <c r="AK31" s="11"/>
      <c r="AL31" s="11"/>
    </row>
    <row r="32" spans="1:38" x14ac:dyDescent="0.25">
      <c r="A32" s="38">
        <f>+Données!A32</f>
        <v>5435</v>
      </c>
      <c r="B32" s="184" t="str">
        <f>+Données!B32</f>
        <v>Saint-Livres</v>
      </c>
      <c r="C32" s="173">
        <f>+Ecrêtage!C32</f>
        <v>25462.062463768114</v>
      </c>
      <c r="D32" s="171"/>
      <c r="E32" s="173">
        <f>Données!AF32+Données!AG32+Données!AH32</f>
        <v>248808</v>
      </c>
      <c r="F32" s="171">
        <f t="shared" si="3"/>
        <v>203696.49971014491</v>
      </c>
      <c r="G32" s="8">
        <f t="shared" si="4"/>
        <v>45111.500289855088</v>
      </c>
      <c r="H32" s="240">
        <f t="shared" si="5"/>
        <v>-33606.451509733299</v>
      </c>
      <c r="J32" s="8">
        <f>Données!AN32</f>
        <v>14756</v>
      </c>
      <c r="K32" s="154">
        <f t="shared" si="6"/>
        <v>25462.062463768114</v>
      </c>
      <c r="L32" s="12">
        <f t="shared" si="7"/>
        <v>0</v>
      </c>
      <c r="M32" s="240">
        <f t="shared" si="8"/>
        <v>0</v>
      </c>
      <c r="O32" s="42">
        <f t="shared" si="9"/>
        <v>-33606.451509733299</v>
      </c>
      <c r="P32" s="200"/>
      <c r="Q32" s="164"/>
      <c r="R32" s="164"/>
      <c r="S32" s="164"/>
      <c r="T32" s="164"/>
      <c r="U32" s="164"/>
      <c r="AF32" s="11"/>
      <c r="AG32" s="11"/>
      <c r="AH32" s="11"/>
      <c r="AI32" s="11"/>
      <c r="AJ32" s="11"/>
      <c r="AK32" s="11"/>
      <c r="AL32" s="11"/>
    </row>
    <row r="33" spans="1:38" x14ac:dyDescent="0.25">
      <c r="A33" s="38">
        <f>+Données!A33</f>
        <v>5436</v>
      </c>
      <c r="B33" s="184" t="str">
        <f>+Données!B33</f>
        <v>Saint-Oyens</v>
      </c>
      <c r="C33" s="173">
        <f>+Ecrêtage!C33</f>
        <v>16425.302151898733</v>
      </c>
      <c r="D33" s="171"/>
      <c r="E33" s="173">
        <f>Données!AF33+Données!AG33+Données!AH33</f>
        <v>105452</v>
      </c>
      <c r="F33" s="171">
        <f t="shared" si="3"/>
        <v>131402.41721518987</v>
      </c>
      <c r="G33" s="8">
        <f t="shared" si="4"/>
        <v>0</v>
      </c>
      <c r="H33" s="240">
        <f t="shared" si="5"/>
        <v>0</v>
      </c>
      <c r="J33" s="8">
        <f>Données!AN33</f>
        <v>10360</v>
      </c>
      <c r="K33" s="154">
        <f t="shared" si="6"/>
        <v>16425.302151898733</v>
      </c>
      <c r="L33" s="12">
        <f t="shared" si="7"/>
        <v>0</v>
      </c>
      <c r="M33" s="240">
        <f t="shared" si="8"/>
        <v>0</v>
      </c>
      <c r="O33" s="42">
        <f t="shared" si="9"/>
        <v>0</v>
      </c>
      <c r="P33" s="200"/>
      <c r="Q33" s="164"/>
      <c r="R33" s="164"/>
      <c r="S33" s="164"/>
      <c r="T33" s="164"/>
      <c r="U33" s="164"/>
      <c r="AF33" s="11"/>
      <c r="AG33" s="11"/>
      <c r="AH33" s="11"/>
      <c r="AI33" s="11"/>
      <c r="AJ33" s="11"/>
      <c r="AK33" s="11"/>
      <c r="AL33" s="11"/>
    </row>
    <row r="34" spans="1:38" x14ac:dyDescent="0.25">
      <c r="A34" s="38">
        <f>+Données!A34</f>
        <v>5437</v>
      </c>
      <c r="B34" s="184" t="str">
        <f>+Données!B34</f>
        <v>Saubraz</v>
      </c>
      <c r="C34" s="173">
        <f>+Ecrêtage!C34</f>
        <v>12131.165499999999</v>
      </c>
      <c r="D34" s="171"/>
      <c r="E34" s="173">
        <f>Données!AF34+Données!AG34+Données!AH34</f>
        <v>101863</v>
      </c>
      <c r="F34" s="171">
        <f t="shared" si="3"/>
        <v>97049.323999999993</v>
      </c>
      <c r="G34" s="8">
        <f t="shared" si="4"/>
        <v>4813.6760000000068</v>
      </c>
      <c r="H34" s="240">
        <f t="shared" si="5"/>
        <v>-3586.0161608047201</v>
      </c>
      <c r="J34" s="8">
        <f>Données!AN34</f>
        <v>-53001</v>
      </c>
      <c r="K34" s="154">
        <f t="shared" si="6"/>
        <v>12131.165499999999</v>
      </c>
      <c r="L34" s="12">
        <f t="shared" si="7"/>
        <v>0</v>
      </c>
      <c r="M34" s="240">
        <f t="shared" si="8"/>
        <v>0</v>
      </c>
      <c r="O34" s="42">
        <f t="shared" si="9"/>
        <v>-3586.0161608047201</v>
      </c>
      <c r="P34" s="200"/>
      <c r="Q34" s="164"/>
      <c r="R34" s="164"/>
      <c r="S34" s="164"/>
      <c r="T34" s="164"/>
      <c r="U34" s="164"/>
      <c r="AF34" s="11"/>
      <c r="AG34" s="11"/>
      <c r="AH34" s="11"/>
      <c r="AI34" s="11"/>
      <c r="AJ34" s="11"/>
      <c r="AK34" s="11"/>
      <c r="AL34" s="11"/>
    </row>
    <row r="35" spans="1:38" x14ac:dyDescent="0.25">
      <c r="A35" s="38">
        <f>+Données!A35</f>
        <v>5451</v>
      </c>
      <c r="B35" s="184" t="str">
        <f>+Données!B35</f>
        <v>Avenches</v>
      </c>
      <c r="C35" s="173">
        <f>+Ecrêtage!C35</f>
        <v>142603.64295739346</v>
      </c>
      <c r="D35" s="171"/>
      <c r="E35" s="173">
        <f>Données!AF35+Données!AG35+Données!AH35</f>
        <v>2809794</v>
      </c>
      <c r="F35" s="171">
        <f t="shared" si="3"/>
        <v>1140829.1436591477</v>
      </c>
      <c r="G35" s="8">
        <f t="shared" si="4"/>
        <v>1668964.8563408523</v>
      </c>
      <c r="H35" s="240">
        <f t="shared" si="5"/>
        <v>-1243319.0240999635</v>
      </c>
      <c r="J35" s="8">
        <f>Données!AN35</f>
        <v>75745</v>
      </c>
      <c r="K35" s="154">
        <f t="shared" si="6"/>
        <v>142603.64295739346</v>
      </c>
      <c r="L35" s="12">
        <f t="shared" si="7"/>
        <v>0</v>
      </c>
      <c r="M35" s="240">
        <f t="shared" si="8"/>
        <v>0</v>
      </c>
      <c r="O35" s="42">
        <f t="shared" si="9"/>
        <v>-1243319.0240999635</v>
      </c>
      <c r="P35" s="200"/>
      <c r="Q35" s="164"/>
      <c r="R35" s="164"/>
      <c r="S35" s="164"/>
      <c r="T35" s="164"/>
      <c r="U35" s="164"/>
      <c r="AF35" s="11"/>
      <c r="AG35" s="11"/>
      <c r="AH35" s="11"/>
      <c r="AI35" s="11"/>
      <c r="AJ35" s="11"/>
      <c r="AK35" s="11"/>
      <c r="AL35" s="11"/>
    </row>
    <row r="36" spans="1:38" x14ac:dyDescent="0.25">
      <c r="A36" s="38">
        <f>+Données!A36</f>
        <v>5456</v>
      </c>
      <c r="B36" s="184" t="str">
        <f>+Données!B36</f>
        <v>Cudrefin</v>
      </c>
      <c r="C36" s="173">
        <f>+Ecrêtage!C36</f>
        <v>64059.429152542369</v>
      </c>
      <c r="D36" s="171"/>
      <c r="E36" s="173">
        <f>Données!AF36+Données!AG36+Données!AH36</f>
        <v>716850</v>
      </c>
      <c r="F36" s="171">
        <f t="shared" si="3"/>
        <v>512475.43322033895</v>
      </c>
      <c r="G36" s="8">
        <f t="shared" si="4"/>
        <v>204374.56677966105</v>
      </c>
      <c r="H36" s="240">
        <f t="shared" si="5"/>
        <v>-152251.73013915497</v>
      </c>
      <c r="J36" s="8">
        <f>Données!AN36</f>
        <v>24459</v>
      </c>
      <c r="K36" s="154">
        <f t="shared" si="6"/>
        <v>64059.429152542369</v>
      </c>
      <c r="L36" s="12">
        <f t="shared" si="7"/>
        <v>0</v>
      </c>
      <c r="M36" s="240">
        <f t="shared" si="8"/>
        <v>0</v>
      </c>
      <c r="O36" s="42">
        <f t="shared" si="9"/>
        <v>-152251.73013915497</v>
      </c>
      <c r="P36" s="200"/>
      <c r="Q36" s="164"/>
      <c r="R36" s="164"/>
      <c r="S36" s="164"/>
      <c r="T36" s="164"/>
      <c r="U36" s="164"/>
      <c r="AF36" s="11"/>
      <c r="AG36" s="11"/>
      <c r="AH36" s="11"/>
      <c r="AI36" s="11"/>
      <c r="AJ36" s="11"/>
      <c r="AK36" s="11"/>
      <c r="AL36" s="11"/>
    </row>
    <row r="37" spans="1:38" x14ac:dyDescent="0.25">
      <c r="A37" s="38">
        <f>+Données!A37</f>
        <v>5458</v>
      </c>
      <c r="B37" s="184" t="str">
        <f>+Données!B37</f>
        <v>Faoug</v>
      </c>
      <c r="C37" s="173">
        <f>+Ecrêtage!C37</f>
        <v>32630.608820512818</v>
      </c>
      <c r="D37" s="171"/>
      <c r="E37" s="173">
        <f>Données!AF37+Données!AG37+Données!AH37</f>
        <v>409420</v>
      </c>
      <c r="F37" s="171">
        <f t="shared" si="3"/>
        <v>261044.87056410254</v>
      </c>
      <c r="G37" s="8">
        <f t="shared" si="4"/>
        <v>148375.12943589746</v>
      </c>
      <c r="H37" s="240">
        <f t="shared" si="5"/>
        <v>-110534.155605533</v>
      </c>
      <c r="J37" s="8">
        <f>Données!AN37</f>
        <v>16403</v>
      </c>
      <c r="K37" s="154">
        <f t="shared" si="6"/>
        <v>32630.608820512818</v>
      </c>
      <c r="L37" s="12">
        <f t="shared" si="7"/>
        <v>0</v>
      </c>
      <c r="M37" s="240">
        <f t="shared" si="8"/>
        <v>0</v>
      </c>
      <c r="O37" s="42">
        <f t="shared" si="9"/>
        <v>-110534.155605533</v>
      </c>
      <c r="P37" s="200"/>
      <c r="Q37" s="164"/>
      <c r="R37" s="164"/>
      <c r="S37" s="164"/>
      <c r="T37" s="164"/>
      <c r="U37" s="164"/>
      <c r="AF37" s="11"/>
      <c r="AG37" s="11"/>
      <c r="AH37" s="11"/>
      <c r="AI37" s="11"/>
      <c r="AJ37" s="11"/>
      <c r="AK37" s="11"/>
      <c r="AL37" s="11"/>
    </row>
    <row r="38" spans="1:38" x14ac:dyDescent="0.25">
      <c r="A38" s="38">
        <f>+Données!A38</f>
        <v>5464</v>
      </c>
      <c r="B38" s="184" t="str">
        <f>+Données!B38</f>
        <v>Vully-les-Lacs</v>
      </c>
      <c r="C38" s="173">
        <f>+Ecrêtage!C38</f>
        <v>117932.28119402986</v>
      </c>
      <c r="D38" s="171"/>
      <c r="E38" s="173">
        <f>Données!AF38+Données!AG38+Données!AH38</f>
        <v>1463644</v>
      </c>
      <c r="F38" s="171">
        <f t="shared" si="3"/>
        <v>943458.24955223885</v>
      </c>
      <c r="G38" s="8">
        <f t="shared" si="4"/>
        <v>520185.75044776115</v>
      </c>
      <c r="H38" s="240">
        <f t="shared" si="5"/>
        <v>-387519.74742919963</v>
      </c>
      <c r="J38" s="8">
        <f>Données!AN38</f>
        <v>36274</v>
      </c>
      <c r="K38" s="154">
        <f t="shared" si="6"/>
        <v>117932.28119402986</v>
      </c>
      <c r="L38" s="12">
        <f t="shared" si="7"/>
        <v>0</v>
      </c>
      <c r="M38" s="240">
        <f t="shared" si="8"/>
        <v>0</v>
      </c>
      <c r="O38" s="42">
        <f t="shared" si="9"/>
        <v>-387519.74742919963</v>
      </c>
      <c r="P38" s="200"/>
      <c r="Q38" s="164"/>
      <c r="R38" s="164"/>
      <c r="S38" s="164"/>
      <c r="T38" s="164"/>
      <c r="U38" s="164"/>
      <c r="AF38" s="11"/>
      <c r="AG38" s="11"/>
      <c r="AH38" s="11"/>
      <c r="AI38" s="11"/>
      <c r="AJ38" s="11"/>
      <c r="AK38" s="11"/>
      <c r="AL38" s="11"/>
    </row>
    <row r="39" spans="1:38" x14ac:dyDescent="0.25">
      <c r="A39" s="38">
        <f>+Données!A39</f>
        <v>5471</v>
      </c>
      <c r="B39" s="184" t="str">
        <f>+Données!B39</f>
        <v>Bettens</v>
      </c>
      <c r="C39" s="173">
        <f>+Ecrêtage!C39</f>
        <v>22692.008412698411</v>
      </c>
      <c r="D39" s="171"/>
      <c r="E39" s="173">
        <f>Données!AF39+Données!AG39+Données!AH39</f>
        <v>0</v>
      </c>
      <c r="F39" s="171">
        <f t="shared" si="3"/>
        <v>181536.06730158729</v>
      </c>
      <c r="G39" s="8">
        <f t="shared" si="4"/>
        <v>0</v>
      </c>
      <c r="H39" s="240">
        <f t="shared" si="5"/>
        <v>0</v>
      </c>
      <c r="J39" s="8">
        <f>Données!AN39</f>
        <v>0</v>
      </c>
      <c r="K39" s="154">
        <f t="shared" si="6"/>
        <v>22692.008412698411</v>
      </c>
      <c r="L39" s="12">
        <f t="shared" si="7"/>
        <v>0</v>
      </c>
      <c r="M39" s="240">
        <f t="shared" si="8"/>
        <v>0</v>
      </c>
      <c r="O39" s="42">
        <f t="shared" si="9"/>
        <v>0</v>
      </c>
      <c r="P39" s="200"/>
      <c r="Q39" s="164"/>
      <c r="R39" s="164"/>
      <c r="S39" s="164"/>
      <c r="T39" s="164"/>
      <c r="U39" s="164"/>
      <c r="AF39" s="11"/>
      <c r="AG39" s="11"/>
      <c r="AH39" s="11"/>
      <c r="AI39" s="11"/>
      <c r="AJ39" s="11"/>
      <c r="AK39" s="11"/>
      <c r="AL39" s="11"/>
    </row>
    <row r="40" spans="1:38" x14ac:dyDescent="0.25">
      <c r="A40" s="38">
        <f>+Données!A40</f>
        <v>5472</v>
      </c>
      <c r="B40" s="184" t="str">
        <f>+Données!B40</f>
        <v>Bournens</v>
      </c>
      <c r="C40" s="173">
        <f>+Ecrêtage!C40</f>
        <v>19974.815147058827</v>
      </c>
      <c r="D40" s="171"/>
      <c r="E40" s="173">
        <f>Données!AF40+Données!AG40+Données!AH40</f>
        <v>157017</v>
      </c>
      <c r="F40" s="171">
        <f t="shared" si="3"/>
        <v>159798.52117647062</v>
      </c>
      <c r="G40" s="8">
        <f t="shared" si="4"/>
        <v>0</v>
      </c>
      <c r="H40" s="240">
        <f t="shared" si="5"/>
        <v>0</v>
      </c>
      <c r="J40" s="8">
        <f>Données!AN40</f>
        <v>30215</v>
      </c>
      <c r="K40" s="154">
        <f t="shared" si="6"/>
        <v>19974.815147058827</v>
      </c>
      <c r="L40" s="12">
        <f t="shared" si="7"/>
        <v>10240.184852941173</v>
      </c>
      <c r="M40" s="240">
        <f t="shared" si="8"/>
        <v>-7628.5708411356936</v>
      </c>
      <c r="O40" s="42">
        <f t="shared" si="9"/>
        <v>-7628.5708411356936</v>
      </c>
      <c r="P40" s="200"/>
      <c r="Q40" s="164"/>
      <c r="R40" s="164"/>
      <c r="S40" s="164"/>
      <c r="T40" s="164"/>
      <c r="U40" s="164"/>
      <c r="AF40" s="11"/>
      <c r="AG40" s="11"/>
      <c r="AH40" s="11"/>
      <c r="AI40" s="11"/>
      <c r="AJ40" s="11"/>
      <c r="AK40" s="11"/>
      <c r="AL40" s="11"/>
    </row>
    <row r="41" spans="1:38" x14ac:dyDescent="0.25">
      <c r="A41" s="38">
        <f>+Données!A41</f>
        <v>5473</v>
      </c>
      <c r="B41" s="184" t="str">
        <f>+Données!B41</f>
        <v>Boussens</v>
      </c>
      <c r="C41" s="173">
        <f>+Ecrêtage!C41</f>
        <v>40042.684696969693</v>
      </c>
      <c r="D41" s="171"/>
      <c r="E41" s="173">
        <f>Données!AF41+Données!AG41+Données!AH41</f>
        <v>0</v>
      </c>
      <c r="F41" s="171">
        <f t="shared" si="3"/>
        <v>320341.47757575754</v>
      </c>
      <c r="G41" s="8">
        <f t="shared" si="4"/>
        <v>0</v>
      </c>
      <c r="H41" s="240">
        <f t="shared" si="5"/>
        <v>0</v>
      </c>
      <c r="J41" s="8">
        <f>Données!AN41</f>
        <v>0</v>
      </c>
      <c r="K41" s="154">
        <f t="shared" si="6"/>
        <v>40042.684696969693</v>
      </c>
      <c r="L41" s="12">
        <f t="shared" si="7"/>
        <v>0</v>
      </c>
      <c r="M41" s="240">
        <f t="shared" si="8"/>
        <v>0</v>
      </c>
      <c r="O41" s="42">
        <f t="shared" si="9"/>
        <v>0</v>
      </c>
      <c r="P41" s="200"/>
      <c r="Q41" s="164"/>
      <c r="R41" s="164"/>
      <c r="S41" s="164"/>
      <c r="T41" s="164"/>
      <c r="U41" s="164"/>
      <c r="AF41" s="11"/>
      <c r="AG41" s="11"/>
      <c r="AH41" s="11"/>
      <c r="AI41" s="11"/>
      <c r="AJ41" s="11"/>
      <c r="AK41" s="11"/>
      <c r="AL41" s="11"/>
    </row>
    <row r="42" spans="1:38" x14ac:dyDescent="0.25">
      <c r="A42" s="38">
        <f>+Données!A42</f>
        <v>5474</v>
      </c>
      <c r="B42" s="184" t="str">
        <f>+Données!B42</f>
        <v>La Chaux (Cossonay)</v>
      </c>
      <c r="C42" s="173">
        <f>+Ecrêtage!C42</f>
        <v>13862.371951754385</v>
      </c>
      <c r="D42" s="171"/>
      <c r="E42" s="173">
        <f>Données!AF42+Données!AG42+Données!AH42</f>
        <v>343757</v>
      </c>
      <c r="F42" s="171">
        <f t="shared" si="3"/>
        <v>110898.97561403508</v>
      </c>
      <c r="G42" s="8">
        <f t="shared" si="4"/>
        <v>232858.02438596491</v>
      </c>
      <c r="H42" s="240">
        <f t="shared" si="5"/>
        <v>-173470.88558123328</v>
      </c>
      <c r="J42" s="8">
        <f>Données!AN42</f>
        <v>7743</v>
      </c>
      <c r="K42" s="154">
        <f t="shared" si="6"/>
        <v>13862.371951754385</v>
      </c>
      <c r="L42" s="12">
        <f t="shared" si="7"/>
        <v>0</v>
      </c>
      <c r="M42" s="240">
        <f t="shared" si="8"/>
        <v>0</v>
      </c>
      <c r="O42" s="42">
        <f t="shared" si="9"/>
        <v>-173470.88558123328</v>
      </c>
      <c r="P42" s="200"/>
      <c r="Q42" s="164"/>
      <c r="R42" s="164"/>
      <c r="S42" s="164"/>
      <c r="T42" s="164"/>
      <c r="U42" s="164"/>
      <c r="AF42" s="11"/>
      <c r="AG42" s="11"/>
      <c r="AH42" s="11"/>
      <c r="AI42" s="11"/>
      <c r="AJ42" s="11"/>
      <c r="AK42" s="11"/>
      <c r="AL42" s="11"/>
    </row>
    <row r="43" spans="1:38" x14ac:dyDescent="0.25">
      <c r="A43" s="38">
        <f>+Données!A43</f>
        <v>5475</v>
      </c>
      <c r="B43" s="184" t="str">
        <f>+Données!B43</f>
        <v>Chavannes-le-Veyron</v>
      </c>
      <c r="C43" s="173">
        <f>+Ecrêtage!C43</f>
        <v>4297.1488000000008</v>
      </c>
      <c r="D43" s="171"/>
      <c r="E43" s="173">
        <f>Données!AF43+Données!AG43+Données!AH43</f>
        <v>75846</v>
      </c>
      <c r="F43" s="171">
        <f t="shared" si="3"/>
        <v>34377.190400000007</v>
      </c>
      <c r="G43" s="8">
        <f t="shared" si="4"/>
        <v>41468.809599999993</v>
      </c>
      <c r="H43" s="240">
        <f t="shared" si="5"/>
        <v>-30892.777452186998</v>
      </c>
      <c r="J43" s="8">
        <f>Données!AN43</f>
        <v>29301</v>
      </c>
      <c r="K43" s="154">
        <f t="shared" si="6"/>
        <v>4297.1488000000008</v>
      </c>
      <c r="L43" s="12">
        <f t="shared" si="7"/>
        <v>25003.851199999997</v>
      </c>
      <c r="M43" s="240">
        <f t="shared" si="8"/>
        <v>-18626.973332969723</v>
      </c>
      <c r="O43" s="42">
        <f t="shared" si="9"/>
        <v>-49519.750785156721</v>
      </c>
      <c r="P43" s="200"/>
      <c r="Q43" s="164"/>
      <c r="R43" s="164"/>
      <c r="S43" s="164"/>
      <c r="T43" s="164"/>
      <c r="U43" s="164"/>
      <c r="AF43" s="11"/>
      <c r="AG43" s="11"/>
      <c r="AH43" s="11"/>
      <c r="AI43" s="11"/>
      <c r="AJ43" s="11"/>
      <c r="AK43" s="11"/>
      <c r="AL43" s="11"/>
    </row>
    <row r="44" spans="1:38" x14ac:dyDescent="0.25">
      <c r="A44" s="38">
        <f>+Données!A44</f>
        <v>5476</v>
      </c>
      <c r="B44" s="184" t="str">
        <f>+Données!B44</f>
        <v>Chevilly</v>
      </c>
      <c r="C44" s="173">
        <f>+Ecrêtage!C44</f>
        <v>13558.448137931036</v>
      </c>
      <c r="D44" s="171"/>
      <c r="E44" s="173">
        <f>Données!AF44+Données!AG44+Données!AH44</f>
        <v>84179</v>
      </c>
      <c r="F44" s="171">
        <f t="shared" si="3"/>
        <v>108467.58510344829</v>
      </c>
      <c r="G44" s="8">
        <f t="shared" si="4"/>
        <v>0</v>
      </c>
      <c r="H44" s="240">
        <f t="shared" si="5"/>
        <v>0</v>
      </c>
      <c r="J44" s="8">
        <f>Données!AN44</f>
        <v>1912</v>
      </c>
      <c r="K44" s="154">
        <f t="shared" si="6"/>
        <v>13558.448137931036</v>
      </c>
      <c r="L44" s="12">
        <f t="shared" si="7"/>
        <v>0</v>
      </c>
      <c r="M44" s="240">
        <f t="shared" si="8"/>
        <v>0</v>
      </c>
      <c r="O44" s="42">
        <f t="shared" si="9"/>
        <v>0</v>
      </c>
      <c r="P44" s="200"/>
      <c r="Q44" s="164"/>
      <c r="R44" s="164"/>
      <c r="S44" s="164"/>
      <c r="T44" s="164"/>
      <c r="U44" s="164"/>
      <c r="AF44" s="11"/>
      <c r="AG44" s="11"/>
      <c r="AH44" s="11"/>
      <c r="AI44" s="11"/>
      <c r="AJ44" s="11"/>
      <c r="AK44" s="11"/>
      <c r="AL44" s="11"/>
    </row>
    <row r="45" spans="1:38" x14ac:dyDescent="0.25">
      <c r="A45" s="38">
        <f>+Données!A45</f>
        <v>5477</v>
      </c>
      <c r="B45" s="184" t="str">
        <f>+Données!B45</f>
        <v>Cossonay</v>
      </c>
      <c r="C45" s="173">
        <f>+Ecrêtage!C45</f>
        <v>151484.78088235293</v>
      </c>
      <c r="D45" s="171"/>
      <c r="E45" s="173">
        <f>Données!AF45+Données!AG45+Données!AH45</f>
        <v>2463203</v>
      </c>
      <c r="F45" s="171">
        <f t="shared" si="3"/>
        <v>1211878.2470588235</v>
      </c>
      <c r="G45" s="8">
        <f t="shared" si="4"/>
        <v>1251324.7529411765</v>
      </c>
      <c r="H45" s="240">
        <f t="shared" si="5"/>
        <v>-932192.10982667434</v>
      </c>
      <c r="J45" s="8">
        <f>Données!AN45</f>
        <v>73393</v>
      </c>
      <c r="K45" s="154">
        <f t="shared" si="6"/>
        <v>151484.78088235293</v>
      </c>
      <c r="L45" s="12">
        <f t="shared" si="7"/>
        <v>0</v>
      </c>
      <c r="M45" s="240">
        <f t="shared" si="8"/>
        <v>0</v>
      </c>
      <c r="O45" s="42">
        <f t="shared" si="9"/>
        <v>-932192.10982667434</v>
      </c>
      <c r="P45" s="200"/>
      <c r="Q45" s="164"/>
      <c r="R45" s="164"/>
      <c r="S45" s="164"/>
      <c r="T45" s="164"/>
      <c r="U45" s="164"/>
      <c r="AF45" s="11"/>
      <c r="AG45" s="11"/>
      <c r="AH45" s="11"/>
      <c r="AI45" s="11"/>
      <c r="AJ45" s="11"/>
      <c r="AK45" s="11"/>
      <c r="AL45" s="11"/>
    </row>
    <row r="46" spans="1:38" x14ac:dyDescent="0.25">
      <c r="A46" s="38">
        <f>+Données!A46</f>
        <v>5479</v>
      </c>
      <c r="B46" s="184" t="str">
        <f>+Données!B46</f>
        <v>Cuarnens</v>
      </c>
      <c r="C46" s="173">
        <f>+Ecrêtage!C46</f>
        <v>14331.03077922078</v>
      </c>
      <c r="D46" s="171"/>
      <c r="E46" s="173">
        <f>Données!AF46+Données!AG46+Données!AH46</f>
        <v>391675</v>
      </c>
      <c r="F46" s="171">
        <f t="shared" si="3"/>
        <v>114648.24623376624</v>
      </c>
      <c r="G46" s="8">
        <f t="shared" si="4"/>
        <v>277026.75376623374</v>
      </c>
      <c r="H46" s="240">
        <f t="shared" si="5"/>
        <v>-206375.00653990477</v>
      </c>
      <c r="J46" s="8">
        <f>Données!AN46</f>
        <v>64229</v>
      </c>
      <c r="K46" s="154">
        <f t="shared" si="6"/>
        <v>14331.03077922078</v>
      </c>
      <c r="L46" s="12">
        <f t="shared" si="7"/>
        <v>49897.969220779218</v>
      </c>
      <c r="M46" s="240">
        <f t="shared" si="8"/>
        <v>-37172.199378822035</v>
      </c>
      <c r="O46" s="42">
        <f t="shared" si="9"/>
        <v>-243547.2059187268</v>
      </c>
      <c r="P46" s="200"/>
      <c r="Q46" s="164"/>
      <c r="R46" s="164"/>
      <c r="S46" s="164"/>
      <c r="T46" s="164"/>
      <c r="U46" s="164"/>
      <c r="AF46" s="11"/>
      <c r="AG46" s="11"/>
      <c r="AH46" s="11"/>
      <c r="AI46" s="11"/>
      <c r="AJ46" s="11"/>
      <c r="AK46" s="11"/>
      <c r="AL46" s="11"/>
    </row>
    <row r="47" spans="1:38" x14ac:dyDescent="0.25">
      <c r="A47" s="38">
        <f>+Données!A47</f>
        <v>5480</v>
      </c>
      <c r="B47" s="184" t="str">
        <f>+Données!B47</f>
        <v>Daillens</v>
      </c>
      <c r="C47" s="173">
        <f>+Ecrêtage!C47</f>
        <v>42741.079141414142</v>
      </c>
      <c r="D47" s="171"/>
      <c r="E47" s="173">
        <f>Données!AF47+Données!AG47+Données!AH47</f>
        <v>448152</v>
      </c>
      <c r="F47" s="171">
        <f t="shared" si="3"/>
        <v>341928.63313131314</v>
      </c>
      <c r="G47" s="8">
        <f t="shared" si="4"/>
        <v>106223.36686868686</v>
      </c>
      <c r="H47" s="240">
        <f t="shared" si="5"/>
        <v>-79132.602660876888</v>
      </c>
      <c r="J47" s="8">
        <f>Données!AN47</f>
        <v>66527</v>
      </c>
      <c r="K47" s="154">
        <f t="shared" si="6"/>
        <v>42741.079141414142</v>
      </c>
      <c r="L47" s="12">
        <f t="shared" si="7"/>
        <v>23785.920858585858</v>
      </c>
      <c r="M47" s="240">
        <f t="shared" si="8"/>
        <v>-17719.65886331171</v>
      </c>
      <c r="O47" s="42">
        <f t="shared" si="9"/>
        <v>-96852.261524188594</v>
      </c>
      <c r="P47" s="200"/>
      <c r="Q47" s="164"/>
      <c r="R47" s="164"/>
      <c r="S47" s="164"/>
      <c r="T47" s="164"/>
      <c r="U47" s="164"/>
      <c r="AF47" s="11"/>
      <c r="AG47" s="11"/>
      <c r="AH47" s="11"/>
      <c r="AI47" s="11"/>
      <c r="AJ47" s="11"/>
      <c r="AK47" s="11"/>
      <c r="AL47" s="11"/>
    </row>
    <row r="48" spans="1:38" x14ac:dyDescent="0.25">
      <c r="A48" s="38">
        <f>+Données!A48</f>
        <v>5481</v>
      </c>
      <c r="B48" s="184" t="str">
        <f>+Données!B48</f>
        <v>Dizy</v>
      </c>
      <c r="C48" s="173">
        <f>+Ecrêtage!C48</f>
        <v>8551.9890666666652</v>
      </c>
      <c r="D48" s="171"/>
      <c r="E48" s="173">
        <f>Données!AF48+Données!AG48+Données!AH48</f>
        <v>110859</v>
      </c>
      <c r="F48" s="171">
        <f t="shared" si="3"/>
        <v>68415.912533333321</v>
      </c>
      <c r="G48" s="8">
        <f t="shared" si="4"/>
        <v>42443.087466666679</v>
      </c>
      <c r="H48" s="240">
        <f t="shared" si="5"/>
        <v>-31618.579557476402</v>
      </c>
      <c r="J48" s="8">
        <f>Données!AN48</f>
        <v>7367</v>
      </c>
      <c r="K48" s="154">
        <f t="shared" si="6"/>
        <v>8551.9890666666652</v>
      </c>
      <c r="L48" s="12">
        <f t="shared" si="7"/>
        <v>0</v>
      </c>
      <c r="M48" s="240">
        <f t="shared" si="8"/>
        <v>0</v>
      </c>
      <c r="O48" s="42">
        <f t="shared" si="9"/>
        <v>-31618.579557476402</v>
      </c>
      <c r="P48" s="200"/>
      <c r="Q48" s="164"/>
      <c r="R48" s="164"/>
      <c r="S48" s="164"/>
      <c r="T48" s="164"/>
      <c r="U48" s="164"/>
      <c r="AF48" s="11"/>
      <c r="AG48" s="11"/>
      <c r="AH48" s="11"/>
      <c r="AI48" s="11"/>
      <c r="AJ48" s="11"/>
      <c r="AK48" s="11"/>
      <c r="AL48" s="11"/>
    </row>
    <row r="49" spans="1:38" x14ac:dyDescent="0.25">
      <c r="A49" s="38">
        <f>+Données!A49</f>
        <v>5482</v>
      </c>
      <c r="B49" s="184" t="str">
        <f>+Données!B49</f>
        <v>Eclépens</v>
      </c>
      <c r="C49" s="173">
        <f>+Ecrêtage!C49</f>
        <v>48311.561086956521</v>
      </c>
      <c r="D49" s="171"/>
      <c r="E49" s="173">
        <f>Données!AF49+Données!AG49+Données!AH49</f>
        <v>532443</v>
      </c>
      <c r="F49" s="171">
        <f t="shared" si="3"/>
        <v>386492.48869565217</v>
      </c>
      <c r="G49" s="8">
        <f t="shared" si="4"/>
        <v>145950.51130434783</v>
      </c>
      <c r="H49" s="240">
        <f t="shared" si="5"/>
        <v>-108727.90196413356</v>
      </c>
      <c r="J49" s="8">
        <f>Données!AN49</f>
        <v>94139</v>
      </c>
      <c r="K49" s="154">
        <f t="shared" si="6"/>
        <v>48311.561086956521</v>
      </c>
      <c r="L49" s="12">
        <f t="shared" si="7"/>
        <v>45827.438913043479</v>
      </c>
      <c r="M49" s="240">
        <f t="shared" si="8"/>
        <v>-34139.800134131336</v>
      </c>
      <c r="O49" s="42">
        <f t="shared" si="9"/>
        <v>-142867.70209826488</v>
      </c>
      <c r="P49" s="200"/>
      <c r="Q49" s="164"/>
      <c r="R49" s="164"/>
      <c r="S49" s="164"/>
      <c r="T49" s="164"/>
      <c r="U49" s="164"/>
      <c r="AF49" s="11"/>
      <c r="AG49" s="11"/>
      <c r="AH49" s="11"/>
      <c r="AI49" s="11"/>
      <c r="AJ49" s="11"/>
      <c r="AK49" s="11"/>
      <c r="AL49" s="11"/>
    </row>
    <row r="50" spans="1:38" x14ac:dyDescent="0.25">
      <c r="A50" s="38">
        <f>+Données!A50</f>
        <v>5483</v>
      </c>
      <c r="B50" s="184" t="str">
        <f>+Données!B50</f>
        <v>Ferreyres</v>
      </c>
      <c r="C50" s="173">
        <f>+Ecrêtage!C50</f>
        <v>10284.191184210527</v>
      </c>
      <c r="D50" s="171"/>
      <c r="E50" s="173">
        <f>Données!AF50+Données!AG50+Données!AH50</f>
        <v>82877</v>
      </c>
      <c r="F50" s="171">
        <f t="shared" si="3"/>
        <v>82273.529473684219</v>
      </c>
      <c r="G50" s="8">
        <f t="shared" si="4"/>
        <v>603.47052631578117</v>
      </c>
      <c r="H50" s="240">
        <f t="shared" si="5"/>
        <v>-449.56392161369365</v>
      </c>
      <c r="J50" s="8">
        <f>Données!AN50</f>
        <v>3208</v>
      </c>
      <c r="K50" s="154">
        <f t="shared" si="6"/>
        <v>10284.191184210527</v>
      </c>
      <c r="L50" s="12">
        <f t="shared" si="7"/>
        <v>0</v>
      </c>
      <c r="M50" s="240">
        <f t="shared" si="8"/>
        <v>0</v>
      </c>
      <c r="O50" s="42">
        <f t="shared" si="9"/>
        <v>-449.56392161369365</v>
      </c>
      <c r="P50" s="200"/>
      <c r="Q50" s="164"/>
      <c r="R50" s="164"/>
      <c r="S50" s="164"/>
      <c r="T50" s="164"/>
      <c r="U50" s="164"/>
      <c r="AF50" s="11"/>
      <c r="AG50" s="11"/>
      <c r="AH50" s="11"/>
      <c r="AI50" s="11"/>
      <c r="AJ50" s="11"/>
      <c r="AK50" s="11"/>
      <c r="AL50" s="11"/>
    </row>
    <row r="51" spans="1:38" x14ac:dyDescent="0.25">
      <c r="A51" s="38">
        <f>+Données!A51</f>
        <v>5484</v>
      </c>
      <c r="B51" s="184" t="str">
        <f>+Données!B51</f>
        <v>Gollion</v>
      </c>
      <c r="C51" s="173">
        <f>+Ecrêtage!C51</f>
        <v>32601.092837837834</v>
      </c>
      <c r="D51" s="171"/>
      <c r="E51" s="173">
        <f>Données!AF51+Données!AG51+Données!AH51</f>
        <v>590563</v>
      </c>
      <c r="F51" s="171">
        <f t="shared" si="3"/>
        <v>260808.74270270267</v>
      </c>
      <c r="G51" s="8">
        <f t="shared" si="4"/>
        <v>329754.25729729736</v>
      </c>
      <c r="H51" s="240">
        <f t="shared" si="5"/>
        <v>-245655.10760638324</v>
      </c>
      <c r="J51" s="8">
        <f>Données!AN51</f>
        <v>75011</v>
      </c>
      <c r="K51" s="154">
        <f t="shared" si="6"/>
        <v>32601.092837837834</v>
      </c>
      <c r="L51" s="12">
        <f t="shared" si="7"/>
        <v>42409.90716216217</v>
      </c>
      <c r="M51" s="240">
        <f t="shared" si="8"/>
        <v>-31593.861419368728</v>
      </c>
      <c r="O51" s="42">
        <f t="shared" si="9"/>
        <v>-277248.96902575198</v>
      </c>
      <c r="P51" s="200"/>
      <c r="Q51" s="164"/>
      <c r="R51" s="164"/>
      <c r="S51" s="164"/>
      <c r="T51" s="164"/>
      <c r="U51" s="164"/>
      <c r="AF51" s="11"/>
      <c r="AG51" s="11"/>
      <c r="AH51" s="11"/>
      <c r="AI51" s="11"/>
      <c r="AJ51" s="11"/>
      <c r="AK51" s="11"/>
      <c r="AL51" s="11"/>
    </row>
    <row r="52" spans="1:38" x14ac:dyDescent="0.25">
      <c r="A52" s="38">
        <f>+Données!A52</f>
        <v>5485</v>
      </c>
      <c r="B52" s="184" t="str">
        <f>+Données!B52</f>
        <v>Grancy</v>
      </c>
      <c r="C52" s="173">
        <f>+Ecrêtage!C52</f>
        <v>18961.04185714286</v>
      </c>
      <c r="D52" s="171"/>
      <c r="E52" s="173">
        <f>Données!AF52+Données!AG52+Données!AH52</f>
        <v>189663</v>
      </c>
      <c r="F52" s="171">
        <f t="shared" si="3"/>
        <v>151688.33485714288</v>
      </c>
      <c r="G52" s="8">
        <f t="shared" si="4"/>
        <v>37974.66514285712</v>
      </c>
      <c r="H52" s="240">
        <f t="shared" si="5"/>
        <v>-28289.765016056986</v>
      </c>
      <c r="J52" s="8">
        <f>Données!AN52</f>
        <v>79838</v>
      </c>
      <c r="K52" s="154">
        <f t="shared" si="6"/>
        <v>18961.04185714286</v>
      </c>
      <c r="L52" s="12">
        <f t="shared" si="7"/>
        <v>60876.95814285714</v>
      </c>
      <c r="M52" s="240">
        <f t="shared" si="8"/>
        <v>-45351.152782388745</v>
      </c>
      <c r="O52" s="42">
        <f t="shared" si="9"/>
        <v>-73640.917798445735</v>
      </c>
      <c r="P52" s="200"/>
      <c r="Q52" s="164"/>
      <c r="R52" s="164"/>
      <c r="S52" s="164"/>
      <c r="T52" s="164"/>
      <c r="U52" s="164"/>
      <c r="AF52" s="11"/>
      <c r="AG52" s="11"/>
      <c r="AH52" s="11"/>
      <c r="AI52" s="11"/>
      <c r="AJ52" s="11"/>
      <c r="AK52" s="11"/>
      <c r="AL52" s="11"/>
    </row>
    <row r="53" spans="1:38" x14ac:dyDescent="0.25">
      <c r="A53" s="38">
        <f>+Données!A53</f>
        <v>5486</v>
      </c>
      <c r="B53" s="184" t="str">
        <f>+Données!B53</f>
        <v>L'Isle</v>
      </c>
      <c r="C53" s="173">
        <f>+Ecrêtage!C53</f>
        <v>34755.462666666674</v>
      </c>
      <c r="D53" s="171"/>
      <c r="E53" s="173">
        <f>Données!AF53+Données!AG53+Données!AH53</f>
        <v>625141</v>
      </c>
      <c r="F53" s="171">
        <f t="shared" si="3"/>
        <v>278043.70133333339</v>
      </c>
      <c r="G53" s="8">
        <f t="shared" si="4"/>
        <v>347097.29866666661</v>
      </c>
      <c r="H53" s="240">
        <f t="shared" si="5"/>
        <v>-258575.05207877044</v>
      </c>
      <c r="J53" s="8">
        <f>Données!AN53</f>
        <v>162179</v>
      </c>
      <c r="K53" s="154">
        <f t="shared" si="6"/>
        <v>34755.462666666674</v>
      </c>
      <c r="L53" s="12">
        <f t="shared" si="7"/>
        <v>127423.53733333333</v>
      </c>
      <c r="M53" s="240">
        <f t="shared" si="8"/>
        <v>-94925.97012018181</v>
      </c>
      <c r="O53" s="42">
        <f t="shared" si="9"/>
        <v>-353501.02219895227</v>
      </c>
      <c r="P53" s="200"/>
      <c r="Q53" s="164"/>
      <c r="R53" s="164"/>
      <c r="S53" s="164"/>
      <c r="T53" s="164"/>
      <c r="U53" s="164"/>
      <c r="AF53" s="11"/>
      <c r="AG53" s="11"/>
      <c r="AH53" s="11"/>
      <c r="AI53" s="11"/>
      <c r="AJ53" s="11"/>
      <c r="AK53" s="11"/>
      <c r="AL53" s="11"/>
    </row>
    <row r="54" spans="1:38" x14ac:dyDescent="0.25">
      <c r="A54" s="38">
        <f>+Données!A54</f>
        <v>5487</v>
      </c>
      <c r="B54" s="184" t="str">
        <f>+Données!B54</f>
        <v>Lussery-Villars</v>
      </c>
      <c r="C54" s="173">
        <f>+Ecrêtage!C54</f>
        <v>12042.578266666667</v>
      </c>
      <c r="D54" s="171"/>
      <c r="E54" s="173">
        <f>Données!AF54+Données!AG54+Données!AH54</f>
        <v>102461</v>
      </c>
      <c r="F54" s="171">
        <f t="shared" si="3"/>
        <v>96340.626133333339</v>
      </c>
      <c r="G54" s="8">
        <f t="shared" si="4"/>
        <v>6120.3738666666613</v>
      </c>
      <c r="H54" s="240">
        <f t="shared" si="5"/>
        <v>-4559.4592565086414</v>
      </c>
      <c r="J54" s="8">
        <f>Données!AN54</f>
        <v>11376</v>
      </c>
      <c r="K54" s="154">
        <f t="shared" si="6"/>
        <v>12042.578266666667</v>
      </c>
      <c r="L54" s="12">
        <f t="shared" si="7"/>
        <v>0</v>
      </c>
      <c r="M54" s="240">
        <f t="shared" si="8"/>
        <v>0</v>
      </c>
      <c r="O54" s="42">
        <f t="shared" si="9"/>
        <v>-4559.4592565086414</v>
      </c>
      <c r="P54" s="200"/>
      <c r="Q54" s="164"/>
      <c r="R54" s="164"/>
      <c r="S54" s="164"/>
      <c r="T54" s="164"/>
      <c r="U54" s="164"/>
      <c r="AF54" s="11"/>
      <c r="AG54" s="11"/>
      <c r="AH54" s="11"/>
      <c r="AI54" s="11"/>
      <c r="AJ54" s="11"/>
      <c r="AK54" s="11"/>
      <c r="AL54" s="11"/>
    </row>
    <row r="55" spans="1:38" x14ac:dyDescent="0.25">
      <c r="A55" s="38">
        <f>+Données!A55</f>
        <v>5488</v>
      </c>
      <c r="B55" s="184" t="str">
        <f>+Données!B55</f>
        <v>Mauraz</v>
      </c>
      <c r="C55" s="173">
        <f>+Ecrêtage!C55</f>
        <v>2131.605194805195</v>
      </c>
      <c r="D55" s="171"/>
      <c r="E55" s="173">
        <f>Données!AF55+Données!AG55+Données!AH55</f>
        <v>3900</v>
      </c>
      <c r="F55" s="171">
        <f t="shared" si="3"/>
        <v>17052.84155844156</v>
      </c>
      <c r="G55" s="8">
        <f t="shared" si="4"/>
        <v>0</v>
      </c>
      <c r="H55" s="240">
        <f t="shared" si="5"/>
        <v>0</v>
      </c>
      <c r="J55" s="8">
        <f>Données!AN55</f>
        <v>0</v>
      </c>
      <c r="K55" s="154">
        <f t="shared" si="6"/>
        <v>2131.605194805195</v>
      </c>
      <c r="L55" s="12">
        <f t="shared" si="7"/>
        <v>0</v>
      </c>
      <c r="M55" s="240">
        <f t="shared" si="8"/>
        <v>0</v>
      </c>
      <c r="O55" s="42">
        <f t="shared" si="9"/>
        <v>0</v>
      </c>
      <c r="P55" s="200"/>
      <c r="Q55" s="164"/>
      <c r="R55" s="164"/>
      <c r="S55" s="164"/>
      <c r="T55" s="164"/>
      <c r="U55" s="164"/>
      <c r="AF55" s="11"/>
      <c r="AG55" s="11"/>
      <c r="AH55" s="11"/>
      <c r="AI55" s="11"/>
      <c r="AJ55" s="11"/>
      <c r="AK55" s="11"/>
      <c r="AL55" s="11"/>
    </row>
    <row r="56" spans="1:38" x14ac:dyDescent="0.25">
      <c r="A56" s="38">
        <f>+Données!A56</f>
        <v>5489</v>
      </c>
      <c r="B56" s="184" t="str">
        <f>+Données!B56</f>
        <v>Mex</v>
      </c>
      <c r="C56" s="173">
        <f>+Ecrêtage!C56</f>
        <v>60289.963529411769</v>
      </c>
      <c r="D56" s="171"/>
      <c r="E56" s="173">
        <f>Données!AF56+Données!AG56+Données!AH56</f>
        <v>301193</v>
      </c>
      <c r="F56" s="171">
        <f t="shared" si="3"/>
        <v>482319.70823529415</v>
      </c>
      <c r="G56" s="8">
        <f t="shared" si="4"/>
        <v>0</v>
      </c>
      <c r="H56" s="240">
        <f t="shared" si="5"/>
        <v>0</v>
      </c>
      <c r="J56" s="8">
        <f>Données!AN56</f>
        <v>26284</v>
      </c>
      <c r="K56" s="154">
        <f t="shared" si="6"/>
        <v>60289.963529411769</v>
      </c>
      <c r="L56" s="12">
        <f t="shared" si="7"/>
        <v>0</v>
      </c>
      <c r="M56" s="240">
        <f t="shared" si="8"/>
        <v>0</v>
      </c>
      <c r="O56" s="42">
        <f t="shared" si="9"/>
        <v>0</v>
      </c>
      <c r="P56" s="200"/>
      <c r="Q56" s="164"/>
      <c r="R56" s="164"/>
      <c r="S56" s="164"/>
      <c r="T56" s="164"/>
      <c r="U56" s="164"/>
      <c r="AF56" s="11"/>
      <c r="AG56" s="11"/>
      <c r="AH56" s="11"/>
      <c r="AI56" s="11"/>
      <c r="AJ56" s="11"/>
      <c r="AK56" s="11"/>
      <c r="AL56" s="11"/>
    </row>
    <row r="57" spans="1:38" x14ac:dyDescent="0.25">
      <c r="A57" s="38">
        <f>+Données!A57</f>
        <v>5490</v>
      </c>
      <c r="B57" s="184" t="str">
        <f>+Données!B57</f>
        <v>Moiry</v>
      </c>
      <c r="C57" s="173">
        <f>+Ecrêtage!C57</f>
        <v>8460.9402597402623</v>
      </c>
      <c r="D57" s="171"/>
      <c r="E57" s="173">
        <f>Données!AF57+Données!AG57+Données!AH57</f>
        <v>117624</v>
      </c>
      <c r="F57" s="171">
        <f t="shared" si="3"/>
        <v>67687.522077922098</v>
      </c>
      <c r="G57" s="8">
        <f t="shared" si="4"/>
        <v>49936.477922077902</v>
      </c>
      <c r="H57" s="240">
        <f t="shared" si="5"/>
        <v>-37200.886981641313</v>
      </c>
      <c r="J57" s="8">
        <f>Données!AN57</f>
        <v>-3999</v>
      </c>
      <c r="K57" s="154">
        <f t="shared" si="6"/>
        <v>8460.9402597402623</v>
      </c>
      <c r="L57" s="12">
        <f t="shared" si="7"/>
        <v>0</v>
      </c>
      <c r="M57" s="240">
        <f t="shared" si="8"/>
        <v>0</v>
      </c>
      <c r="O57" s="42">
        <f t="shared" si="9"/>
        <v>-37200.886981641313</v>
      </c>
      <c r="P57" s="200"/>
      <c r="Q57" s="164"/>
      <c r="R57" s="164"/>
      <c r="S57" s="164"/>
      <c r="T57" s="164"/>
      <c r="U57" s="164"/>
      <c r="AF57" s="11"/>
      <c r="AG57" s="11"/>
      <c r="AH57" s="11"/>
      <c r="AI57" s="11"/>
      <c r="AJ57" s="11"/>
      <c r="AK57" s="11"/>
      <c r="AL57" s="11"/>
    </row>
    <row r="58" spans="1:38" x14ac:dyDescent="0.25">
      <c r="A58" s="38">
        <f>+Données!A58</f>
        <v>5491</v>
      </c>
      <c r="B58" s="184" t="str">
        <f>+Données!B58</f>
        <v>Mont-la-Ville</v>
      </c>
      <c r="C58" s="173">
        <f>+Ecrêtage!C58</f>
        <v>13841.869078947369</v>
      </c>
      <c r="D58" s="171"/>
      <c r="E58" s="173">
        <f>Données!AF58+Données!AG58+Données!AH58</f>
        <v>1027054</v>
      </c>
      <c r="F58" s="171">
        <f t="shared" si="3"/>
        <v>110734.95263157896</v>
      </c>
      <c r="G58" s="8">
        <f t="shared" si="4"/>
        <v>916319.04736842099</v>
      </c>
      <c r="H58" s="240">
        <f t="shared" si="5"/>
        <v>-682624.8613983033</v>
      </c>
      <c r="J58" s="8">
        <f>Données!AN58</f>
        <v>-81577</v>
      </c>
      <c r="K58" s="154">
        <f t="shared" si="6"/>
        <v>13841.869078947369</v>
      </c>
      <c r="L58" s="12">
        <f t="shared" si="7"/>
        <v>0</v>
      </c>
      <c r="M58" s="240">
        <f t="shared" si="8"/>
        <v>0</v>
      </c>
      <c r="O58" s="42">
        <f t="shared" si="9"/>
        <v>-682624.8613983033</v>
      </c>
      <c r="P58" s="200"/>
      <c r="Q58" s="164"/>
      <c r="R58" s="164"/>
      <c r="S58" s="164"/>
      <c r="T58" s="164"/>
      <c r="U58" s="164"/>
      <c r="AF58" s="11"/>
      <c r="AG58" s="11"/>
      <c r="AH58" s="11"/>
      <c r="AI58" s="11"/>
      <c r="AJ58" s="11"/>
      <c r="AK58" s="11"/>
      <c r="AL58" s="11"/>
    </row>
    <row r="59" spans="1:38" x14ac:dyDescent="0.25">
      <c r="A59" s="38">
        <f>+Données!A59</f>
        <v>5492</v>
      </c>
      <c r="B59" s="184" t="str">
        <f>+Données!B59</f>
        <v>Montricher</v>
      </c>
      <c r="C59" s="173">
        <f>+Ecrêtage!C59</f>
        <v>149906.53015624997</v>
      </c>
      <c r="D59" s="171"/>
      <c r="E59" s="173">
        <f>Données!AF59+Données!AG59+Données!AH59</f>
        <v>404925</v>
      </c>
      <c r="F59" s="171">
        <f t="shared" si="3"/>
        <v>1199252.2412499997</v>
      </c>
      <c r="G59" s="8">
        <f t="shared" si="4"/>
        <v>0</v>
      </c>
      <c r="H59" s="240">
        <f t="shared" si="5"/>
        <v>0</v>
      </c>
      <c r="J59" s="8">
        <f>Données!AN59</f>
        <v>205119</v>
      </c>
      <c r="K59" s="154">
        <f t="shared" si="6"/>
        <v>149906.53015624997</v>
      </c>
      <c r="L59" s="12">
        <f t="shared" si="7"/>
        <v>55212.469843750034</v>
      </c>
      <c r="M59" s="240">
        <f t="shared" si="8"/>
        <v>-41131.311940735235</v>
      </c>
      <c r="O59" s="42">
        <f t="shared" si="9"/>
        <v>-41131.311940735235</v>
      </c>
      <c r="P59" s="200"/>
      <c r="Q59" s="164"/>
      <c r="R59" s="164"/>
      <c r="S59" s="164"/>
      <c r="T59" s="164"/>
      <c r="U59" s="164"/>
      <c r="AF59" s="11"/>
      <c r="AG59" s="11"/>
      <c r="AH59" s="11"/>
      <c r="AI59" s="11"/>
      <c r="AJ59" s="11"/>
      <c r="AK59" s="11"/>
      <c r="AL59" s="11"/>
    </row>
    <row r="60" spans="1:38" x14ac:dyDescent="0.25">
      <c r="A60" s="38">
        <f>+Données!A60</f>
        <v>5493</v>
      </c>
      <c r="B60" s="184" t="str">
        <f>+Données!B60</f>
        <v>Orny</v>
      </c>
      <c r="C60" s="173">
        <f>+Ecrêtage!C60</f>
        <v>14635.714141201266</v>
      </c>
      <c r="D60" s="171"/>
      <c r="E60" s="173">
        <f>Données!AF60+Données!AG60+Données!AH60</f>
        <v>212877</v>
      </c>
      <c r="F60" s="171">
        <f t="shared" si="3"/>
        <v>117085.71312961013</v>
      </c>
      <c r="G60" s="8">
        <f t="shared" si="4"/>
        <v>95791.286870389871</v>
      </c>
      <c r="H60" s="240">
        <f t="shared" si="5"/>
        <v>-71361.076811463543</v>
      </c>
      <c r="J60" s="8">
        <f>Données!AN60</f>
        <v>-4794</v>
      </c>
      <c r="K60" s="154">
        <f t="shared" si="6"/>
        <v>14635.714141201266</v>
      </c>
      <c r="L60" s="12">
        <f t="shared" si="7"/>
        <v>0</v>
      </c>
      <c r="M60" s="240">
        <f t="shared" si="8"/>
        <v>0</v>
      </c>
      <c r="O60" s="42">
        <f t="shared" si="9"/>
        <v>-71361.076811463543</v>
      </c>
      <c r="P60" s="200"/>
      <c r="Q60" s="164"/>
      <c r="R60" s="164"/>
      <c r="S60" s="164"/>
      <c r="T60" s="164"/>
      <c r="U60" s="164"/>
      <c r="AF60" s="11"/>
      <c r="AG60" s="11"/>
      <c r="AH60" s="11"/>
      <c r="AI60" s="11"/>
      <c r="AJ60" s="11"/>
      <c r="AK60" s="11"/>
      <c r="AL60" s="11"/>
    </row>
    <row r="61" spans="1:38" x14ac:dyDescent="0.25">
      <c r="A61" s="38">
        <f>+Données!A61</f>
        <v>5495</v>
      </c>
      <c r="B61" s="184" t="str">
        <f>+Données!B61</f>
        <v>Penthalaz</v>
      </c>
      <c r="C61" s="173">
        <f>+Ecrêtage!C61</f>
        <v>103053.60797297298</v>
      </c>
      <c r="D61" s="171"/>
      <c r="E61" s="173">
        <f>Données!AF61+Données!AG61+Données!AH61</f>
        <v>1627965</v>
      </c>
      <c r="F61" s="171">
        <f t="shared" si="3"/>
        <v>824428.86378378386</v>
      </c>
      <c r="G61" s="8">
        <f t="shared" si="4"/>
        <v>803536.13621621614</v>
      </c>
      <c r="H61" s="240">
        <f t="shared" si="5"/>
        <v>-598605.63325448788</v>
      </c>
      <c r="J61" s="8">
        <f>Données!AN61</f>
        <v>70918</v>
      </c>
      <c r="K61" s="154">
        <f t="shared" si="6"/>
        <v>103053.60797297298</v>
      </c>
      <c r="L61" s="12">
        <f t="shared" si="7"/>
        <v>0</v>
      </c>
      <c r="M61" s="240">
        <f t="shared" si="8"/>
        <v>0</v>
      </c>
      <c r="O61" s="42">
        <f t="shared" si="9"/>
        <v>-598605.63325448788</v>
      </c>
      <c r="P61" s="200"/>
      <c r="Q61" s="164"/>
      <c r="R61" s="164"/>
      <c r="S61" s="164"/>
      <c r="T61" s="164"/>
      <c r="U61" s="164"/>
      <c r="AF61" s="11"/>
      <c r="AG61" s="11"/>
      <c r="AH61" s="11"/>
      <c r="AI61" s="11"/>
      <c r="AJ61" s="11"/>
      <c r="AK61" s="11"/>
      <c r="AL61" s="11"/>
    </row>
    <row r="62" spans="1:38" x14ac:dyDescent="0.25">
      <c r="A62" s="38">
        <f>+Données!A62</f>
        <v>5496</v>
      </c>
      <c r="B62" s="184" t="str">
        <f>+Données!B62</f>
        <v>Penthaz</v>
      </c>
      <c r="C62" s="173">
        <f>+Ecrêtage!C62</f>
        <v>61649.529352517988</v>
      </c>
      <c r="D62" s="171"/>
      <c r="E62" s="173">
        <f>Données!AF62+Données!AG62+Données!AH62</f>
        <v>707520</v>
      </c>
      <c r="F62" s="171">
        <f t="shared" si="3"/>
        <v>493196.2348201439</v>
      </c>
      <c r="G62" s="8">
        <f t="shared" si="4"/>
        <v>214323.7651798561</v>
      </c>
      <c r="H62" s="240">
        <f t="shared" si="5"/>
        <v>-159663.52649814379</v>
      </c>
      <c r="J62" s="8">
        <f>Données!AN62</f>
        <v>15456</v>
      </c>
      <c r="K62" s="154">
        <f t="shared" si="6"/>
        <v>61649.529352517988</v>
      </c>
      <c r="L62" s="12">
        <f t="shared" si="7"/>
        <v>0</v>
      </c>
      <c r="M62" s="240">
        <f t="shared" si="8"/>
        <v>0</v>
      </c>
      <c r="O62" s="42">
        <f t="shared" si="9"/>
        <v>-159663.52649814379</v>
      </c>
      <c r="P62" s="200"/>
      <c r="Q62" s="164"/>
      <c r="R62" s="164"/>
      <c r="S62" s="164"/>
      <c r="T62" s="164"/>
      <c r="U62" s="164"/>
      <c r="AF62" s="11"/>
      <c r="AG62" s="11"/>
      <c r="AH62" s="11"/>
      <c r="AI62" s="11"/>
      <c r="AJ62" s="11"/>
      <c r="AK62" s="11"/>
      <c r="AL62" s="11"/>
    </row>
    <row r="63" spans="1:38" x14ac:dyDescent="0.25">
      <c r="A63" s="38">
        <f>+Données!A63</f>
        <v>5497</v>
      </c>
      <c r="B63" s="184" t="str">
        <f>+Données!B63</f>
        <v>Pompaples</v>
      </c>
      <c r="C63" s="173">
        <f>+Ecrêtage!C63</f>
        <v>22949.555</v>
      </c>
      <c r="D63" s="171"/>
      <c r="E63" s="173">
        <f>Données!AF63+Données!AG63+Données!AH63</f>
        <v>358656</v>
      </c>
      <c r="F63" s="171">
        <f t="shared" si="3"/>
        <v>183596.44</v>
      </c>
      <c r="G63" s="8">
        <f t="shared" si="4"/>
        <v>175059.56</v>
      </c>
      <c r="H63" s="240">
        <f t="shared" si="5"/>
        <v>-130413.10035477308</v>
      </c>
      <c r="J63" s="8">
        <f>Données!AN63</f>
        <v>10604</v>
      </c>
      <c r="K63" s="154">
        <f t="shared" si="6"/>
        <v>22949.555</v>
      </c>
      <c r="L63" s="12">
        <f t="shared" si="7"/>
        <v>0</v>
      </c>
      <c r="M63" s="240">
        <f t="shared" si="8"/>
        <v>0</v>
      </c>
      <c r="O63" s="42">
        <f t="shared" si="9"/>
        <v>-130413.10035477308</v>
      </c>
      <c r="P63" s="200"/>
      <c r="Q63" s="164"/>
      <c r="R63" s="164"/>
      <c r="S63" s="164"/>
      <c r="T63" s="164"/>
      <c r="U63" s="164"/>
      <c r="AF63" s="11"/>
      <c r="AG63" s="11"/>
      <c r="AH63" s="11"/>
      <c r="AI63" s="11"/>
      <c r="AJ63" s="11"/>
      <c r="AK63" s="11"/>
      <c r="AL63" s="11"/>
    </row>
    <row r="64" spans="1:38" x14ac:dyDescent="0.25">
      <c r="A64" s="38">
        <f>+Données!A64</f>
        <v>5498</v>
      </c>
      <c r="B64" s="184" t="str">
        <f>+Données!B64</f>
        <v>La Sarraz</v>
      </c>
      <c r="C64" s="173">
        <f>+Ecrêtage!C64</f>
        <v>73742.233181818185</v>
      </c>
      <c r="D64" s="171"/>
      <c r="E64" s="173">
        <f>Données!AF64+Données!AG64+Données!AH64</f>
        <v>1249216</v>
      </c>
      <c r="F64" s="171">
        <f t="shared" si="3"/>
        <v>589937.86545454548</v>
      </c>
      <c r="G64" s="8">
        <f t="shared" si="4"/>
        <v>659278.13454545452</v>
      </c>
      <c r="H64" s="240">
        <f t="shared" si="5"/>
        <v>-491138.59032996517</v>
      </c>
      <c r="J64" s="8">
        <f>Données!AN64</f>
        <v>33543</v>
      </c>
      <c r="K64" s="154">
        <f t="shared" si="6"/>
        <v>73742.233181818185</v>
      </c>
      <c r="L64" s="12">
        <f t="shared" si="7"/>
        <v>0</v>
      </c>
      <c r="M64" s="240">
        <f t="shared" si="8"/>
        <v>0</v>
      </c>
      <c r="O64" s="42">
        <f t="shared" si="9"/>
        <v>-491138.59032996517</v>
      </c>
      <c r="P64" s="200"/>
      <c r="Q64" s="164"/>
      <c r="R64" s="164"/>
      <c r="S64" s="164"/>
      <c r="T64" s="164"/>
      <c r="U64" s="164"/>
      <c r="AF64" s="11"/>
      <c r="AG64" s="11"/>
      <c r="AH64" s="11"/>
      <c r="AI64" s="11"/>
      <c r="AJ64" s="11"/>
      <c r="AK64" s="11"/>
      <c r="AL64" s="11"/>
    </row>
    <row r="65" spans="1:38" x14ac:dyDescent="0.25">
      <c r="A65" s="38">
        <f>+Données!A65</f>
        <v>5499</v>
      </c>
      <c r="B65" s="184" t="str">
        <f>+Données!B65</f>
        <v>Senarclens</v>
      </c>
      <c r="C65" s="173">
        <f>+Ecrêtage!C65</f>
        <v>20490.878394160583</v>
      </c>
      <c r="D65" s="171"/>
      <c r="E65" s="173">
        <f>Données!AF65+Données!AG65+Données!AH65</f>
        <v>207771</v>
      </c>
      <c r="F65" s="171">
        <f t="shared" si="3"/>
        <v>163927.02715328467</v>
      </c>
      <c r="G65" s="8">
        <f t="shared" si="4"/>
        <v>43843.972846715333</v>
      </c>
      <c r="H65" s="240">
        <f t="shared" si="5"/>
        <v>-32662.188976201203</v>
      </c>
      <c r="J65" s="8">
        <f>Données!AN65</f>
        <v>16874</v>
      </c>
      <c r="K65" s="154">
        <f t="shared" si="6"/>
        <v>20490.878394160583</v>
      </c>
      <c r="L65" s="12">
        <f t="shared" si="7"/>
        <v>0</v>
      </c>
      <c r="M65" s="240">
        <f t="shared" si="8"/>
        <v>0</v>
      </c>
      <c r="O65" s="42">
        <f t="shared" si="9"/>
        <v>-32662.188976201203</v>
      </c>
      <c r="P65" s="200"/>
      <c r="Q65" s="164"/>
      <c r="R65" s="164"/>
      <c r="S65" s="164"/>
      <c r="T65" s="164"/>
      <c r="U65" s="164"/>
      <c r="AF65" s="11"/>
      <c r="AG65" s="11"/>
      <c r="AH65" s="11"/>
      <c r="AI65" s="11"/>
      <c r="AJ65" s="11"/>
      <c r="AK65" s="11"/>
      <c r="AL65" s="11"/>
    </row>
    <row r="66" spans="1:38" x14ac:dyDescent="0.25">
      <c r="A66" s="38">
        <f>+Données!A66</f>
        <v>5501</v>
      </c>
      <c r="B66" s="184" t="str">
        <f>+Données!B66</f>
        <v>Sullens</v>
      </c>
      <c r="C66" s="173">
        <f>+Ecrêtage!C66</f>
        <v>53839.001093749997</v>
      </c>
      <c r="D66" s="171"/>
      <c r="E66" s="173">
        <f>Données!AF66+Données!AG66+Données!AH66</f>
        <v>356945</v>
      </c>
      <c r="F66" s="171">
        <f t="shared" si="3"/>
        <v>430712.00874999998</v>
      </c>
      <c r="G66" s="8">
        <f t="shared" si="4"/>
        <v>0</v>
      </c>
      <c r="H66" s="240">
        <f t="shared" si="5"/>
        <v>0</v>
      </c>
      <c r="J66" s="8">
        <f>Données!AN66</f>
        <v>51529</v>
      </c>
      <c r="K66" s="154">
        <f t="shared" si="6"/>
        <v>53839.001093749997</v>
      </c>
      <c r="L66" s="12">
        <f t="shared" si="7"/>
        <v>0</v>
      </c>
      <c r="M66" s="240">
        <f t="shared" si="8"/>
        <v>0</v>
      </c>
      <c r="O66" s="42">
        <f t="shared" si="9"/>
        <v>0</v>
      </c>
      <c r="P66" s="200"/>
      <c r="Q66" s="164"/>
      <c r="R66" s="164"/>
      <c r="S66" s="164"/>
      <c r="T66" s="164"/>
      <c r="U66" s="164"/>
      <c r="AF66" s="11"/>
      <c r="AG66" s="11"/>
      <c r="AH66" s="11"/>
      <c r="AI66" s="11"/>
      <c r="AJ66" s="11"/>
      <c r="AK66" s="11"/>
      <c r="AL66" s="11"/>
    </row>
    <row r="67" spans="1:38" x14ac:dyDescent="0.25">
      <c r="A67" s="38">
        <f>+Données!A67</f>
        <v>5503</v>
      </c>
      <c r="B67" s="184" t="str">
        <f>+Données!B67</f>
        <v>Vufflens-la-Ville</v>
      </c>
      <c r="C67" s="173">
        <f>+Ecrêtage!C67</f>
        <v>75815.146368159199</v>
      </c>
      <c r="D67" s="171"/>
      <c r="E67" s="173">
        <f>Données!AF67+Données!AG67+Données!AH67</f>
        <v>457983</v>
      </c>
      <c r="F67" s="171">
        <f t="shared" si="3"/>
        <v>606521.1709452736</v>
      </c>
      <c r="G67" s="8">
        <f t="shared" si="4"/>
        <v>0</v>
      </c>
      <c r="H67" s="240">
        <f t="shared" si="5"/>
        <v>0</v>
      </c>
      <c r="J67" s="8">
        <f>Données!AN67</f>
        <v>45663</v>
      </c>
      <c r="K67" s="154">
        <f t="shared" si="6"/>
        <v>75815.146368159199</v>
      </c>
      <c r="L67" s="12">
        <f t="shared" si="7"/>
        <v>0</v>
      </c>
      <c r="M67" s="240">
        <f t="shared" si="8"/>
        <v>0</v>
      </c>
      <c r="O67" s="42">
        <f t="shared" si="9"/>
        <v>0</v>
      </c>
      <c r="P67" s="200"/>
      <c r="Q67" s="164"/>
      <c r="R67" s="164"/>
      <c r="S67" s="164"/>
      <c r="T67" s="164"/>
      <c r="U67" s="164"/>
      <c r="AF67" s="11"/>
      <c r="AG67" s="11"/>
      <c r="AH67" s="11"/>
      <c r="AI67" s="11"/>
      <c r="AJ67" s="11"/>
      <c r="AK67" s="11"/>
      <c r="AL67" s="11"/>
    </row>
    <row r="68" spans="1:38" x14ac:dyDescent="0.25">
      <c r="A68" s="38">
        <f>+Données!A68</f>
        <v>5511</v>
      </c>
      <c r="B68" s="184" t="str">
        <f>+Données!B68</f>
        <v>Assens</v>
      </c>
      <c r="C68" s="173">
        <f>+Ecrêtage!C68</f>
        <v>72829.098714285734</v>
      </c>
      <c r="D68" s="171"/>
      <c r="E68" s="173">
        <f>Données!AF68+Données!AG68+Données!AH68</f>
        <v>916731</v>
      </c>
      <c r="F68" s="171">
        <f t="shared" si="3"/>
        <v>582632.78971428587</v>
      </c>
      <c r="G68" s="8">
        <f t="shared" si="4"/>
        <v>334098.21028571413</v>
      </c>
      <c r="H68" s="240">
        <f t="shared" si="5"/>
        <v>-248891.19695228821</v>
      </c>
      <c r="J68" s="8">
        <f>Données!AN68</f>
        <v>-24545</v>
      </c>
      <c r="K68" s="154">
        <f t="shared" si="6"/>
        <v>72829.098714285734</v>
      </c>
      <c r="L68" s="12">
        <f t="shared" si="7"/>
        <v>0</v>
      </c>
      <c r="M68" s="240">
        <f t="shared" si="8"/>
        <v>0</v>
      </c>
      <c r="O68" s="42">
        <f t="shared" si="9"/>
        <v>-248891.19695228821</v>
      </c>
      <c r="P68" s="200"/>
      <c r="Q68" s="164"/>
      <c r="R68" s="164"/>
      <c r="S68" s="164"/>
      <c r="T68" s="164"/>
      <c r="U68" s="164"/>
      <c r="AF68" s="11"/>
      <c r="AG68" s="11"/>
      <c r="AH68" s="11"/>
      <c r="AI68" s="11"/>
      <c r="AJ68" s="11"/>
      <c r="AK68" s="11"/>
      <c r="AL68" s="11"/>
    </row>
    <row r="69" spans="1:38" x14ac:dyDescent="0.25">
      <c r="A69" s="38">
        <f>+Données!A69</f>
        <v>5512</v>
      </c>
      <c r="B69" s="184" t="str">
        <f>+Données!B69</f>
        <v>Bercher</v>
      </c>
      <c r="C69" s="173">
        <f>+Ecrêtage!C69</f>
        <v>41197.962531645571</v>
      </c>
      <c r="D69" s="171"/>
      <c r="E69" s="173">
        <f>Données!AF69+Données!AG69+Données!AH69</f>
        <v>654369</v>
      </c>
      <c r="F69" s="171">
        <f t="shared" si="3"/>
        <v>329583.70025316457</v>
      </c>
      <c r="G69" s="8">
        <f t="shared" si="4"/>
        <v>324785.29974683543</v>
      </c>
      <c r="H69" s="240">
        <f t="shared" si="5"/>
        <v>-241953.41225374441</v>
      </c>
      <c r="J69" s="8">
        <f>Données!AN69</f>
        <v>16074</v>
      </c>
      <c r="K69" s="154">
        <f t="shared" si="6"/>
        <v>41197.962531645571</v>
      </c>
      <c r="L69" s="12">
        <f t="shared" si="7"/>
        <v>0</v>
      </c>
      <c r="M69" s="240">
        <f t="shared" si="8"/>
        <v>0</v>
      </c>
      <c r="O69" s="42">
        <f t="shared" si="9"/>
        <v>-241953.41225374441</v>
      </c>
      <c r="P69" s="200"/>
      <c r="Q69" s="164"/>
      <c r="R69" s="164"/>
      <c r="S69" s="164"/>
      <c r="T69" s="164"/>
      <c r="U69" s="164"/>
      <c r="AF69" s="11"/>
      <c r="AG69" s="11"/>
      <c r="AH69" s="11"/>
      <c r="AI69" s="11"/>
      <c r="AJ69" s="11"/>
      <c r="AK69" s="11"/>
      <c r="AL69" s="11"/>
    </row>
    <row r="70" spans="1:38" x14ac:dyDescent="0.25">
      <c r="A70" s="38">
        <f>+Données!A70</f>
        <v>5514</v>
      </c>
      <c r="B70" s="184" t="str">
        <f>+Données!B70</f>
        <v>Bottens</v>
      </c>
      <c r="C70" s="173">
        <f>+Ecrêtage!C70</f>
        <v>45711.625241379304</v>
      </c>
      <c r="D70" s="171"/>
      <c r="E70" s="173">
        <f>Données!AF70+Données!AG70+Données!AH70</f>
        <v>404162</v>
      </c>
      <c r="F70" s="171">
        <f t="shared" si="3"/>
        <v>365693.00193103444</v>
      </c>
      <c r="G70" s="8">
        <f t="shared" si="4"/>
        <v>38468.998068965564</v>
      </c>
      <c r="H70" s="240">
        <f t="shared" si="5"/>
        <v>-28658.025335580518</v>
      </c>
      <c r="J70" s="8">
        <f>Données!AN70</f>
        <v>63754</v>
      </c>
      <c r="K70" s="154">
        <f t="shared" si="6"/>
        <v>45711.625241379304</v>
      </c>
      <c r="L70" s="12">
        <f t="shared" si="7"/>
        <v>18042.374758620696</v>
      </c>
      <c r="M70" s="240">
        <f t="shared" si="8"/>
        <v>-13440.922792416624</v>
      </c>
      <c r="O70" s="42">
        <f t="shared" si="9"/>
        <v>-42098.948127997144</v>
      </c>
      <c r="P70" s="200"/>
      <c r="Q70" s="164"/>
      <c r="R70" s="164"/>
      <c r="S70" s="164"/>
      <c r="T70" s="164"/>
      <c r="U70" s="164"/>
      <c r="AF70" s="11"/>
      <c r="AG70" s="11"/>
      <c r="AH70" s="11"/>
      <c r="AI70" s="11"/>
      <c r="AJ70" s="11"/>
      <c r="AK70" s="11"/>
      <c r="AL70" s="11"/>
    </row>
    <row r="71" spans="1:38" x14ac:dyDescent="0.25">
      <c r="A71" s="38">
        <f>+Données!A71</f>
        <v>5515</v>
      </c>
      <c r="B71" s="184" t="str">
        <f>+Données!B71</f>
        <v>Bretigny-sur-Morrens</v>
      </c>
      <c r="C71" s="173">
        <f>+Ecrêtage!C71</f>
        <v>29284.807179487179</v>
      </c>
      <c r="D71" s="171"/>
      <c r="E71" s="173">
        <f>Données!AF71+Données!AG71+Données!AH71</f>
        <v>292727</v>
      </c>
      <c r="F71" s="171">
        <f t="shared" ref="F71:F134" si="10">+C71*$G$5</f>
        <v>234278.45743589744</v>
      </c>
      <c r="G71" s="8">
        <f t="shared" ref="G71:G134" si="11">IF(E71&gt;F71,E71-F71,0)</f>
        <v>58448.542564102565</v>
      </c>
      <c r="H71" s="240">
        <f t="shared" ref="H71:H134" si="12">-G71*H$5</f>
        <v>-43542.070178872462</v>
      </c>
      <c r="J71" s="8">
        <f>Données!AN71</f>
        <v>9480</v>
      </c>
      <c r="K71" s="154">
        <f t="shared" ref="K71:K134" si="13">C71*L$5</f>
        <v>29284.807179487179</v>
      </c>
      <c r="L71" s="12">
        <f t="shared" ref="L71:L134" si="14">IF(J71&gt;K71,J71-K71,0)</f>
        <v>0</v>
      </c>
      <c r="M71" s="240">
        <f t="shared" ref="M71:M134" si="15">-L71*M$5</f>
        <v>0</v>
      </c>
      <c r="O71" s="42">
        <f t="shared" ref="O71:O134" si="16">M71+H71</f>
        <v>-43542.070178872462</v>
      </c>
      <c r="P71" s="200"/>
      <c r="Q71" s="164"/>
      <c r="R71" s="164"/>
      <c r="S71" s="164"/>
      <c r="T71" s="164"/>
      <c r="U71" s="164"/>
      <c r="AF71" s="11"/>
      <c r="AG71" s="11"/>
      <c r="AH71" s="11"/>
      <c r="AI71" s="11"/>
      <c r="AJ71" s="11"/>
      <c r="AK71" s="11"/>
      <c r="AL71" s="11"/>
    </row>
    <row r="72" spans="1:38" x14ac:dyDescent="0.25">
      <c r="A72" s="38">
        <f>+Données!A72</f>
        <v>5516</v>
      </c>
      <c r="B72" s="184" t="str">
        <f>+Données!B72</f>
        <v>Cugy</v>
      </c>
      <c r="C72" s="173">
        <f>+Ecrêtage!C72</f>
        <v>110286.19364035087</v>
      </c>
      <c r="D72" s="171"/>
      <c r="E72" s="173">
        <f>Données!AF72+Données!AG72+Données!AH72</f>
        <v>1136169</v>
      </c>
      <c r="F72" s="171">
        <f t="shared" si="10"/>
        <v>882289.54912280699</v>
      </c>
      <c r="G72" s="8">
        <f t="shared" si="11"/>
        <v>253879.45087719301</v>
      </c>
      <c r="H72" s="240">
        <f t="shared" si="12"/>
        <v>-189131.09518418793</v>
      </c>
      <c r="J72" s="8">
        <f>Données!AN72</f>
        <v>15284</v>
      </c>
      <c r="K72" s="154">
        <f t="shared" si="13"/>
        <v>110286.19364035087</v>
      </c>
      <c r="L72" s="12">
        <f t="shared" si="14"/>
        <v>0</v>
      </c>
      <c r="M72" s="240">
        <f t="shared" si="15"/>
        <v>0</v>
      </c>
      <c r="O72" s="42">
        <f t="shared" si="16"/>
        <v>-189131.09518418793</v>
      </c>
      <c r="P72" s="200"/>
      <c r="Q72" s="164"/>
      <c r="R72" s="164"/>
      <c r="S72" s="164"/>
      <c r="T72" s="164"/>
      <c r="U72" s="164"/>
      <c r="AF72" s="11"/>
      <c r="AG72" s="11"/>
      <c r="AH72" s="11"/>
      <c r="AI72" s="11"/>
      <c r="AJ72" s="11"/>
      <c r="AK72" s="11"/>
      <c r="AL72" s="11"/>
    </row>
    <row r="73" spans="1:38" x14ac:dyDescent="0.25">
      <c r="A73" s="38">
        <f>+Données!A73</f>
        <v>5518</v>
      </c>
      <c r="B73" s="184" t="str">
        <f>+Données!B73</f>
        <v>Echallens</v>
      </c>
      <c r="C73" s="173">
        <f>+Ecrêtage!C73</f>
        <v>193272.16565517243</v>
      </c>
      <c r="D73" s="171"/>
      <c r="E73" s="173">
        <f>Données!AF73+Données!AG73+Données!AH73</f>
        <v>3468283</v>
      </c>
      <c r="F73" s="171">
        <f t="shared" si="10"/>
        <v>1546177.3252413794</v>
      </c>
      <c r="G73" s="8">
        <f t="shared" si="11"/>
        <v>1922105.6747586206</v>
      </c>
      <c r="H73" s="240">
        <f t="shared" si="12"/>
        <v>-1431899.8645648076</v>
      </c>
      <c r="J73" s="8">
        <f>Données!AN73</f>
        <v>91227</v>
      </c>
      <c r="K73" s="154">
        <f t="shared" si="13"/>
        <v>193272.16565517243</v>
      </c>
      <c r="L73" s="12">
        <f t="shared" si="14"/>
        <v>0</v>
      </c>
      <c r="M73" s="240">
        <f t="shared" si="15"/>
        <v>0</v>
      </c>
      <c r="O73" s="42">
        <f t="shared" si="16"/>
        <v>-1431899.8645648076</v>
      </c>
      <c r="P73" s="200"/>
      <c r="Q73" s="164"/>
      <c r="R73" s="164"/>
      <c r="S73" s="164"/>
      <c r="T73" s="164"/>
      <c r="U73" s="164"/>
      <c r="AF73" s="11"/>
      <c r="AG73" s="11"/>
      <c r="AH73" s="11"/>
      <c r="AI73" s="11"/>
      <c r="AJ73" s="11"/>
      <c r="AK73" s="11"/>
      <c r="AL73" s="11"/>
    </row>
    <row r="74" spans="1:38" x14ac:dyDescent="0.25">
      <c r="A74" s="38">
        <f>+Données!A74</f>
        <v>5520</v>
      </c>
      <c r="B74" s="184" t="str">
        <f>+Données!B74</f>
        <v>Essertines-sur-Yverdon</v>
      </c>
      <c r="C74" s="173">
        <f>+Ecrêtage!C74</f>
        <v>31421.603918918918</v>
      </c>
      <c r="D74" s="171"/>
      <c r="E74" s="173">
        <f>Données!AF74+Données!AG74+Données!AH74</f>
        <v>723100</v>
      </c>
      <c r="F74" s="171">
        <f t="shared" si="10"/>
        <v>251372.83135135134</v>
      </c>
      <c r="G74" s="8">
        <f t="shared" si="11"/>
        <v>471727.16864864866</v>
      </c>
      <c r="H74" s="240">
        <f t="shared" si="12"/>
        <v>-351419.84011069825</v>
      </c>
      <c r="J74" s="8">
        <f>Données!AN74</f>
        <v>85517</v>
      </c>
      <c r="K74" s="154">
        <f t="shared" si="13"/>
        <v>31421.603918918918</v>
      </c>
      <c r="L74" s="12">
        <f t="shared" si="14"/>
        <v>54095.396081081082</v>
      </c>
      <c r="M74" s="240">
        <f t="shared" si="15"/>
        <v>-40299.13200886159</v>
      </c>
      <c r="O74" s="42">
        <f t="shared" si="16"/>
        <v>-391718.97211955982</v>
      </c>
      <c r="P74" s="200"/>
      <c r="Q74" s="164"/>
      <c r="R74" s="164"/>
      <c r="S74" s="164"/>
      <c r="T74" s="164"/>
      <c r="U74" s="164"/>
      <c r="AF74" s="11"/>
      <c r="AG74" s="11"/>
      <c r="AH74" s="11"/>
      <c r="AI74" s="11"/>
      <c r="AJ74" s="11"/>
      <c r="AK74" s="11"/>
      <c r="AL74" s="11"/>
    </row>
    <row r="75" spans="1:38" x14ac:dyDescent="0.25">
      <c r="A75" s="38">
        <f>+Données!A75</f>
        <v>5521</v>
      </c>
      <c r="B75" s="184" t="str">
        <f>+Données!B75</f>
        <v>Etagnières</v>
      </c>
      <c r="C75" s="173">
        <f>+Ecrêtage!C75</f>
        <v>47186.910273972615</v>
      </c>
      <c r="D75" s="171"/>
      <c r="E75" s="173">
        <f>Données!AF75+Données!AG75+Données!AH75</f>
        <v>464791</v>
      </c>
      <c r="F75" s="171">
        <f t="shared" si="10"/>
        <v>377495.28219178092</v>
      </c>
      <c r="G75" s="8">
        <f t="shared" si="11"/>
        <v>87295.71780821908</v>
      </c>
      <c r="H75" s="240">
        <f t="shared" si="12"/>
        <v>-65032.182230237682</v>
      </c>
      <c r="J75" s="8">
        <f>Données!AN75</f>
        <v>-1717</v>
      </c>
      <c r="K75" s="154">
        <f t="shared" si="13"/>
        <v>47186.910273972615</v>
      </c>
      <c r="L75" s="12">
        <f t="shared" si="14"/>
        <v>0</v>
      </c>
      <c r="M75" s="240">
        <f t="shared" si="15"/>
        <v>0</v>
      </c>
      <c r="O75" s="42">
        <f t="shared" si="16"/>
        <v>-65032.182230237682</v>
      </c>
      <c r="P75" s="200"/>
      <c r="Q75" s="164"/>
      <c r="R75" s="164"/>
      <c r="S75" s="164"/>
      <c r="T75" s="164"/>
      <c r="U75" s="164"/>
      <c r="AF75" s="11"/>
      <c r="AG75" s="11"/>
      <c r="AH75" s="11"/>
      <c r="AI75" s="11"/>
      <c r="AJ75" s="11"/>
      <c r="AK75" s="11"/>
      <c r="AL75" s="11"/>
    </row>
    <row r="76" spans="1:38" x14ac:dyDescent="0.25">
      <c r="A76" s="38">
        <f>+Données!A76</f>
        <v>5522</v>
      </c>
      <c r="B76" s="184" t="str">
        <f>+Données!B76</f>
        <v>Fey</v>
      </c>
      <c r="C76" s="173">
        <f>+Ecrêtage!C76</f>
        <v>24171.660400000001</v>
      </c>
      <c r="D76" s="171"/>
      <c r="E76" s="173">
        <f>Données!AF76+Données!AG76+Données!AH76</f>
        <v>365045</v>
      </c>
      <c r="F76" s="171">
        <f t="shared" si="10"/>
        <v>193373.28320000001</v>
      </c>
      <c r="G76" s="8">
        <f t="shared" si="11"/>
        <v>171671.71679999999</v>
      </c>
      <c r="H76" s="240">
        <f t="shared" si="12"/>
        <v>-127889.27854676764</v>
      </c>
      <c r="J76" s="8">
        <f>Données!AN76</f>
        <v>22928</v>
      </c>
      <c r="K76" s="154">
        <f t="shared" si="13"/>
        <v>24171.660400000001</v>
      </c>
      <c r="L76" s="12">
        <f t="shared" si="14"/>
        <v>0</v>
      </c>
      <c r="M76" s="240">
        <f t="shared" si="15"/>
        <v>0</v>
      </c>
      <c r="O76" s="42">
        <f t="shared" si="16"/>
        <v>-127889.27854676764</v>
      </c>
      <c r="P76" s="200"/>
      <c r="Q76" s="164"/>
      <c r="R76" s="164"/>
      <c r="S76" s="164"/>
      <c r="T76" s="164"/>
      <c r="U76" s="164"/>
      <c r="AF76" s="11"/>
      <c r="AG76" s="11"/>
      <c r="AH76" s="11"/>
      <c r="AI76" s="11"/>
      <c r="AJ76" s="11"/>
      <c r="AK76" s="11"/>
      <c r="AL76" s="11"/>
    </row>
    <row r="77" spans="1:38" x14ac:dyDescent="0.25">
      <c r="A77" s="38">
        <f>+Données!A77</f>
        <v>5523</v>
      </c>
      <c r="B77" s="184" t="str">
        <f>+Données!B77</f>
        <v>Froideville</v>
      </c>
      <c r="C77" s="173">
        <f>+Ecrêtage!C77</f>
        <v>92223.451805555553</v>
      </c>
      <c r="D77" s="171"/>
      <c r="E77" s="173">
        <f>Données!AF77+Données!AG77+Données!AH77</f>
        <v>874087</v>
      </c>
      <c r="F77" s="171">
        <f t="shared" si="10"/>
        <v>737787.61444444442</v>
      </c>
      <c r="G77" s="8">
        <f t="shared" si="11"/>
        <v>136299.38555555558</v>
      </c>
      <c r="H77" s="240">
        <f t="shared" si="12"/>
        <v>-101538.15905141416</v>
      </c>
      <c r="J77" s="8">
        <f>Données!AN77</f>
        <v>-53661</v>
      </c>
      <c r="K77" s="154">
        <f t="shared" si="13"/>
        <v>92223.451805555553</v>
      </c>
      <c r="L77" s="12">
        <f t="shared" si="14"/>
        <v>0</v>
      </c>
      <c r="M77" s="240">
        <f t="shared" si="15"/>
        <v>0</v>
      </c>
      <c r="O77" s="42">
        <f t="shared" si="16"/>
        <v>-101538.15905141416</v>
      </c>
      <c r="P77" s="200"/>
      <c r="Q77" s="164"/>
      <c r="R77" s="164"/>
      <c r="S77" s="164"/>
      <c r="T77" s="164"/>
      <c r="U77" s="164"/>
      <c r="AF77" s="11"/>
      <c r="AG77" s="11"/>
      <c r="AH77" s="11"/>
      <c r="AI77" s="11"/>
      <c r="AJ77" s="11"/>
      <c r="AK77" s="11"/>
      <c r="AL77" s="11"/>
    </row>
    <row r="78" spans="1:38" x14ac:dyDescent="0.25">
      <c r="A78" s="38">
        <f>+Données!A78</f>
        <v>5527</v>
      </c>
      <c r="B78" s="184" t="str">
        <f>+Données!B78</f>
        <v>Morrens</v>
      </c>
      <c r="C78" s="173">
        <f>+Ecrêtage!C78</f>
        <v>40722.210135135138</v>
      </c>
      <c r="D78" s="171"/>
      <c r="E78" s="173">
        <f>Données!AF78+Données!AG78+Données!AH78</f>
        <v>336192</v>
      </c>
      <c r="F78" s="171">
        <f t="shared" si="10"/>
        <v>325777.6810810811</v>
      </c>
      <c r="G78" s="8">
        <f t="shared" si="11"/>
        <v>10414.3189189189</v>
      </c>
      <c r="H78" s="240">
        <f t="shared" si="12"/>
        <v>-7758.294481601476</v>
      </c>
      <c r="J78" s="8">
        <f>Données!AN78</f>
        <v>26098</v>
      </c>
      <c r="K78" s="154">
        <f t="shared" si="13"/>
        <v>40722.210135135138</v>
      </c>
      <c r="L78" s="12">
        <f t="shared" si="14"/>
        <v>0</v>
      </c>
      <c r="M78" s="240">
        <f t="shared" si="15"/>
        <v>0</v>
      </c>
      <c r="O78" s="42">
        <f t="shared" si="16"/>
        <v>-7758.294481601476</v>
      </c>
      <c r="P78" s="200"/>
      <c r="Q78" s="164"/>
      <c r="R78" s="164"/>
      <c r="S78" s="164"/>
      <c r="T78" s="164"/>
      <c r="U78" s="164"/>
      <c r="AF78" s="11"/>
      <c r="AG78" s="11"/>
      <c r="AH78" s="11"/>
      <c r="AI78" s="11"/>
      <c r="AJ78" s="11"/>
      <c r="AK78" s="11"/>
      <c r="AL78" s="11"/>
    </row>
    <row r="79" spans="1:38" x14ac:dyDescent="0.25">
      <c r="A79" s="38">
        <f>+Données!A79</f>
        <v>5529</v>
      </c>
      <c r="B79" s="184" t="str">
        <f>+Données!B79</f>
        <v>Oulens-sous-Echallens</v>
      </c>
      <c r="C79" s="173">
        <f>+Ecrêtage!C79</f>
        <v>22676.673521126762</v>
      </c>
      <c r="D79" s="171"/>
      <c r="E79" s="173">
        <f>Données!AF79+Données!AG79+Données!AH79</f>
        <v>304934</v>
      </c>
      <c r="F79" s="171">
        <f t="shared" si="10"/>
        <v>181413.3881690141</v>
      </c>
      <c r="G79" s="8">
        <f t="shared" si="11"/>
        <v>123520.6118309859</v>
      </c>
      <c r="H79" s="240">
        <f t="shared" si="12"/>
        <v>-92018.430450741085</v>
      </c>
      <c r="J79" s="8">
        <f>Données!AN79</f>
        <v>-16588</v>
      </c>
      <c r="K79" s="154">
        <f t="shared" si="13"/>
        <v>22676.673521126762</v>
      </c>
      <c r="L79" s="12">
        <f t="shared" si="14"/>
        <v>0</v>
      </c>
      <c r="M79" s="240">
        <f t="shared" si="15"/>
        <v>0</v>
      </c>
      <c r="O79" s="42">
        <f t="shared" si="16"/>
        <v>-92018.430450741085</v>
      </c>
      <c r="P79" s="200"/>
      <c r="Q79" s="164"/>
      <c r="R79" s="164"/>
      <c r="S79" s="164"/>
      <c r="T79" s="164"/>
      <c r="U79" s="164"/>
      <c r="AF79" s="11"/>
      <c r="AG79" s="11"/>
      <c r="AH79" s="11"/>
      <c r="AI79" s="11"/>
      <c r="AJ79" s="11"/>
      <c r="AK79" s="11"/>
      <c r="AL79" s="11"/>
    </row>
    <row r="80" spans="1:38" x14ac:dyDescent="0.25">
      <c r="A80" s="38">
        <f>+Données!A80</f>
        <v>5530</v>
      </c>
      <c r="B80" s="184" t="str">
        <f>+Données!B80</f>
        <v>Pailly</v>
      </c>
      <c r="C80" s="173">
        <f>+Ecrêtage!C80</f>
        <v>20358.644320175437</v>
      </c>
      <c r="D80" s="171"/>
      <c r="E80" s="173">
        <f>Données!AF80+Données!AG80+Données!AH80</f>
        <v>256387</v>
      </c>
      <c r="F80" s="171">
        <f t="shared" si="10"/>
        <v>162869.1545614035</v>
      </c>
      <c r="G80" s="8">
        <f t="shared" si="11"/>
        <v>93517.845438596501</v>
      </c>
      <c r="H80" s="240">
        <f t="shared" si="12"/>
        <v>-69667.444395186671</v>
      </c>
      <c r="J80" s="8">
        <f>Données!AN80</f>
        <v>34262</v>
      </c>
      <c r="K80" s="154">
        <f t="shared" si="13"/>
        <v>20358.644320175437</v>
      </c>
      <c r="L80" s="12">
        <f t="shared" si="14"/>
        <v>13903.355679824563</v>
      </c>
      <c r="M80" s="240">
        <f t="shared" si="15"/>
        <v>-10357.501867027799</v>
      </c>
      <c r="O80" s="42">
        <f t="shared" si="16"/>
        <v>-80024.946262214464</v>
      </c>
      <c r="P80" s="200"/>
      <c r="Q80" s="164"/>
      <c r="R80" s="164"/>
      <c r="S80" s="164"/>
      <c r="T80" s="164"/>
      <c r="U80" s="164"/>
      <c r="AF80" s="11"/>
      <c r="AG80" s="11"/>
      <c r="AH80" s="11"/>
      <c r="AI80" s="11"/>
      <c r="AJ80" s="11"/>
      <c r="AK80" s="11"/>
      <c r="AL80" s="11"/>
    </row>
    <row r="81" spans="1:38" x14ac:dyDescent="0.25">
      <c r="A81" s="38">
        <f>+Données!A81</f>
        <v>5531</v>
      </c>
      <c r="B81" s="184" t="str">
        <f>+Données!B81</f>
        <v>Penthéréaz</v>
      </c>
      <c r="C81" s="173">
        <f>+Ecrêtage!C81</f>
        <v>17299.265810810808</v>
      </c>
      <c r="D81" s="171"/>
      <c r="E81" s="173">
        <f>Données!AF81+Données!AG81+Données!AH81</f>
        <v>193480</v>
      </c>
      <c r="F81" s="171">
        <f t="shared" si="10"/>
        <v>138394.12648648646</v>
      </c>
      <c r="G81" s="8">
        <f t="shared" si="11"/>
        <v>55085.873513513536</v>
      </c>
      <c r="H81" s="240">
        <f t="shared" si="12"/>
        <v>-41037.002210265906</v>
      </c>
      <c r="J81" s="8">
        <f>Données!AN81</f>
        <v>27045</v>
      </c>
      <c r="K81" s="154">
        <f t="shared" si="13"/>
        <v>17299.265810810808</v>
      </c>
      <c r="L81" s="12">
        <f t="shared" si="14"/>
        <v>9745.734189189192</v>
      </c>
      <c r="M81" s="240">
        <f t="shared" si="15"/>
        <v>-7260.2228112859029</v>
      </c>
      <c r="O81" s="42">
        <f t="shared" si="16"/>
        <v>-48297.225021551807</v>
      </c>
      <c r="P81" s="200"/>
      <c r="Q81" s="164"/>
      <c r="R81" s="164"/>
      <c r="S81" s="164"/>
      <c r="T81" s="164"/>
      <c r="U81" s="164"/>
      <c r="AF81" s="11"/>
      <c r="AG81" s="11"/>
      <c r="AH81" s="11"/>
      <c r="AI81" s="11"/>
      <c r="AJ81" s="11"/>
      <c r="AK81" s="11"/>
      <c r="AL81" s="11"/>
    </row>
    <row r="82" spans="1:38" x14ac:dyDescent="0.25">
      <c r="A82" s="38">
        <f>+Données!A82</f>
        <v>5533</v>
      </c>
      <c r="B82" s="184" t="str">
        <f>+Données!B82</f>
        <v>Poliez-Pittet</v>
      </c>
      <c r="C82" s="173">
        <f>+Ecrêtage!C82</f>
        <v>28011.409726027396</v>
      </c>
      <c r="D82" s="171"/>
      <c r="E82" s="173">
        <f>Données!AF82+Données!AG82+Données!AH82</f>
        <v>311652</v>
      </c>
      <c r="F82" s="171">
        <f t="shared" si="10"/>
        <v>224091.27780821917</v>
      </c>
      <c r="G82" s="8">
        <f t="shared" si="11"/>
        <v>87560.722191780835</v>
      </c>
      <c r="H82" s="240">
        <f t="shared" si="12"/>
        <v>-65229.601001699768</v>
      </c>
      <c r="J82" s="8">
        <f>Données!AN82</f>
        <v>41318</v>
      </c>
      <c r="K82" s="154">
        <f t="shared" si="13"/>
        <v>28011.409726027396</v>
      </c>
      <c r="L82" s="12">
        <f t="shared" si="14"/>
        <v>13306.590273972604</v>
      </c>
      <c r="M82" s="240">
        <f t="shared" si="15"/>
        <v>-9912.9330199358246</v>
      </c>
      <c r="O82" s="42">
        <f t="shared" si="16"/>
        <v>-75142.534021635598</v>
      </c>
      <c r="P82" s="200"/>
      <c r="Q82" s="164"/>
      <c r="R82" s="164"/>
      <c r="S82" s="164"/>
      <c r="T82" s="164"/>
      <c r="U82" s="164"/>
      <c r="AF82" s="11"/>
      <c r="AG82" s="11"/>
      <c r="AH82" s="11"/>
      <c r="AI82" s="11"/>
      <c r="AJ82" s="11"/>
      <c r="AK82" s="11"/>
      <c r="AL82" s="11"/>
    </row>
    <row r="83" spans="1:38" x14ac:dyDescent="0.25">
      <c r="A83" s="38">
        <f>+Données!A83</f>
        <v>5534</v>
      </c>
      <c r="B83" s="184" t="str">
        <f>+Données!B83</f>
        <v>Rueyres</v>
      </c>
      <c r="C83" s="173">
        <f>+Ecrêtage!C83</f>
        <v>15039.569474885846</v>
      </c>
      <c r="D83" s="171"/>
      <c r="E83" s="173">
        <f>Données!AF83+Données!AG83+Données!AH83</f>
        <v>89859</v>
      </c>
      <c r="F83" s="171">
        <f t="shared" si="10"/>
        <v>120316.55579908677</v>
      </c>
      <c r="G83" s="8">
        <f t="shared" si="11"/>
        <v>0</v>
      </c>
      <c r="H83" s="240">
        <f t="shared" si="12"/>
        <v>0</v>
      </c>
      <c r="J83" s="8">
        <f>Données!AN83</f>
        <v>10514</v>
      </c>
      <c r="K83" s="154">
        <f t="shared" si="13"/>
        <v>15039.569474885846</v>
      </c>
      <c r="L83" s="12">
        <f t="shared" si="14"/>
        <v>0</v>
      </c>
      <c r="M83" s="240">
        <f t="shared" si="15"/>
        <v>0</v>
      </c>
      <c r="O83" s="42">
        <f t="shared" si="16"/>
        <v>0</v>
      </c>
      <c r="P83" s="200"/>
      <c r="Q83" s="164"/>
      <c r="R83" s="164"/>
      <c r="S83" s="164"/>
      <c r="T83" s="164"/>
      <c r="U83" s="164"/>
      <c r="AF83" s="11"/>
      <c r="AG83" s="11"/>
      <c r="AH83" s="11"/>
      <c r="AI83" s="11"/>
      <c r="AJ83" s="11"/>
      <c r="AK83" s="11"/>
      <c r="AL83" s="11"/>
    </row>
    <row r="84" spans="1:38" x14ac:dyDescent="0.25">
      <c r="A84" s="38">
        <f>+Données!A84</f>
        <v>5535</v>
      </c>
      <c r="B84" s="184" t="str">
        <f>+Données!B84</f>
        <v>Saint-Barthélemy</v>
      </c>
      <c r="C84" s="173">
        <f>+Ecrêtage!C84</f>
        <v>25492.320666666663</v>
      </c>
      <c r="D84" s="171"/>
      <c r="E84" s="173">
        <f>Données!AF84+Données!AG84+Données!AH84</f>
        <v>167510</v>
      </c>
      <c r="F84" s="171">
        <f t="shared" si="10"/>
        <v>203938.5653333333</v>
      </c>
      <c r="G84" s="8">
        <f t="shared" si="11"/>
        <v>0</v>
      </c>
      <c r="H84" s="240">
        <f t="shared" si="12"/>
        <v>0</v>
      </c>
      <c r="J84" s="8">
        <f>Données!AN84</f>
        <v>-12559</v>
      </c>
      <c r="K84" s="154">
        <f t="shared" si="13"/>
        <v>25492.320666666663</v>
      </c>
      <c r="L84" s="12">
        <f t="shared" si="14"/>
        <v>0</v>
      </c>
      <c r="M84" s="240">
        <f t="shared" si="15"/>
        <v>0</v>
      </c>
      <c r="O84" s="42">
        <f t="shared" si="16"/>
        <v>0</v>
      </c>
      <c r="P84" s="200"/>
      <c r="Q84" s="164"/>
      <c r="R84" s="164"/>
      <c r="S84" s="164"/>
      <c r="T84" s="164"/>
      <c r="U84" s="164"/>
      <c r="AF84" s="11"/>
      <c r="AG84" s="11"/>
      <c r="AH84" s="11"/>
      <c r="AI84" s="11"/>
      <c r="AJ84" s="11"/>
      <c r="AK84" s="11"/>
      <c r="AL84" s="11"/>
    </row>
    <row r="85" spans="1:38" x14ac:dyDescent="0.25">
      <c r="A85" s="38">
        <f>+Données!A85</f>
        <v>5537</v>
      </c>
      <c r="B85" s="184" t="str">
        <f>+Données!B85</f>
        <v>Villars-le-Terroir</v>
      </c>
      <c r="C85" s="173">
        <f>+Ecrêtage!C85</f>
        <v>39162.025657894737</v>
      </c>
      <c r="D85" s="171"/>
      <c r="E85" s="173">
        <f>Données!AF85+Données!AG85+Données!AH85</f>
        <v>416992</v>
      </c>
      <c r="F85" s="171">
        <f t="shared" si="10"/>
        <v>313296.2052631579</v>
      </c>
      <c r="G85" s="8">
        <f t="shared" si="11"/>
        <v>103695.7947368421</v>
      </c>
      <c r="H85" s="240">
        <f t="shared" si="12"/>
        <v>-77249.651977782531</v>
      </c>
      <c r="J85" s="8">
        <f>Données!AN85</f>
        <v>20517</v>
      </c>
      <c r="K85" s="154">
        <f t="shared" si="13"/>
        <v>39162.025657894737</v>
      </c>
      <c r="L85" s="12">
        <f t="shared" si="14"/>
        <v>0</v>
      </c>
      <c r="M85" s="240">
        <f t="shared" si="15"/>
        <v>0</v>
      </c>
      <c r="O85" s="42">
        <f t="shared" si="16"/>
        <v>-77249.651977782531</v>
      </c>
      <c r="P85" s="200"/>
      <c r="Q85" s="164"/>
      <c r="R85" s="164"/>
      <c r="S85" s="164"/>
      <c r="T85" s="164"/>
      <c r="U85" s="164"/>
      <c r="AF85" s="11"/>
      <c r="AG85" s="11"/>
      <c r="AH85" s="11"/>
      <c r="AI85" s="11"/>
      <c r="AJ85" s="11"/>
      <c r="AK85" s="11"/>
      <c r="AL85" s="11"/>
    </row>
    <row r="86" spans="1:38" x14ac:dyDescent="0.25">
      <c r="A86" s="38">
        <f>+Données!A86</f>
        <v>5539</v>
      </c>
      <c r="B86" s="184" t="str">
        <f>+Données!B86</f>
        <v>Vuarrens</v>
      </c>
      <c r="C86" s="173">
        <f>+Ecrêtage!C86</f>
        <v>34442.298537414965</v>
      </c>
      <c r="D86" s="171"/>
      <c r="E86" s="173">
        <f>Données!AF86+Données!AG86+Données!AH86</f>
        <v>281354</v>
      </c>
      <c r="F86" s="171">
        <f t="shared" si="10"/>
        <v>275538.38829931972</v>
      </c>
      <c r="G86" s="8">
        <f t="shared" si="11"/>
        <v>5815.6117006802815</v>
      </c>
      <c r="H86" s="240">
        <f t="shared" si="12"/>
        <v>-4332.422361539182</v>
      </c>
      <c r="J86" s="8">
        <f>Données!AN86</f>
        <v>49692</v>
      </c>
      <c r="K86" s="154">
        <f t="shared" si="13"/>
        <v>34442.298537414965</v>
      </c>
      <c r="L86" s="12">
        <f t="shared" si="14"/>
        <v>15249.701462585035</v>
      </c>
      <c r="M86" s="240">
        <f t="shared" si="15"/>
        <v>-11360.481239758812</v>
      </c>
      <c r="O86" s="42">
        <f t="shared" si="16"/>
        <v>-15692.903601297994</v>
      </c>
      <c r="P86" s="200"/>
      <c r="Q86" s="164"/>
      <c r="R86" s="164"/>
      <c r="S86" s="164"/>
      <c r="T86" s="164"/>
      <c r="U86" s="164"/>
      <c r="AF86" s="11"/>
      <c r="AG86" s="11"/>
      <c r="AH86" s="11"/>
      <c r="AI86" s="11"/>
      <c r="AJ86" s="11"/>
      <c r="AK86" s="11"/>
      <c r="AL86" s="11"/>
    </row>
    <row r="87" spans="1:38" x14ac:dyDescent="0.25">
      <c r="A87" s="38">
        <f>+Données!A87</f>
        <v>5540</v>
      </c>
      <c r="B87" s="184" t="str">
        <f>+Données!B87</f>
        <v>Montilliez</v>
      </c>
      <c r="C87" s="173">
        <f>+Ecrêtage!C87</f>
        <v>67462.536103448278</v>
      </c>
      <c r="D87" s="171"/>
      <c r="E87" s="173">
        <f>Données!AF87+Données!AG87+Données!AH87</f>
        <v>661935</v>
      </c>
      <c r="F87" s="171">
        <f t="shared" si="10"/>
        <v>539700.28882758622</v>
      </c>
      <c r="G87" s="8">
        <f t="shared" si="11"/>
        <v>122234.71117241378</v>
      </c>
      <c r="H87" s="240">
        <f t="shared" si="12"/>
        <v>-91060.480529967637</v>
      </c>
      <c r="J87" s="8">
        <f>Données!AN87</f>
        <v>77720</v>
      </c>
      <c r="K87" s="154">
        <f t="shared" si="13"/>
        <v>67462.536103448278</v>
      </c>
      <c r="L87" s="12">
        <f t="shared" si="14"/>
        <v>10257.463896551722</v>
      </c>
      <c r="M87" s="240">
        <f t="shared" si="15"/>
        <v>-7641.4431095706032</v>
      </c>
      <c r="O87" s="42">
        <f t="shared" si="16"/>
        <v>-98701.923639538247</v>
      </c>
      <c r="P87" s="200"/>
      <c r="Q87" s="164"/>
      <c r="R87" s="164"/>
      <c r="S87" s="164"/>
      <c r="T87" s="164"/>
      <c r="U87" s="164"/>
      <c r="AF87" s="11"/>
      <c r="AG87" s="11"/>
      <c r="AH87" s="11"/>
      <c r="AI87" s="11"/>
      <c r="AJ87" s="11"/>
      <c r="AK87" s="11"/>
      <c r="AL87" s="11"/>
    </row>
    <row r="88" spans="1:38" x14ac:dyDescent="0.25">
      <c r="A88" s="38">
        <f>+Données!A88</f>
        <v>5541</v>
      </c>
      <c r="B88" s="184" t="str">
        <f>+Données!B88</f>
        <v>Goumoëns</v>
      </c>
      <c r="C88" s="173">
        <f>+Ecrêtage!C88</f>
        <v>41725.831258278151</v>
      </c>
      <c r="D88" s="171"/>
      <c r="E88" s="173">
        <f>Données!AF88+Données!AG88+Données!AH88</f>
        <v>348507</v>
      </c>
      <c r="F88" s="171">
        <f t="shared" si="10"/>
        <v>333806.65006622521</v>
      </c>
      <c r="G88" s="8">
        <f t="shared" si="11"/>
        <v>14700.349933774793</v>
      </c>
      <c r="H88" s="240">
        <f t="shared" si="12"/>
        <v>-10951.234032369633</v>
      </c>
      <c r="J88" s="8">
        <f>Données!AN88</f>
        <v>-149724</v>
      </c>
      <c r="K88" s="154">
        <f t="shared" si="13"/>
        <v>41725.831258278151</v>
      </c>
      <c r="L88" s="12">
        <f t="shared" si="14"/>
        <v>0</v>
      </c>
      <c r="M88" s="240">
        <f t="shared" si="15"/>
        <v>0</v>
      </c>
      <c r="O88" s="42">
        <f t="shared" si="16"/>
        <v>-10951.234032369633</v>
      </c>
      <c r="P88" s="200"/>
      <c r="Q88" s="164"/>
      <c r="R88" s="164"/>
      <c r="S88" s="164"/>
      <c r="T88" s="164"/>
      <c r="U88" s="164"/>
      <c r="AF88" s="11"/>
      <c r="AG88" s="11"/>
      <c r="AH88" s="11"/>
      <c r="AI88" s="11"/>
      <c r="AJ88" s="11"/>
      <c r="AK88" s="11"/>
      <c r="AL88" s="11"/>
    </row>
    <row r="89" spans="1:38" x14ac:dyDescent="0.25">
      <c r="A89" s="38">
        <f>+Données!A89</f>
        <v>5551</v>
      </c>
      <c r="B89" s="184" t="str">
        <f>+Données!B89</f>
        <v>Bonvillars</v>
      </c>
      <c r="C89" s="173">
        <f>+Ecrêtage!C89</f>
        <v>18574.407321428567</v>
      </c>
      <c r="D89" s="171"/>
      <c r="E89" s="173">
        <f>Données!AF89+Données!AG89+Données!AH89</f>
        <v>283111</v>
      </c>
      <c r="F89" s="171">
        <f t="shared" si="10"/>
        <v>148595.25857142854</v>
      </c>
      <c r="G89" s="8">
        <f t="shared" si="11"/>
        <v>134515.74142857146</v>
      </c>
      <c r="H89" s="240">
        <f t="shared" si="12"/>
        <v>-100209.40807929025</v>
      </c>
      <c r="J89" s="8">
        <f>Données!AN89</f>
        <v>39433</v>
      </c>
      <c r="K89" s="154">
        <f t="shared" si="13"/>
        <v>18574.407321428567</v>
      </c>
      <c r="L89" s="12">
        <f t="shared" si="14"/>
        <v>20858.592678571433</v>
      </c>
      <c r="M89" s="240">
        <f t="shared" si="15"/>
        <v>-15538.904246359762</v>
      </c>
      <c r="O89" s="42">
        <f t="shared" si="16"/>
        <v>-115748.31232565001</v>
      </c>
      <c r="P89" s="200"/>
      <c r="Q89" s="164"/>
      <c r="R89" s="164"/>
      <c r="S89" s="164"/>
      <c r="T89" s="164"/>
      <c r="U89" s="164"/>
      <c r="AF89" s="11"/>
      <c r="AG89" s="11"/>
      <c r="AH89" s="11"/>
      <c r="AI89" s="11"/>
      <c r="AJ89" s="11"/>
      <c r="AK89" s="11"/>
      <c r="AL89" s="11"/>
    </row>
    <row r="90" spans="1:38" x14ac:dyDescent="0.25">
      <c r="A90" s="38">
        <f>+Données!A90</f>
        <v>5552</v>
      </c>
      <c r="B90" s="184" t="str">
        <f>+Données!B90</f>
        <v>Bullet</v>
      </c>
      <c r="C90" s="173">
        <f>+Ecrêtage!C90</f>
        <v>19038.467972027971</v>
      </c>
      <c r="D90" s="171"/>
      <c r="E90" s="173">
        <f>Données!AF90+Données!AG90+Données!AH90</f>
        <v>517990</v>
      </c>
      <c r="F90" s="171">
        <f t="shared" si="10"/>
        <v>152307.74377622377</v>
      </c>
      <c r="G90" s="8">
        <f t="shared" si="11"/>
        <v>365682.25622377626</v>
      </c>
      <c r="H90" s="240">
        <f t="shared" si="12"/>
        <v>-272420.17961698968</v>
      </c>
      <c r="J90" s="8">
        <f>Données!AN90</f>
        <v>73208</v>
      </c>
      <c r="K90" s="154">
        <f t="shared" si="13"/>
        <v>19038.467972027971</v>
      </c>
      <c r="L90" s="12">
        <f t="shared" si="14"/>
        <v>54169.532027972033</v>
      </c>
      <c r="M90" s="240">
        <f t="shared" si="15"/>
        <v>-40354.360633232551</v>
      </c>
      <c r="O90" s="42">
        <f t="shared" si="16"/>
        <v>-312774.54025022226</v>
      </c>
      <c r="P90" s="200"/>
      <c r="Q90" s="164"/>
      <c r="R90" s="164"/>
      <c r="S90" s="164"/>
      <c r="T90" s="164"/>
      <c r="U90" s="164"/>
      <c r="AF90" s="11"/>
      <c r="AG90" s="11"/>
      <c r="AH90" s="11"/>
      <c r="AI90" s="11"/>
      <c r="AJ90" s="11"/>
      <c r="AK90" s="11"/>
      <c r="AL90" s="11"/>
    </row>
    <row r="91" spans="1:38" x14ac:dyDescent="0.25">
      <c r="A91" s="38">
        <f>+Données!A91</f>
        <v>5553</v>
      </c>
      <c r="B91" s="184" t="str">
        <f>+Données!B91</f>
        <v>Champagne</v>
      </c>
      <c r="C91" s="173">
        <f>+Ecrêtage!C91</f>
        <v>38261.021999999997</v>
      </c>
      <c r="D91" s="171"/>
      <c r="E91" s="173">
        <f>Données!AF91+Données!AG91+Données!AH91</f>
        <v>691471</v>
      </c>
      <c r="F91" s="171">
        <f t="shared" si="10"/>
        <v>306088.17599999998</v>
      </c>
      <c r="G91" s="8">
        <f t="shared" si="11"/>
        <v>385382.82400000002</v>
      </c>
      <c r="H91" s="240">
        <f t="shared" si="12"/>
        <v>-287096.39679956844</v>
      </c>
      <c r="J91" s="8">
        <f>Données!AN91</f>
        <v>32531</v>
      </c>
      <c r="K91" s="154">
        <f t="shared" si="13"/>
        <v>38261.021999999997</v>
      </c>
      <c r="L91" s="12">
        <f t="shared" si="14"/>
        <v>0</v>
      </c>
      <c r="M91" s="240">
        <f t="shared" si="15"/>
        <v>0</v>
      </c>
      <c r="O91" s="42">
        <f t="shared" si="16"/>
        <v>-287096.39679956844</v>
      </c>
      <c r="P91" s="200"/>
      <c r="Q91" s="164"/>
      <c r="R91" s="164"/>
      <c r="S91" s="164"/>
      <c r="T91" s="164"/>
      <c r="U91" s="164"/>
      <c r="AF91" s="11"/>
      <c r="AG91" s="11"/>
      <c r="AH91" s="11"/>
      <c r="AI91" s="11"/>
      <c r="AJ91" s="11"/>
      <c r="AK91" s="11"/>
      <c r="AL91" s="11"/>
    </row>
    <row r="92" spans="1:38" x14ac:dyDescent="0.25">
      <c r="A92" s="38">
        <f>+Données!A92</f>
        <v>5554</v>
      </c>
      <c r="B92" s="184" t="str">
        <f>+Données!B92</f>
        <v>Concise</v>
      </c>
      <c r="C92" s="173">
        <f>+Ecrêtage!C92</f>
        <v>33906.908000000003</v>
      </c>
      <c r="D92" s="171"/>
      <c r="E92" s="173">
        <f>Données!AF92+Données!AG92+Données!AH92</f>
        <v>541644</v>
      </c>
      <c r="F92" s="171">
        <f t="shared" si="10"/>
        <v>271255.26400000002</v>
      </c>
      <c r="G92" s="8">
        <f t="shared" si="11"/>
        <v>270388.73599999998</v>
      </c>
      <c r="H92" s="240">
        <f t="shared" si="12"/>
        <v>-201429.92112380633</v>
      </c>
      <c r="J92" s="8">
        <f>Données!AN92</f>
        <v>25581</v>
      </c>
      <c r="K92" s="154">
        <f t="shared" si="13"/>
        <v>33906.908000000003</v>
      </c>
      <c r="L92" s="12">
        <f t="shared" si="14"/>
        <v>0</v>
      </c>
      <c r="M92" s="240">
        <f t="shared" si="15"/>
        <v>0</v>
      </c>
      <c r="O92" s="42">
        <f t="shared" si="16"/>
        <v>-201429.92112380633</v>
      </c>
      <c r="P92" s="200"/>
      <c r="Q92" s="164"/>
      <c r="R92" s="164"/>
      <c r="S92" s="164"/>
      <c r="T92" s="164"/>
      <c r="U92" s="164"/>
      <c r="AF92" s="11"/>
      <c r="AG92" s="11"/>
      <c r="AH92" s="11"/>
      <c r="AI92" s="11"/>
      <c r="AJ92" s="11"/>
      <c r="AK92" s="11"/>
      <c r="AL92" s="11"/>
    </row>
    <row r="93" spans="1:38" x14ac:dyDescent="0.25">
      <c r="A93" s="38">
        <f>+Données!A93</f>
        <v>5555</v>
      </c>
      <c r="B93" s="184" t="str">
        <f>+Données!B93</f>
        <v>Corcelles-près-Concise</v>
      </c>
      <c r="C93" s="173">
        <f>+Ecrêtage!C93</f>
        <v>13425.133333333333</v>
      </c>
      <c r="D93" s="171"/>
      <c r="E93" s="173">
        <f>Données!AF93+Données!AG93+Données!AH93</f>
        <v>324863</v>
      </c>
      <c r="F93" s="171">
        <f t="shared" si="10"/>
        <v>107401.06666666667</v>
      </c>
      <c r="G93" s="8">
        <f t="shared" si="11"/>
        <v>217461.93333333335</v>
      </c>
      <c r="H93" s="240">
        <f t="shared" si="12"/>
        <v>-162001.34934157823</v>
      </c>
      <c r="J93" s="8">
        <f>Données!AN93</f>
        <v>23809</v>
      </c>
      <c r="K93" s="154">
        <f t="shared" si="13"/>
        <v>13425.133333333333</v>
      </c>
      <c r="L93" s="12">
        <f t="shared" si="14"/>
        <v>10383.866666666667</v>
      </c>
      <c r="M93" s="240">
        <f t="shared" si="15"/>
        <v>-7735.6086446840327</v>
      </c>
      <c r="O93" s="42">
        <f t="shared" si="16"/>
        <v>-169736.95798626225</v>
      </c>
      <c r="P93" s="200"/>
      <c r="Q93" s="164"/>
      <c r="R93" s="164"/>
      <c r="S93" s="164"/>
      <c r="T93" s="164"/>
      <c r="U93" s="164"/>
      <c r="AF93" s="11"/>
      <c r="AG93" s="11"/>
      <c r="AH93" s="11"/>
      <c r="AI93" s="11"/>
      <c r="AJ93" s="11"/>
      <c r="AK93" s="11"/>
      <c r="AL93" s="11"/>
    </row>
    <row r="94" spans="1:38" x14ac:dyDescent="0.25">
      <c r="A94" s="38">
        <f>+Données!A94</f>
        <v>5556</v>
      </c>
      <c r="B94" s="184" t="str">
        <f>+Données!B94</f>
        <v>Fiez</v>
      </c>
      <c r="C94" s="173">
        <f>+Ecrêtage!C94</f>
        <v>13304.178019323672</v>
      </c>
      <c r="D94" s="171"/>
      <c r="E94" s="173">
        <f>Données!AF94+Données!AG94+Données!AH94</f>
        <v>203383</v>
      </c>
      <c r="F94" s="171">
        <f t="shared" si="10"/>
        <v>106433.42415458937</v>
      </c>
      <c r="G94" s="8">
        <f t="shared" si="11"/>
        <v>96949.575845410625</v>
      </c>
      <c r="H94" s="240">
        <f t="shared" si="12"/>
        <v>-72223.960599925078</v>
      </c>
      <c r="J94" s="8">
        <f>Données!AN94</f>
        <v>33064</v>
      </c>
      <c r="K94" s="154">
        <f t="shared" si="13"/>
        <v>13304.178019323672</v>
      </c>
      <c r="L94" s="12">
        <f t="shared" si="14"/>
        <v>19759.82198067633</v>
      </c>
      <c r="M94" s="240">
        <f t="shared" si="15"/>
        <v>-14720.359442000159</v>
      </c>
      <c r="O94" s="42">
        <f t="shared" si="16"/>
        <v>-86944.320041925239</v>
      </c>
      <c r="P94" s="200"/>
      <c r="Q94" s="164"/>
      <c r="R94" s="164"/>
      <c r="S94" s="164"/>
      <c r="T94" s="164"/>
      <c r="U94" s="164"/>
      <c r="AF94" s="11"/>
      <c r="AG94" s="11"/>
      <c r="AH94" s="11"/>
      <c r="AI94" s="11"/>
      <c r="AJ94" s="11"/>
      <c r="AK94" s="11"/>
      <c r="AL94" s="11"/>
    </row>
    <row r="95" spans="1:38" x14ac:dyDescent="0.25">
      <c r="A95" s="38">
        <f>+Données!A95</f>
        <v>5557</v>
      </c>
      <c r="B95" s="184" t="str">
        <f>+Données!B95</f>
        <v>Fontaines-sur-Grandson</v>
      </c>
      <c r="C95" s="173">
        <f>+Ecrêtage!C95</f>
        <v>5098.6839130434782</v>
      </c>
      <c r="D95" s="171"/>
      <c r="E95" s="173">
        <f>Données!AF95+Données!AG95+Données!AH95</f>
        <v>68376</v>
      </c>
      <c r="F95" s="171">
        <f t="shared" si="10"/>
        <v>40789.471304347826</v>
      </c>
      <c r="G95" s="8">
        <f t="shared" si="11"/>
        <v>27586.528695652174</v>
      </c>
      <c r="H95" s="240">
        <f t="shared" si="12"/>
        <v>-20550.975537845032</v>
      </c>
      <c r="J95" s="8">
        <f>Données!AN95</f>
        <v>41823</v>
      </c>
      <c r="K95" s="154">
        <f t="shared" si="13"/>
        <v>5098.6839130434782</v>
      </c>
      <c r="L95" s="12">
        <f t="shared" si="14"/>
        <v>36724.316086956518</v>
      </c>
      <c r="M95" s="240">
        <f t="shared" si="15"/>
        <v>-27358.299765569318</v>
      </c>
      <c r="O95" s="42">
        <f t="shared" si="16"/>
        <v>-47909.275303414353</v>
      </c>
      <c r="P95" s="200"/>
      <c r="Q95" s="164"/>
      <c r="R95" s="164"/>
      <c r="S95" s="164"/>
      <c r="T95" s="164"/>
      <c r="U95" s="164"/>
      <c r="AF95" s="11"/>
      <c r="AG95" s="11"/>
      <c r="AH95" s="11"/>
      <c r="AI95" s="11"/>
      <c r="AJ95" s="11"/>
      <c r="AK95" s="11"/>
      <c r="AL95" s="11"/>
    </row>
    <row r="96" spans="1:38" x14ac:dyDescent="0.25">
      <c r="A96" s="38">
        <f>+Données!A96</f>
        <v>5559</v>
      </c>
      <c r="B96" s="184" t="str">
        <f>+Données!B96</f>
        <v>Giez</v>
      </c>
      <c r="C96" s="173">
        <f>+Ecrêtage!C96</f>
        <v>21009.564242424243</v>
      </c>
      <c r="D96" s="171"/>
      <c r="E96" s="173">
        <f>Données!AF96+Données!AG96+Données!AH96</f>
        <v>193055</v>
      </c>
      <c r="F96" s="171">
        <f t="shared" si="10"/>
        <v>168076.51393939395</v>
      </c>
      <c r="G96" s="8">
        <f t="shared" si="11"/>
        <v>24978.486060606054</v>
      </c>
      <c r="H96" s="240">
        <f t="shared" si="12"/>
        <v>-18608.077212876109</v>
      </c>
      <c r="J96" s="8">
        <f>Données!AN96</f>
        <v>13610</v>
      </c>
      <c r="K96" s="154">
        <f t="shared" si="13"/>
        <v>21009.564242424243</v>
      </c>
      <c r="L96" s="12">
        <f t="shared" si="14"/>
        <v>0</v>
      </c>
      <c r="M96" s="240">
        <f t="shared" si="15"/>
        <v>0</v>
      </c>
      <c r="O96" s="42">
        <f t="shared" si="16"/>
        <v>-18608.077212876109</v>
      </c>
      <c r="P96" s="200"/>
      <c r="Q96" s="164"/>
      <c r="R96" s="164"/>
      <c r="S96" s="164"/>
      <c r="T96" s="164"/>
      <c r="U96" s="164"/>
      <c r="AF96" s="11"/>
      <c r="AG96" s="11"/>
      <c r="AH96" s="11"/>
      <c r="AI96" s="11"/>
      <c r="AJ96" s="11"/>
      <c r="AK96" s="11"/>
      <c r="AL96" s="11"/>
    </row>
    <row r="97" spans="1:38" x14ac:dyDescent="0.25">
      <c r="A97" s="38">
        <f>+Données!A97</f>
        <v>5560</v>
      </c>
      <c r="B97" s="184" t="str">
        <f>+Données!B97</f>
        <v>Grandevent</v>
      </c>
      <c r="C97" s="173">
        <f>+Ecrêtage!C97</f>
        <v>8996.1019718309853</v>
      </c>
      <c r="D97" s="171"/>
      <c r="E97" s="173">
        <f>Données!AF97+Données!AG97+Données!AH97</f>
        <v>65895</v>
      </c>
      <c r="F97" s="171">
        <f t="shared" si="10"/>
        <v>71968.815774647883</v>
      </c>
      <c r="G97" s="8">
        <f t="shared" si="11"/>
        <v>0</v>
      </c>
      <c r="H97" s="240">
        <f t="shared" si="12"/>
        <v>0</v>
      </c>
      <c r="J97" s="8">
        <f>Données!AN97</f>
        <v>18126</v>
      </c>
      <c r="K97" s="154">
        <f t="shared" si="13"/>
        <v>8996.1019718309853</v>
      </c>
      <c r="L97" s="12">
        <f t="shared" si="14"/>
        <v>9129.8980281690147</v>
      </c>
      <c r="M97" s="240">
        <f t="shared" si="15"/>
        <v>-6801.4469348400662</v>
      </c>
      <c r="O97" s="42">
        <f t="shared" si="16"/>
        <v>-6801.4469348400662</v>
      </c>
      <c r="P97" s="200"/>
      <c r="Q97" s="164"/>
      <c r="R97" s="164"/>
      <c r="S97" s="164"/>
      <c r="T97" s="164"/>
      <c r="U97" s="164"/>
      <c r="AF97" s="11"/>
      <c r="AG97" s="11"/>
      <c r="AH97" s="11"/>
      <c r="AI97" s="11"/>
      <c r="AJ97" s="11"/>
      <c r="AK97" s="11"/>
      <c r="AL97" s="11"/>
    </row>
    <row r="98" spans="1:38" x14ac:dyDescent="0.25">
      <c r="A98" s="38">
        <f>+Données!A98</f>
        <v>5561</v>
      </c>
      <c r="B98" s="184" t="str">
        <f>+Données!B98</f>
        <v>Grandson</v>
      </c>
      <c r="C98" s="173">
        <f>+Ecrêtage!C98</f>
        <v>132373.10913043478</v>
      </c>
      <c r="D98" s="171"/>
      <c r="E98" s="173">
        <f>Données!AF98+Données!AG98+Données!AH98</f>
        <v>2333561</v>
      </c>
      <c r="F98" s="171">
        <f t="shared" si="10"/>
        <v>1058984.8730434782</v>
      </c>
      <c r="G98" s="8">
        <f t="shared" si="11"/>
        <v>1274576.1269565218</v>
      </c>
      <c r="H98" s="240">
        <f t="shared" si="12"/>
        <v>-949513.55044293997</v>
      </c>
      <c r="J98" s="8">
        <f>Données!AN98</f>
        <v>53077</v>
      </c>
      <c r="K98" s="154">
        <f t="shared" si="13"/>
        <v>132373.10913043478</v>
      </c>
      <c r="L98" s="12">
        <f t="shared" si="14"/>
        <v>0</v>
      </c>
      <c r="M98" s="240">
        <f t="shared" si="15"/>
        <v>0</v>
      </c>
      <c r="O98" s="42">
        <f t="shared" si="16"/>
        <v>-949513.55044293997</v>
      </c>
      <c r="P98" s="200"/>
      <c r="Q98" s="164"/>
      <c r="R98" s="164"/>
      <c r="S98" s="164"/>
      <c r="T98" s="164"/>
      <c r="U98" s="164"/>
      <c r="AF98" s="11"/>
      <c r="AG98" s="11"/>
      <c r="AH98" s="11"/>
      <c r="AI98" s="11"/>
      <c r="AJ98" s="11"/>
      <c r="AK98" s="11"/>
      <c r="AL98" s="11"/>
    </row>
    <row r="99" spans="1:38" x14ac:dyDescent="0.25">
      <c r="A99" s="38">
        <f>+Données!A99</f>
        <v>5562</v>
      </c>
      <c r="B99" s="184" t="str">
        <f>+Données!B99</f>
        <v>Mauborget</v>
      </c>
      <c r="C99" s="173">
        <f>+Ecrêtage!C99</f>
        <v>4559.8122619047608</v>
      </c>
      <c r="D99" s="171"/>
      <c r="E99" s="173">
        <f>Données!AF99+Données!AG99+Données!AH99</f>
        <v>41470</v>
      </c>
      <c r="F99" s="171">
        <f t="shared" si="10"/>
        <v>36478.498095238087</v>
      </c>
      <c r="G99" s="8">
        <f t="shared" si="11"/>
        <v>4991.5019047619135</v>
      </c>
      <c r="H99" s="240">
        <f t="shared" si="12"/>
        <v>-3718.4900888974953</v>
      </c>
      <c r="J99" s="8">
        <f>Données!AN99</f>
        <v>13707</v>
      </c>
      <c r="K99" s="154">
        <f t="shared" si="13"/>
        <v>4559.8122619047608</v>
      </c>
      <c r="L99" s="12">
        <f t="shared" si="14"/>
        <v>9147.1877380952392</v>
      </c>
      <c r="M99" s="240">
        <f t="shared" si="15"/>
        <v>-6814.327149298012</v>
      </c>
      <c r="O99" s="42">
        <f t="shared" si="16"/>
        <v>-10532.817238195508</v>
      </c>
      <c r="P99" s="200"/>
      <c r="Q99" s="164"/>
      <c r="R99" s="164"/>
      <c r="S99" s="164"/>
      <c r="T99" s="164"/>
      <c r="U99" s="164"/>
      <c r="AF99" s="11"/>
      <c r="AG99" s="11"/>
      <c r="AH99" s="11"/>
      <c r="AI99" s="11"/>
      <c r="AJ99" s="11"/>
      <c r="AK99" s="11"/>
      <c r="AL99" s="11"/>
    </row>
    <row r="100" spans="1:38" x14ac:dyDescent="0.25">
      <c r="A100" s="38">
        <f>+Données!A100</f>
        <v>5563</v>
      </c>
      <c r="B100" s="184" t="str">
        <f>+Données!B100</f>
        <v>Mutrux</v>
      </c>
      <c r="C100" s="173">
        <f>+Ecrêtage!C100</f>
        <v>2282.0827499999996</v>
      </c>
      <c r="D100" s="171"/>
      <c r="E100" s="173">
        <f>Données!AF100+Données!AG100+Données!AH100</f>
        <v>62403</v>
      </c>
      <c r="F100" s="171">
        <f t="shared" si="10"/>
        <v>18256.661999999997</v>
      </c>
      <c r="G100" s="8">
        <f t="shared" si="11"/>
        <v>44146.338000000003</v>
      </c>
      <c r="H100" s="240">
        <f t="shared" si="12"/>
        <v>-32887.440182585473</v>
      </c>
      <c r="J100" s="8">
        <f>Données!AN100</f>
        <v>18443</v>
      </c>
      <c r="K100" s="154">
        <f t="shared" si="13"/>
        <v>2282.0827499999996</v>
      </c>
      <c r="L100" s="12">
        <f t="shared" si="14"/>
        <v>16160.91725</v>
      </c>
      <c r="M100" s="240">
        <f t="shared" si="15"/>
        <v>-12039.304355325887</v>
      </c>
      <c r="O100" s="42">
        <f t="shared" si="16"/>
        <v>-44926.744537911363</v>
      </c>
      <c r="P100" s="200"/>
      <c r="Q100" s="164"/>
      <c r="R100" s="164"/>
      <c r="S100" s="164"/>
      <c r="T100" s="164"/>
      <c r="U100" s="164"/>
      <c r="AF100" s="11"/>
      <c r="AG100" s="11"/>
      <c r="AH100" s="11"/>
      <c r="AI100" s="11"/>
      <c r="AJ100" s="11"/>
      <c r="AK100" s="11"/>
      <c r="AL100" s="11"/>
    </row>
    <row r="101" spans="1:38" x14ac:dyDescent="0.25">
      <c r="A101" s="38">
        <f>+Données!A101</f>
        <v>5564</v>
      </c>
      <c r="B101" s="184" t="str">
        <f>+Données!B101</f>
        <v>Novalles</v>
      </c>
      <c r="C101" s="173">
        <f>+Ecrêtage!C101</f>
        <v>2548.8721381578953</v>
      </c>
      <c r="D101" s="171"/>
      <c r="E101" s="173">
        <f>Données!AF101+Données!AG101+Données!AH101</f>
        <v>44997</v>
      </c>
      <c r="F101" s="171">
        <f t="shared" si="10"/>
        <v>20390.977105263162</v>
      </c>
      <c r="G101" s="8">
        <f t="shared" si="11"/>
        <v>24606.022894736838</v>
      </c>
      <c r="H101" s="240">
        <f t="shared" si="12"/>
        <v>-18330.605498512388</v>
      </c>
      <c r="J101" s="8">
        <f>Données!AN101</f>
        <v>24231</v>
      </c>
      <c r="K101" s="154">
        <f t="shared" si="13"/>
        <v>2548.8721381578953</v>
      </c>
      <c r="L101" s="12">
        <f t="shared" si="14"/>
        <v>21682.127861842106</v>
      </c>
      <c r="M101" s="240">
        <f t="shared" si="15"/>
        <v>-16152.408453165517</v>
      </c>
      <c r="O101" s="42">
        <f t="shared" si="16"/>
        <v>-34483.013951677902</v>
      </c>
      <c r="P101" s="200"/>
      <c r="Q101" s="164"/>
      <c r="R101" s="164"/>
      <c r="S101" s="164"/>
      <c r="T101" s="164"/>
      <c r="U101" s="164"/>
      <c r="AF101" s="11"/>
      <c r="AG101" s="11"/>
      <c r="AH101" s="11"/>
      <c r="AI101" s="11"/>
      <c r="AJ101" s="11"/>
      <c r="AK101" s="11"/>
      <c r="AL101" s="11"/>
    </row>
    <row r="102" spans="1:38" x14ac:dyDescent="0.25">
      <c r="A102" s="38">
        <f>+Données!A102</f>
        <v>5565</v>
      </c>
      <c r="B102" s="184" t="str">
        <f>+Données!B102</f>
        <v>Onnens</v>
      </c>
      <c r="C102" s="173">
        <f>+Ecrêtage!C102</f>
        <v>19043.042992125989</v>
      </c>
      <c r="D102" s="171"/>
      <c r="E102" s="173">
        <f>Données!AF102+Données!AG102+Données!AH102</f>
        <v>250724</v>
      </c>
      <c r="F102" s="171">
        <f t="shared" si="10"/>
        <v>152344.34393700791</v>
      </c>
      <c r="G102" s="8">
        <f t="shared" si="11"/>
        <v>98379.656062992086</v>
      </c>
      <c r="H102" s="240">
        <f t="shared" si="12"/>
        <v>-73289.319126650647</v>
      </c>
      <c r="J102" s="8">
        <f>Données!AN102</f>
        <v>37853</v>
      </c>
      <c r="K102" s="154">
        <f t="shared" si="13"/>
        <v>19043.042992125989</v>
      </c>
      <c r="L102" s="12">
        <f t="shared" si="14"/>
        <v>18809.957007874011</v>
      </c>
      <c r="M102" s="240">
        <f t="shared" si="15"/>
        <v>-14012.74406800086</v>
      </c>
      <c r="O102" s="42">
        <f t="shared" si="16"/>
        <v>-87302.063194651506</v>
      </c>
      <c r="P102" s="200"/>
      <c r="Q102" s="164"/>
      <c r="R102" s="164"/>
      <c r="S102" s="164"/>
      <c r="T102" s="164"/>
      <c r="U102" s="164"/>
      <c r="AF102" s="11"/>
      <c r="AG102" s="11"/>
      <c r="AH102" s="11"/>
      <c r="AI102" s="11"/>
      <c r="AJ102" s="11"/>
      <c r="AK102" s="11"/>
      <c r="AL102" s="11"/>
    </row>
    <row r="103" spans="1:38" x14ac:dyDescent="0.25">
      <c r="A103" s="38">
        <f>+Données!A103</f>
        <v>5566</v>
      </c>
      <c r="B103" s="184" t="str">
        <f>+Données!B103</f>
        <v>Provence</v>
      </c>
      <c r="C103" s="173">
        <f>+Ecrêtage!C103</f>
        <v>8528.7641152263368</v>
      </c>
      <c r="D103" s="171"/>
      <c r="E103" s="173">
        <f>Données!AF103+Données!AG103+Données!AH103</f>
        <v>504685</v>
      </c>
      <c r="F103" s="171">
        <f t="shared" si="10"/>
        <v>68230.112921810694</v>
      </c>
      <c r="G103" s="8">
        <f t="shared" si="11"/>
        <v>436454.88707818929</v>
      </c>
      <c r="H103" s="240">
        <f t="shared" si="12"/>
        <v>-325143.25403799175</v>
      </c>
      <c r="J103" s="8">
        <f>Données!AN103</f>
        <v>11505</v>
      </c>
      <c r="K103" s="154">
        <f t="shared" si="13"/>
        <v>8528.7641152263368</v>
      </c>
      <c r="L103" s="12">
        <f t="shared" si="14"/>
        <v>2976.2358847736632</v>
      </c>
      <c r="M103" s="240">
        <f t="shared" si="15"/>
        <v>-2217.189104785049</v>
      </c>
      <c r="O103" s="42">
        <f t="shared" si="16"/>
        <v>-327360.44314277678</v>
      </c>
      <c r="P103" s="200"/>
      <c r="Q103" s="164"/>
      <c r="R103" s="164"/>
      <c r="S103" s="164"/>
      <c r="T103" s="164"/>
      <c r="U103" s="164"/>
      <c r="AF103" s="11"/>
      <c r="AG103" s="11"/>
      <c r="AH103" s="11"/>
      <c r="AI103" s="11"/>
      <c r="AJ103" s="11"/>
      <c r="AK103" s="11"/>
      <c r="AL103" s="11"/>
    </row>
    <row r="104" spans="1:38" x14ac:dyDescent="0.25">
      <c r="A104" s="38">
        <f>+Données!A104</f>
        <v>5568</v>
      </c>
      <c r="B104" s="184" t="str">
        <f>+Données!B104</f>
        <v>Sainte-Croix</v>
      </c>
      <c r="C104" s="173">
        <f>+Ecrêtage!C104</f>
        <v>106003.06099999999</v>
      </c>
      <c r="D104" s="171"/>
      <c r="E104" s="173">
        <f>Données!AF104+Données!AG104+Données!AH104</f>
        <v>3058659</v>
      </c>
      <c r="F104" s="171">
        <f t="shared" si="10"/>
        <v>848024.4879999999</v>
      </c>
      <c r="G104" s="8">
        <f t="shared" si="11"/>
        <v>2210634.5120000001</v>
      </c>
      <c r="H104" s="240">
        <f t="shared" si="12"/>
        <v>-1646843.5112094469</v>
      </c>
      <c r="J104" s="8">
        <f>Données!AN104</f>
        <v>373808</v>
      </c>
      <c r="K104" s="154">
        <f t="shared" si="13"/>
        <v>106003.06099999999</v>
      </c>
      <c r="L104" s="12">
        <f t="shared" si="14"/>
        <v>267804.93900000001</v>
      </c>
      <c r="M104" s="240">
        <f t="shared" si="15"/>
        <v>-199505.08492830032</v>
      </c>
      <c r="O104" s="42">
        <f t="shared" si="16"/>
        <v>-1846348.5961377472</v>
      </c>
      <c r="P104" s="200"/>
      <c r="Q104" s="164"/>
      <c r="R104" s="164"/>
      <c r="S104" s="164"/>
      <c r="T104" s="164"/>
      <c r="U104" s="164"/>
      <c r="AF104" s="11"/>
      <c r="AG104" s="11"/>
      <c r="AH104" s="11"/>
      <c r="AI104" s="11"/>
      <c r="AJ104" s="11"/>
      <c r="AK104" s="11"/>
      <c r="AL104" s="11"/>
    </row>
    <row r="105" spans="1:38" x14ac:dyDescent="0.25">
      <c r="A105" s="38">
        <f>+Données!A105</f>
        <v>5571</v>
      </c>
      <c r="B105" s="184" t="str">
        <f>+Données!B105</f>
        <v>Tévenon</v>
      </c>
      <c r="C105" s="173">
        <f>+Ecrêtage!C105</f>
        <v>25906.923962703961</v>
      </c>
      <c r="D105" s="171"/>
      <c r="E105" s="173">
        <f>Données!AF105+Données!AG105+Données!AH105</f>
        <v>439310</v>
      </c>
      <c r="F105" s="171">
        <f t="shared" si="10"/>
        <v>207255.39170163168</v>
      </c>
      <c r="G105" s="8">
        <f t="shared" si="11"/>
        <v>232054.60829836832</v>
      </c>
      <c r="H105" s="240">
        <f t="shared" si="12"/>
        <v>-172872.36937989944</v>
      </c>
      <c r="J105" s="8">
        <f>Données!AN105</f>
        <v>32540</v>
      </c>
      <c r="K105" s="154">
        <f t="shared" si="13"/>
        <v>25906.923962703961</v>
      </c>
      <c r="L105" s="12">
        <f t="shared" si="14"/>
        <v>6633.0760372960394</v>
      </c>
      <c r="M105" s="240">
        <f t="shared" si="15"/>
        <v>-4941.404005086777</v>
      </c>
      <c r="O105" s="42">
        <f t="shared" si="16"/>
        <v>-177813.77338498621</v>
      </c>
      <c r="P105" s="200"/>
      <c r="Q105" s="164"/>
      <c r="R105" s="164"/>
      <c r="S105" s="164"/>
      <c r="T105" s="164"/>
      <c r="U105" s="164"/>
      <c r="AF105" s="11"/>
      <c r="AG105" s="11"/>
      <c r="AH105" s="11"/>
      <c r="AI105" s="11"/>
      <c r="AJ105" s="11"/>
      <c r="AK105" s="11"/>
      <c r="AL105" s="11"/>
    </row>
    <row r="106" spans="1:38" x14ac:dyDescent="0.25">
      <c r="A106" s="38">
        <f>+Données!A106</f>
        <v>5581</v>
      </c>
      <c r="B106" s="184" t="str">
        <f>+Données!B106</f>
        <v>Belmont-sur-Lausanne</v>
      </c>
      <c r="C106" s="173">
        <f>+Ecrêtage!C106</f>
        <v>233667.07055555552</v>
      </c>
      <c r="D106" s="171"/>
      <c r="E106" s="173">
        <f>Données!AF106+Données!AG106+Données!AH106</f>
        <v>3304112</v>
      </c>
      <c r="F106" s="171">
        <f t="shared" si="10"/>
        <v>1869336.5644444441</v>
      </c>
      <c r="G106" s="8">
        <f t="shared" si="11"/>
        <v>1434775.4355555559</v>
      </c>
      <c r="H106" s="240">
        <f t="shared" si="12"/>
        <v>-1068856.2959010634</v>
      </c>
      <c r="J106" s="8">
        <f>Données!AN106</f>
        <v>-33282</v>
      </c>
      <c r="K106" s="154">
        <f t="shared" si="13"/>
        <v>233667.07055555552</v>
      </c>
      <c r="L106" s="12">
        <f t="shared" si="14"/>
        <v>0</v>
      </c>
      <c r="M106" s="240">
        <f t="shared" si="15"/>
        <v>0</v>
      </c>
      <c r="O106" s="42">
        <f t="shared" si="16"/>
        <v>-1068856.2959010634</v>
      </c>
      <c r="P106" s="200"/>
      <c r="Q106" s="164"/>
      <c r="R106" s="164"/>
      <c r="S106" s="164"/>
      <c r="T106" s="164"/>
      <c r="U106" s="164"/>
      <c r="AF106" s="11"/>
      <c r="AG106" s="11"/>
      <c r="AH106" s="11"/>
      <c r="AI106" s="11"/>
      <c r="AJ106" s="11"/>
      <c r="AK106" s="11"/>
      <c r="AL106" s="11"/>
    </row>
    <row r="107" spans="1:38" x14ac:dyDescent="0.25">
      <c r="A107" s="38">
        <f>+Données!A107</f>
        <v>5582</v>
      </c>
      <c r="B107" s="184" t="str">
        <f>+Données!B107</f>
        <v>Cheseaux-sur-Lausanne</v>
      </c>
      <c r="C107" s="173">
        <f>+Ecrêtage!C107</f>
        <v>170421.56630136984</v>
      </c>
      <c r="D107" s="171"/>
      <c r="E107" s="173">
        <f>Données!AF107+Données!AG107+Données!AH107</f>
        <v>2001435</v>
      </c>
      <c r="F107" s="171">
        <f t="shared" si="10"/>
        <v>1363372.5304109587</v>
      </c>
      <c r="G107" s="8">
        <f t="shared" si="11"/>
        <v>638062.46958904131</v>
      </c>
      <c r="H107" s="240">
        <f t="shared" si="12"/>
        <v>-475333.68002941395</v>
      </c>
      <c r="J107" s="8">
        <f>Données!AN107</f>
        <v>72855</v>
      </c>
      <c r="K107" s="154">
        <f t="shared" si="13"/>
        <v>170421.56630136984</v>
      </c>
      <c r="L107" s="12">
        <f t="shared" si="14"/>
        <v>0</v>
      </c>
      <c r="M107" s="240">
        <f t="shared" si="15"/>
        <v>0</v>
      </c>
      <c r="O107" s="42">
        <f t="shared" si="16"/>
        <v>-475333.68002941395</v>
      </c>
      <c r="P107" s="200"/>
      <c r="Q107" s="164"/>
      <c r="R107" s="164"/>
      <c r="S107" s="164"/>
      <c r="T107" s="164"/>
      <c r="U107" s="164"/>
      <c r="AF107" s="11"/>
      <c r="AG107" s="11"/>
      <c r="AH107" s="11"/>
      <c r="AI107" s="11"/>
      <c r="AJ107" s="11"/>
      <c r="AK107" s="11"/>
      <c r="AL107" s="11"/>
    </row>
    <row r="108" spans="1:38" x14ac:dyDescent="0.25">
      <c r="A108" s="38">
        <f>+Données!A108</f>
        <v>5583</v>
      </c>
      <c r="B108" s="184" t="str">
        <f>+Données!B108</f>
        <v>Crissier</v>
      </c>
      <c r="C108" s="173">
        <f>+Ecrêtage!C108</f>
        <v>340450.32850393705</v>
      </c>
      <c r="D108" s="171"/>
      <c r="E108" s="173">
        <f>Données!AF108+Données!AG108+Données!AH108</f>
        <v>7426942</v>
      </c>
      <c r="F108" s="171">
        <f t="shared" si="10"/>
        <v>2723602.6280314964</v>
      </c>
      <c r="G108" s="8">
        <f t="shared" si="11"/>
        <v>4703339.371968504</v>
      </c>
      <c r="H108" s="240">
        <f t="shared" si="12"/>
        <v>-3503819.3259430327</v>
      </c>
      <c r="J108" s="8">
        <f>Données!AN108</f>
        <v>115720</v>
      </c>
      <c r="K108" s="154">
        <f t="shared" si="13"/>
        <v>340450.32850393705</v>
      </c>
      <c r="L108" s="12">
        <f t="shared" si="14"/>
        <v>0</v>
      </c>
      <c r="M108" s="240">
        <f t="shared" si="15"/>
        <v>0</v>
      </c>
      <c r="O108" s="42">
        <f t="shared" si="16"/>
        <v>-3503819.3259430327</v>
      </c>
      <c r="P108" s="200"/>
      <c r="Q108" s="164"/>
      <c r="R108" s="164"/>
      <c r="S108" s="164"/>
      <c r="T108" s="164"/>
      <c r="U108" s="164"/>
      <c r="AF108" s="11"/>
      <c r="AG108" s="11"/>
      <c r="AH108" s="11"/>
      <c r="AI108" s="11"/>
      <c r="AJ108" s="11"/>
      <c r="AK108" s="11"/>
      <c r="AL108" s="11"/>
    </row>
    <row r="109" spans="1:38" x14ac:dyDescent="0.25">
      <c r="A109" s="38">
        <f>+Données!A109</f>
        <v>5584</v>
      </c>
      <c r="B109" s="184" t="str">
        <f>+Données!B109</f>
        <v>Epalinges</v>
      </c>
      <c r="C109" s="173">
        <f>+Ecrêtage!C109</f>
        <v>489743.06325581396</v>
      </c>
      <c r="D109" s="171"/>
      <c r="E109" s="173">
        <f>Données!AF109+Données!AG109+Données!AH109</f>
        <v>9770546</v>
      </c>
      <c r="F109" s="171">
        <f t="shared" si="10"/>
        <v>3917944.5060465117</v>
      </c>
      <c r="G109" s="8">
        <f t="shared" si="11"/>
        <v>5852601.4939534888</v>
      </c>
      <c r="H109" s="240">
        <f t="shared" si="12"/>
        <v>-4359978.4322972773</v>
      </c>
      <c r="J109" s="8">
        <f>Données!AN109</f>
        <v>285789</v>
      </c>
      <c r="K109" s="154">
        <f t="shared" si="13"/>
        <v>489743.06325581396</v>
      </c>
      <c r="L109" s="12">
        <f t="shared" si="14"/>
        <v>0</v>
      </c>
      <c r="M109" s="240">
        <f t="shared" si="15"/>
        <v>0</v>
      </c>
      <c r="O109" s="42">
        <f t="shared" si="16"/>
        <v>-4359978.4322972773</v>
      </c>
      <c r="P109" s="200"/>
      <c r="Q109" s="164"/>
      <c r="R109" s="164"/>
      <c r="S109" s="164"/>
      <c r="T109" s="164"/>
      <c r="U109" s="164"/>
      <c r="AF109" s="11"/>
      <c r="AG109" s="11"/>
      <c r="AH109" s="11"/>
      <c r="AI109" s="11"/>
      <c r="AJ109" s="11"/>
      <c r="AK109" s="11"/>
      <c r="AL109" s="11"/>
    </row>
    <row r="110" spans="1:38" x14ac:dyDescent="0.25">
      <c r="A110" s="38">
        <f>+Données!A110</f>
        <v>5585</v>
      </c>
      <c r="B110" s="184" t="str">
        <f>+Données!B110</f>
        <v>Jouxtens-Mézery</v>
      </c>
      <c r="C110" s="173">
        <f>+Ecrêtage!C110</f>
        <v>210572.62440677959</v>
      </c>
      <c r="D110" s="171"/>
      <c r="E110" s="173">
        <f>Données!AF110+Données!AG110+Données!AH110</f>
        <v>0</v>
      </c>
      <c r="F110" s="171">
        <f t="shared" si="10"/>
        <v>1684580.9952542367</v>
      </c>
      <c r="G110" s="8">
        <f t="shared" si="11"/>
        <v>0</v>
      </c>
      <c r="H110" s="240">
        <f t="shared" si="12"/>
        <v>0</v>
      </c>
      <c r="J110" s="8">
        <f>Données!AN110</f>
        <v>0</v>
      </c>
      <c r="K110" s="154">
        <f t="shared" si="13"/>
        <v>210572.62440677959</v>
      </c>
      <c r="L110" s="12">
        <f t="shared" si="14"/>
        <v>0</v>
      </c>
      <c r="M110" s="240">
        <f t="shared" si="15"/>
        <v>0</v>
      </c>
      <c r="O110" s="42">
        <f t="shared" si="16"/>
        <v>0</v>
      </c>
      <c r="P110" s="200"/>
      <c r="Q110" s="164"/>
      <c r="R110" s="164"/>
      <c r="S110" s="164"/>
      <c r="T110" s="164"/>
      <c r="U110" s="164"/>
      <c r="AF110" s="11"/>
      <c r="AG110" s="11"/>
      <c r="AH110" s="11"/>
      <c r="AI110" s="11"/>
      <c r="AJ110" s="11"/>
      <c r="AK110" s="11"/>
      <c r="AL110" s="11"/>
    </row>
    <row r="111" spans="1:38" x14ac:dyDescent="0.25">
      <c r="A111" s="38">
        <f>+Données!A111</f>
        <v>5586</v>
      </c>
      <c r="B111" s="184" t="str">
        <f>+Données!B111</f>
        <v>Lausanne</v>
      </c>
      <c r="C111" s="173">
        <f>+Ecrêtage!C111</f>
        <v>6670835.0290021216</v>
      </c>
      <c r="D111" s="171"/>
      <c r="E111" s="173">
        <f>Données!AF111+Données!AG111+Données!AH111</f>
        <v>118305142</v>
      </c>
      <c r="F111" s="171">
        <f t="shared" si="10"/>
        <v>53366680.232016973</v>
      </c>
      <c r="G111" s="8">
        <f t="shared" si="11"/>
        <v>64938461.767983027</v>
      </c>
      <c r="H111" s="240">
        <f t="shared" si="12"/>
        <v>-48376827.471933357</v>
      </c>
      <c r="J111" s="8">
        <f>Données!AN111</f>
        <v>1951177</v>
      </c>
      <c r="K111" s="154">
        <f t="shared" si="13"/>
        <v>6670835.0290021216</v>
      </c>
      <c r="L111" s="12">
        <f t="shared" si="14"/>
        <v>0</v>
      </c>
      <c r="M111" s="240">
        <f t="shared" si="15"/>
        <v>0</v>
      </c>
      <c r="O111" s="42">
        <f t="shared" si="16"/>
        <v>-48376827.471933357</v>
      </c>
      <c r="P111" s="200"/>
      <c r="Q111" s="164"/>
      <c r="R111" s="164"/>
      <c r="S111" s="164"/>
      <c r="T111" s="164"/>
      <c r="U111" s="164"/>
      <c r="AF111" s="11"/>
      <c r="AG111" s="11"/>
      <c r="AH111" s="11"/>
      <c r="AI111" s="11"/>
      <c r="AJ111" s="11"/>
      <c r="AK111" s="11"/>
      <c r="AL111" s="11"/>
    </row>
    <row r="112" spans="1:38" x14ac:dyDescent="0.25">
      <c r="A112" s="38">
        <f>+Données!A112</f>
        <v>5587</v>
      </c>
      <c r="B112" s="184" t="str">
        <f>+Données!B112</f>
        <v>Le Mont-sur-Lausanne</v>
      </c>
      <c r="C112" s="173">
        <f>+Ecrêtage!C112</f>
        <v>484022.6825170067</v>
      </c>
      <c r="D112" s="171"/>
      <c r="E112" s="173">
        <f>Données!AF112+Données!AG112+Données!AH112</f>
        <v>7066857</v>
      </c>
      <c r="F112" s="171">
        <f t="shared" si="10"/>
        <v>3872181.4601360536</v>
      </c>
      <c r="G112" s="8">
        <f t="shared" si="11"/>
        <v>3194675.5398639464</v>
      </c>
      <c r="H112" s="240">
        <f t="shared" si="12"/>
        <v>-2379918.8218067936</v>
      </c>
      <c r="J112" s="8">
        <f>Données!AN112</f>
        <v>103681</v>
      </c>
      <c r="K112" s="154">
        <f t="shared" si="13"/>
        <v>484022.6825170067</v>
      </c>
      <c r="L112" s="12">
        <f t="shared" si="14"/>
        <v>0</v>
      </c>
      <c r="M112" s="240">
        <f t="shared" si="15"/>
        <v>0</v>
      </c>
      <c r="O112" s="42">
        <f t="shared" si="16"/>
        <v>-2379918.8218067936</v>
      </c>
      <c r="P112" s="200"/>
      <c r="Q112" s="164"/>
      <c r="R112" s="164"/>
      <c r="S112" s="164"/>
      <c r="T112" s="164"/>
      <c r="U112" s="164"/>
      <c r="AF112" s="11"/>
      <c r="AG112" s="11"/>
      <c r="AH112" s="11"/>
      <c r="AI112" s="11"/>
      <c r="AJ112" s="11"/>
      <c r="AK112" s="11"/>
      <c r="AL112" s="11"/>
    </row>
    <row r="113" spans="1:38" x14ac:dyDescent="0.25">
      <c r="A113" s="38">
        <f>+Données!A113</f>
        <v>5588</v>
      </c>
      <c r="B113" s="184" t="str">
        <f>+Données!B113</f>
        <v>Paudex</v>
      </c>
      <c r="C113" s="173">
        <f>+Ecrêtage!C113</f>
        <v>137544.82844253487</v>
      </c>
      <c r="D113" s="171"/>
      <c r="E113" s="173">
        <f>Données!AF113+Données!AG113+Données!AH113</f>
        <v>972359</v>
      </c>
      <c r="F113" s="171">
        <f t="shared" si="10"/>
        <v>1100358.6275402789</v>
      </c>
      <c r="G113" s="8">
        <f t="shared" si="11"/>
        <v>0</v>
      </c>
      <c r="H113" s="240">
        <f t="shared" si="12"/>
        <v>0</v>
      </c>
      <c r="J113" s="8">
        <f>Données!AN113</f>
        <v>0</v>
      </c>
      <c r="K113" s="154">
        <f t="shared" si="13"/>
        <v>137544.82844253487</v>
      </c>
      <c r="L113" s="12">
        <f t="shared" si="14"/>
        <v>0</v>
      </c>
      <c r="M113" s="240">
        <f t="shared" si="15"/>
        <v>0</v>
      </c>
      <c r="O113" s="42">
        <f t="shared" si="16"/>
        <v>0</v>
      </c>
      <c r="P113" s="200"/>
      <c r="Q113" s="164"/>
      <c r="R113" s="164"/>
      <c r="S113" s="164"/>
      <c r="T113" s="164"/>
      <c r="U113" s="164"/>
      <c r="AF113" s="11"/>
      <c r="AG113" s="11"/>
      <c r="AH113" s="11"/>
      <c r="AI113" s="11"/>
      <c r="AJ113" s="11"/>
      <c r="AK113" s="11"/>
      <c r="AL113" s="11"/>
    </row>
    <row r="114" spans="1:38" x14ac:dyDescent="0.25">
      <c r="A114" s="38">
        <f>+Données!A114</f>
        <v>5589</v>
      </c>
      <c r="B114" s="184" t="str">
        <f>+Données!B114</f>
        <v>Prilly</v>
      </c>
      <c r="C114" s="173">
        <f>+Ecrêtage!C114</f>
        <v>404173.00015915121</v>
      </c>
      <c r="D114" s="171"/>
      <c r="E114" s="173">
        <f>Données!AF114+Données!AG114+Données!AH114</f>
        <v>7767178</v>
      </c>
      <c r="F114" s="171">
        <f t="shared" si="10"/>
        <v>3233384.0012732097</v>
      </c>
      <c r="G114" s="8">
        <f t="shared" si="11"/>
        <v>4533793.9987267908</v>
      </c>
      <c r="H114" s="240">
        <f t="shared" si="12"/>
        <v>-3377514.0971668437</v>
      </c>
      <c r="J114" s="8">
        <f>Données!AN114</f>
        <v>22903</v>
      </c>
      <c r="K114" s="154">
        <f t="shared" si="13"/>
        <v>404173.00015915121</v>
      </c>
      <c r="L114" s="12">
        <f t="shared" si="14"/>
        <v>0</v>
      </c>
      <c r="M114" s="240">
        <f t="shared" si="15"/>
        <v>0</v>
      </c>
      <c r="O114" s="42">
        <f t="shared" si="16"/>
        <v>-3377514.0971668437</v>
      </c>
      <c r="P114" s="200"/>
      <c r="Q114" s="164"/>
      <c r="R114" s="164"/>
      <c r="S114" s="164"/>
      <c r="T114" s="164"/>
      <c r="U114" s="164"/>
      <c r="AF114" s="11"/>
      <c r="AG114" s="11"/>
      <c r="AH114" s="11"/>
      <c r="AI114" s="11"/>
      <c r="AJ114" s="11"/>
      <c r="AK114" s="11"/>
      <c r="AL114" s="11"/>
    </row>
    <row r="115" spans="1:38" x14ac:dyDescent="0.25">
      <c r="A115" s="38">
        <f>+Données!A115</f>
        <v>5590</v>
      </c>
      <c r="B115" s="184" t="str">
        <f>+Données!B115</f>
        <v>Pully</v>
      </c>
      <c r="C115" s="173">
        <f>+Ecrêtage!C115</f>
        <v>1396409.3683606556</v>
      </c>
      <c r="D115" s="171"/>
      <c r="E115" s="173">
        <f>Données!AF115+Données!AG115+Données!AH115</f>
        <v>17125610</v>
      </c>
      <c r="F115" s="171">
        <f t="shared" si="10"/>
        <v>11171274.946885245</v>
      </c>
      <c r="G115" s="8">
        <f t="shared" si="11"/>
        <v>5954335.0531147551</v>
      </c>
      <c r="H115" s="240">
        <f t="shared" si="12"/>
        <v>-4435766.2890721178</v>
      </c>
      <c r="J115" s="8">
        <f>Données!AN115</f>
        <v>494383</v>
      </c>
      <c r="K115" s="154">
        <f t="shared" si="13"/>
        <v>1396409.3683606556</v>
      </c>
      <c r="L115" s="12">
        <f t="shared" si="14"/>
        <v>0</v>
      </c>
      <c r="M115" s="240">
        <f t="shared" si="15"/>
        <v>0</v>
      </c>
      <c r="O115" s="42">
        <f t="shared" si="16"/>
        <v>-4435766.2890721178</v>
      </c>
      <c r="P115" s="200"/>
      <c r="Q115" s="164"/>
      <c r="R115" s="164"/>
      <c r="S115" s="164"/>
      <c r="T115" s="164"/>
      <c r="U115" s="164"/>
      <c r="AF115" s="11"/>
      <c r="AG115" s="11"/>
      <c r="AH115" s="11"/>
      <c r="AI115" s="11"/>
      <c r="AJ115" s="11"/>
      <c r="AK115" s="11"/>
      <c r="AL115" s="11"/>
    </row>
    <row r="116" spans="1:38" x14ac:dyDescent="0.25">
      <c r="A116" s="38">
        <f>+Données!A116</f>
        <v>5591</v>
      </c>
      <c r="B116" s="184" t="str">
        <f>+Données!B116</f>
        <v>Renens</v>
      </c>
      <c r="C116" s="173">
        <f>+Ecrêtage!C116</f>
        <v>592837.71432282007</v>
      </c>
      <c r="D116" s="171"/>
      <c r="E116" s="173">
        <f>Données!AF116+Données!AG116+Données!AH116</f>
        <v>14712299</v>
      </c>
      <c r="F116" s="171">
        <f t="shared" si="10"/>
        <v>4742701.7145825606</v>
      </c>
      <c r="G116" s="8">
        <f t="shared" si="11"/>
        <v>9969597.2854174394</v>
      </c>
      <c r="H116" s="240">
        <f t="shared" si="12"/>
        <v>-7426992.7976502273</v>
      </c>
      <c r="J116" s="8">
        <f>Données!AN116</f>
        <v>24173</v>
      </c>
      <c r="K116" s="154">
        <f t="shared" si="13"/>
        <v>592837.71432282007</v>
      </c>
      <c r="L116" s="12">
        <f t="shared" si="14"/>
        <v>0</v>
      </c>
      <c r="M116" s="240">
        <f t="shared" si="15"/>
        <v>0</v>
      </c>
      <c r="O116" s="42">
        <f t="shared" si="16"/>
        <v>-7426992.7976502273</v>
      </c>
      <c r="P116" s="200"/>
      <c r="Q116" s="164"/>
      <c r="R116" s="164"/>
      <c r="S116" s="164"/>
      <c r="T116" s="164"/>
      <c r="U116" s="164"/>
      <c r="AF116" s="11"/>
      <c r="AG116" s="11"/>
      <c r="AH116" s="11"/>
      <c r="AI116" s="11"/>
      <c r="AJ116" s="11"/>
      <c r="AK116" s="11"/>
      <c r="AL116" s="11"/>
    </row>
    <row r="117" spans="1:38" x14ac:dyDescent="0.25">
      <c r="A117" s="38">
        <f>+Données!A117</f>
        <v>5592</v>
      </c>
      <c r="B117" s="184" t="str">
        <f>+Données!B117</f>
        <v>Romanel-sur-Lausanne</v>
      </c>
      <c r="C117" s="173">
        <f>+Ecrêtage!C117</f>
        <v>113600.3384397163</v>
      </c>
      <c r="D117" s="171"/>
      <c r="E117" s="173">
        <f>Données!AF117+Données!AG117+Données!AH117</f>
        <v>1345689</v>
      </c>
      <c r="F117" s="171">
        <f t="shared" si="10"/>
        <v>908802.70751773042</v>
      </c>
      <c r="G117" s="8">
        <f t="shared" si="11"/>
        <v>436886.29248226958</v>
      </c>
      <c r="H117" s="240">
        <f t="shared" si="12"/>
        <v>-325464.63560810371</v>
      </c>
      <c r="J117" s="8">
        <f>Données!AN117</f>
        <v>9480</v>
      </c>
      <c r="K117" s="154">
        <f t="shared" si="13"/>
        <v>113600.3384397163</v>
      </c>
      <c r="L117" s="12">
        <f t="shared" si="14"/>
        <v>0</v>
      </c>
      <c r="M117" s="240">
        <f t="shared" si="15"/>
        <v>0</v>
      </c>
      <c r="O117" s="42">
        <f t="shared" si="16"/>
        <v>-325464.63560810371</v>
      </c>
      <c r="P117" s="200"/>
      <c r="Q117" s="164"/>
      <c r="R117" s="164"/>
      <c r="S117" s="164"/>
      <c r="T117" s="164"/>
      <c r="U117" s="164"/>
      <c r="AF117" s="11"/>
      <c r="AG117" s="11"/>
      <c r="AH117" s="11"/>
      <c r="AI117" s="11"/>
      <c r="AJ117" s="11"/>
      <c r="AK117" s="11"/>
      <c r="AL117" s="11"/>
    </row>
    <row r="118" spans="1:38" x14ac:dyDescent="0.25">
      <c r="A118" s="38">
        <f>+Données!A118</f>
        <v>5601</v>
      </c>
      <c r="B118" s="184" t="str">
        <f>+Données!B118</f>
        <v>Chexbres</v>
      </c>
      <c r="C118" s="173">
        <f>+Ecrêtage!C118</f>
        <v>106014.1851851852</v>
      </c>
      <c r="D118" s="171"/>
      <c r="E118" s="173">
        <f>Données!AF118+Données!AG118+Données!AH118</f>
        <v>1319038</v>
      </c>
      <c r="F118" s="171">
        <f t="shared" si="10"/>
        <v>848113.48148148158</v>
      </c>
      <c r="G118" s="8">
        <f t="shared" si="11"/>
        <v>470924.51851851842</v>
      </c>
      <c r="H118" s="240">
        <f t="shared" si="12"/>
        <v>-350821.89452023496</v>
      </c>
      <c r="J118" s="8">
        <f>Données!AN118</f>
        <v>37282</v>
      </c>
      <c r="K118" s="154">
        <f t="shared" si="13"/>
        <v>106014.1851851852</v>
      </c>
      <c r="L118" s="12">
        <f t="shared" si="14"/>
        <v>0</v>
      </c>
      <c r="M118" s="240">
        <f t="shared" si="15"/>
        <v>0</v>
      </c>
      <c r="O118" s="42">
        <f t="shared" si="16"/>
        <v>-350821.89452023496</v>
      </c>
      <c r="P118" s="200"/>
      <c r="Q118" s="164"/>
      <c r="R118" s="164"/>
      <c r="S118" s="164"/>
      <c r="T118" s="164"/>
      <c r="U118" s="164"/>
      <c r="AF118" s="11"/>
      <c r="AG118" s="11"/>
      <c r="AH118" s="11"/>
      <c r="AI118" s="11"/>
      <c r="AJ118" s="11"/>
      <c r="AK118" s="11"/>
      <c r="AL118" s="11"/>
    </row>
    <row r="119" spans="1:38" x14ac:dyDescent="0.25">
      <c r="A119" s="38">
        <f>+Données!A119</f>
        <v>5604</v>
      </c>
      <c r="B119" s="184" t="str">
        <f>+Données!B119</f>
        <v>Forel (Lavaux)</v>
      </c>
      <c r="C119" s="173">
        <f>+Ecrêtage!C119</f>
        <v>70958.245217391304</v>
      </c>
      <c r="D119" s="171"/>
      <c r="E119" s="173">
        <f>Données!AF119+Données!AG119+Données!AH119</f>
        <v>1094786</v>
      </c>
      <c r="F119" s="171">
        <f t="shared" si="10"/>
        <v>567665.96173913043</v>
      </c>
      <c r="G119" s="8">
        <f t="shared" si="11"/>
        <v>527120.03826086957</v>
      </c>
      <c r="H119" s="240">
        <f t="shared" si="12"/>
        <v>-392685.54341577581</v>
      </c>
      <c r="J119" s="8">
        <f>Données!AN119</f>
        <v>105497</v>
      </c>
      <c r="K119" s="154">
        <f t="shared" si="13"/>
        <v>70958.245217391304</v>
      </c>
      <c r="L119" s="12">
        <f t="shared" si="14"/>
        <v>34538.754782608696</v>
      </c>
      <c r="M119" s="240">
        <f t="shared" si="15"/>
        <v>-25730.134895764884</v>
      </c>
      <c r="O119" s="42">
        <f t="shared" si="16"/>
        <v>-418415.67831154069</v>
      </c>
      <c r="P119" s="200"/>
      <c r="Q119" s="164"/>
      <c r="R119" s="164"/>
      <c r="S119" s="164"/>
      <c r="T119" s="164"/>
      <c r="U119" s="164"/>
      <c r="AF119" s="11"/>
      <c r="AG119" s="11"/>
      <c r="AH119" s="11"/>
      <c r="AI119" s="11"/>
      <c r="AJ119" s="11"/>
      <c r="AK119" s="11"/>
      <c r="AL119" s="11"/>
    </row>
    <row r="120" spans="1:38" x14ac:dyDescent="0.25">
      <c r="A120" s="38">
        <f>+Données!A120</f>
        <v>5606</v>
      </c>
      <c r="B120" s="184" t="str">
        <f>+Données!B120</f>
        <v>Lutry</v>
      </c>
      <c r="C120" s="173">
        <f>+Ecrêtage!C120</f>
        <v>1017485.9645767196</v>
      </c>
      <c r="D120" s="171"/>
      <c r="E120" s="173">
        <f>Données!AF120+Données!AG120+Données!AH120</f>
        <v>10744441</v>
      </c>
      <c r="F120" s="171">
        <f t="shared" si="10"/>
        <v>8139887.7166137565</v>
      </c>
      <c r="G120" s="8">
        <f t="shared" si="11"/>
        <v>2604553.2833862435</v>
      </c>
      <c r="H120" s="240">
        <f t="shared" si="12"/>
        <v>-1940298.8829950441</v>
      </c>
      <c r="J120" s="8">
        <f>Données!AN120</f>
        <v>193116</v>
      </c>
      <c r="K120" s="154">
        <f t="shared" si="13"/>
        <v>1017485.9645767196</v>
      </c>
      <c r="L120" s="12">
        <f t="shared" si="14"/>
        <v>0</v>
      </c>
      <c r="M120" s="240">
        <f t="shared" si="15"/>
        <v>0</v>
      </c>
      <c r="O120" s="42">
        <f t="shared" si="16"/>
        <v>-1940298.8829950441</v>
      </c>
      <c r="P120" s="200"/>
      <c r="Q120" s="164"/>
      <c r="R120" s="164"/>
      <c r="S120" s="164"/>
      <c r="T120" s="164"/>
      <c r="U120" s="164"/>
      <c r="AF120" s="11"/>
      <c r="AG120" s="11"/>
      <c r="AH120" s="11"/>
      <c r="AI120" s="11"/>
      <c r="AJ120" s="11"/>
      <c r="AK120" s="11"/>
      <c r="AL120" s="11"/>
    </row>
    <row r="121" spans="1:38" x14ac:dyDescent="0.25">
      <c r="A121" s="38">
        <f>+Données!A121</f>
        <v>5607</v>
      </c>
      <c r="B121" s="184" t="str">
        <f>+Données!B121</f>
        <v>Puidoux</v>
      </c>
      <c r="C121" s="173">
        <f>+Ecrêtage!C121</f>
        <v>117488.86391621709</v>
      </c>
      <c r="D121" s="171"/>
      <c r="E121" s="173">
        <f>Données!AF121+Données!AG121+Données!AH121</f>
        <v>2358109</v>
      </c>
      <c r="F121" s="171">
        <f t="shared" si="10"/>
        <v>939910.9113297367</v>
      </c>
      <c r="G121" s="8">
        <f t="shared" si="11"/>
        <v>1418198.0886702633</v>
      </c>
      <c r="H121" s="240">
        <f t="shared" si="12"/>
        <v>-1056506.7663868368</v>
      </c>
      <c r="J121" s="8">
        <f>Données!AN121</f>
        <v>39224</v>
      </c>
      <c r="K121" s="154">
        <f t="shared" si="13"/>
        <v>117488.86391621709</v>
      </c>
      <c r="L121" s="12">
        <f t="shared" si="14"/>
        <v>0</v>
      </c>
      <c r="M121" s="240">
        <f t="shared" si="15"/>
        <v>0</v>
      </c>
      <c r="O121" s="42">
        <f t="shared" si="16"/>
        <v>-1056506.7663868368</v>
      </c>
      <c r="P121" s="200"/>
      <c r="Q121" s="164"/>
      <c r="R121" s="164"/>
      <c r="S121" s="164"/>
      <c r="T121" s="164"/>
      <c r="U121" s="164"/>
      <c r="AF121" s="11"/>
      <c r="AG121" s="11"/>
      <c r="AH121" s="11"/>
      <c r="AI121" s="11"/>
      <c r="AJ121" s="11"/>
      <c r="AK121" s="11"/>
      <c r="AL121" s="11"/>
    </row>
    <row r="122" spans="1:38" x14ac:dyDescent="0.25">
      <c r="A122" s="38">
        <f>+Données!A122</f>
        <v>5609</v>
      </c>
      <c r="B122" s="184" t="str">
        <f>+Données!B122</f>
        <v>Rivaz</v>
      </c>
      <c r="C122" s="173">
        <f>+Ecrêtage!C122</f>
        <v>14930.074677419358</v>
      </c>
      <c r="D122" s="171"/>
      <c r="E122" s="173">
        <f>Données!AF122+Données!AG122+Données!AH122</f>
        <v>214443</v>
      </c>
      <c r="F122" s="171">
        <f t="shared" si="10"/>
        <v>119440.59741935486</v>
      </c>
      <c r="G122" s="8">
        <f t="shared" si="11"/>
        <v>95002.402580645139</v>
      </c>
      <c r="H122" s="240">
        <f t="shared" si="12"/>
        <v>-70773.38627889975</v>
      </c>
      <c r="J122" s="8">
        <f>Données!AN122</f>
        <v>19824</v>
      </c>
      <c r="K122" s="154">
        <f t="shared" si="13"/>
        <v>14930.074677419358</v>
      </c>
      <c r="L122" s="12">
        <f t="shared" si="14"/>
        <v>4893.9253225806424</v>
      </c>
      <c r="M122" s="240">
        <f t="shared" si="15"/>
        <v>-3645.7990310410614</v>
      </c>
      <c r="O122" s="42">
        <f t="shared" si="16"/>
        <v>-74419.185309940818</v>
      </c>
      <c r="P122" s="200"/>
      <c r="Q122" s="164"/>
      <c r="R122" s="164"/>
      <c r="S122" s="164"/>
      <c r="T122" s="164"/>
      <c r="U122" s="164"/>
      <c r="AF122" s="11"/>
      <c r="AG122" s="11"/>
      <c r="AH122" s="11"/>
      <c r="AI122" s="11"/>
      <c r="AJ122" s="11"/>
      <c r="AK122" s="11"/>
      <c r="AL122" s="11"/>
    </row>
    <row r="123" spans="1:38" x14ac:dyDescent="0.25">
      <c r="A123" s="38">
        <f>+Données!A123</f>
        <v>5610</v>
      </c>
      <c r="B123" s="184" t="str">
        <f>+Données!B123</f>
        <v>St-Saphorin (Lavaux)</v>
      </c>
      <c r="C123" s="173">
        <f>+Ecrêtage!C123</f>
        <v>21326.365740740741</v>
      </c>
      <c r="D123" s="171"/>
      <c r="E123" s="173">
        <f>Données!AF123+Données!AG123+Données!AH123</f>
        <v>179971</v>
      </c>
      <c r="F123" s="171">
        <f t="shared" si="10"/>
        <v>170610.92592592593</v>
      </c>
      <c r="G123" s="8">
        <f t="shared" si="11"/>
        <v>9360.074074074073</v>
      </c>
      <c r="H123" s="240">
        <f t="shared" si="12"/>
        <v>-6972.9198425400582</v>
      </c>
      <c r="J123" s="8">
        <f>Données!AN123</f>
        <v>9545</v>
      </c>
      <c r="K123" s="154">
        <f t="shared" si="13"/>
        <v>21326.365740740741</v>
      </c>
      <c r="L123" s="12">
        <f t="shared" si="14"/>
        <v>0</v>
      </c>
      <c r="M123" s="240">
        <f t="shared" si="15"/>
        <v>0</v>
      </c>
      <c r="O123" s="42">
        <f t="shared" si="16"/>
        <v>-6972.9198425400582</v>
      </c>
      <c r="P123" s="200"/>
      <c r="Q123" s="164"/>
      <c r="R123" s="164"/>
      <c r="S123" s="164"/>
      <c r="T123" s="164"/>
      <c r="U123" s="164"/>
      <c r="AF123" s="11"/>
      <c r="AG123" s="11"/>
      <c r="AH123" s="11"/>
      <c r="AI123" s="11"/>
      <c r="AJ123" s="11"/>
      <c r="AK123" s="11"/>
      <c r="AL123" s="11"/>
    </row>
    <row r="124" spans="1:38" x14ac:dyDescent="0.25">
      <c r="A124" s="38">
        <f>+Données!A124</f>
        <v>5611</v>
      </c>
      <c r="B124" s="184" t="str">
        <f>+Données!B124</f>
        <v>Savigny</v>
      </c>
      <c r="C124" s="173">
        <f>+Ecrêtage!C124</f>
        <v>139625.83456521737</v>
      </c>
      <c r="D124" s="171"/>
      <c r="E124" s="173">
        <f>Données!AF124+Données!AG124+Données!AH124</f>
        <v>2126275</v>
      </c>
      <c r="F124" s="171">
        <f t="shared" si="10"/>
        <v>1117006.676521739</v>
      </c>
      <c r="G124" s="8">
        <f t="shared" si="11"/>
        <v>1009268.323478261</v>
      </c>
      <c r="H124" s="240">
        <f t="shared" si="12"/>
        <v>-751868.74201365549</v>
      </c>
      <c r="J124" s="8">
        <f>Données!AN124</f>
        <v>97596</v>
      </c>
      <c r="K124" s="154">
        <f t="shared" si="13"/>
        <v>139625.83456521737</v>
      </c>
      <c r="L124" s="12">
        <f t="shared" si="14"/>
        <v>0</v>
      </c>
      <c r="M124" s="240">
        <f t="shared" si="15"/>
        <v>0</v>
      </c>
      <c r="O124" s="42">
        <f t="shared" si="16"/>
        <v>-751868.74201365549</v>
      </c>
      <c r="P124" s="200"/>
      <c r="Q124" s="164"/>
      <c r="R124" s="164"/>
      <c r="S124" s="164"/>
      <c r="T124" s="164"/>
      <c r="U124" s="164"/>
      <c r="AF124" s="11"/>
      <c r="AG124" s="11"/>
      <c r="AH124" s="11"/>
      <c r="AI124" s="11"/>
      <c r="AJ124" s="11"/>
      <c r="AK124" s="11"/>
      <c r="AL124" s="11"/>
    </row>
    <row r="125" spans="1:38" x14ac:dyDescent="0.25">
      <c r="A125" s="38">
        <f>+Données!A125</f>
        <v>5613</v>
      </c>
      <c r="B125" s="184" t="str">
        <f>+Données!B125</f>
        <v>Bourg-en-Lavaux</v>
      </c>
      <c r="C125" s="173">
        <f>+Ecrêtage!C125</f>
        <v>367203.96533333336</v>
      </c>
      <c r="D125" s="171"/>
      <c r="E125" s="173">
        <f>Données!AF125+Données!AG125+Données!AH125</f>
        <v>2691141</v>
      </c>
      <c r="F125" s="171">
        <f t="shared" si="10"/>
        <v>2937631.7226666668</v>
      </c>
      <c r="G125" s="8">
        <f t="shared" si="11"/>
        <v>0</v>
      </c>
      <c r="H125" s="240">
        <f t="shared" si="12"/>
        <v>0</v>
      </c>
      <c r="J125" s="8">
        <f>Données!AN125</f>
        <v>184940</v>
      </c>
      <c r="K125" s="154">
        <f t="shared" si="13"/>
        <v>367203.96533333336</v>
      </c>
      <c r="L125" s="12">
        <f t="shared" si="14"/>
        <v>0</v>
      </c>
      <c r="M125" s="240">
        <f t="shared" si="15"/>
        <v>0</v>
      </c>
      <c r="O125" s="42">
        <f t="shared" si="16"/>
        <v>0</v>
      </c>
      <c r="P125" s="200"/>
      <c r="Q125" s="164"/>
      <c r="R125" s="164"/>
      <c r="S125" s="164"/>
      <c r="T125" s="164"/>
      <c r="U125" s="164"/>
      <c r="AF125" s="11"/>
      <c r="AG125" s="11"/>
      <c r="AH125" s="11"/>
      <c r="AI125" s="11"/>
      <c r="AJ125" s="11"/>
      <c r="AK125" s="11"/>
      <c r="AL125" s="11"/>
    </row>
    <row r="126" spans="1:38" x14ac:dyDescent="0.25">
      <c r="A126" s="38">
        <f>+Données!A126</f>
        <v>5621</v>
      </c>
      <c r="B126" s="184" t="str">
        <f>+Données!B126</f>
        <v>Aclens</v>
      </c>
      <c r="C126" s="173">
        <f>+Ecrêtage!C126</f>
        <v>39195.040043988265</v>
      </c>
      <c r="D126" s="171"/>
      <c r="E126" s="173">
        <f>Données!AF126+Données!AG126+Données!AH126</f>
        <v>265674</v>
      </c>
      <c r="F126" s="171">
        <f t="shared" si="10"/>
        <v>313560.32035190612</v>
      </c>
      <c r="G126" s="8">
        <f t="shared" si="11"/>
        <v>0</v>
      </c>
      <c r="H126" s="240">
        <f t="shared" si="12"/>
        <v>0</v>
      </c>
      <c r="J126" s="8">
        <f>Données!AN126</f>
        <v>9890</v>
      </c>
      <c r="K126" s="154">
        <f t="shared" si="13"/>
        <v>39195.040043988265</v>
      </c>
      <c r="L126" s="12">
        <f t="shared" si="14"/>
        <v>0</v>
      </c>
      <c r="M126" s="240">
        <f t="shared" si="15"/>
        <v>0</v>
      </c>
      <c r="O126" s="42">
        <f t="shared" si="16"/>
        <v>0</v>
      </c>
      <c r="P126" s="200"/>
      <c r="Q126" s="164"/>
      <c r="R126" s="164"/>
      <c r="S126" s="164"/>
      <c r="T126" s="164"/>
      <c r="U126" s="164"/>
      <c r="AF126" s="11"/>
      <c r="AG126" s="11"/>
      <c r="AH126" s="11"/>
      <c r="AI126" s="11"/>
      <c r="AJ126" s="11"/>
      <c r="AK126" s="11"/>
      <c r="AL126" s="11"/>
    </row>
    <row r="127" spans="1:38" x14ac:dyDescent="0.25">
      <c r="A127" s="38">
        <f>+Données!A127</f>
        <v>5622</v>
      </c>
      <c r="B127" s="184" t="str">
        <f>+Données!B127</f>
        <v>Bremblens</v>
      </c>
      <c r="C127" s="173">
        <f>+Ecrêtage!C127</f>
        <v>30851.898676470591</v>
      </c>
      <c r="D127" s="171"/>
      <c r="E127" s="173">
        <f>Données!AF127+Données!AG127+Données!AH127</f>
        <v>233125</v>
      </c>
      <c r="F127" s="171">
        <f t="shared" si="10"/>
        <v>246815.18941176473</v>
      </c>
      <c r="G127" s="8">
        <f t="shared" si="11"/>
        <v>0</v>
      </c>
      <c r="H127" s="240">
        <f t="shared" si="12"/>
        <v>0</v>
      </c>
      <c r="J127" s="8">
        <f>Données!AN127</f>
        <v>5100</v>
      </c>
      <c r="K127" s="154">
        <f t="shared" si="13"/>
        <v>30851.898676470591</v>
      </c>
      <c r="L127" s="12">
        <f t="shared" si="14"/>
        <v>0</v>
      </c>
      <c r="M127" s="240">
        <f t="shared" si="15"/>
        <v>0</v>
      </c>
      <c r="O127" s="42">
        <f t="shared" si="16"/>
        <v>0</v>
      </c>
      <c r="P127" s="200"/>
      <c r="Q127" s="164"/>
      <c r="R127" s="164"/>
      <c r="S127" s="164"/>
      <c r="T127" s="164"/>
      <c r="U127" s="164"/>
      <c r="AF127" s="11"/>
      <c r="AG127" s="11"/>
      <c r="AH127" s="11"/>
      <c r="AI127" s="11"/>
      <c r="AJ127" s="11"/>
      <c r="AK127" s="11"/>
      <c r="AL127" s="11"/>
    </row>
    <row r="128" spans="1:38" x14ac:dyDescent="0.25">
      <c r="A128" s="38">
        <f>+Données!A128</f>
        <v>5623</v>
      </c>
      <c r="B128" s="184" t="str">
        <f>+Données!B128</f>
        <v>Buchillon</v>
      </c>
      <c r="C128" s="173">
        <f>+Ecrêtage!C128</f>
        <v>88400.607692307691</v>
      </c>
      <c r="D128" s="171"/>
      <c r="E128" s="173">
        <f>Données!AF128+Données!AG128+Données!AH128</f>
        <v>211649</v>
      </c>
      <c r="F128" s="171">
        <f t="shared" si="10"/>
        <v>707204.86153846153</v>
      </c>
      <c r="G128" s="8">
        <f t="shared" si="11"/>
        <v>0</v>
      </c>
      <c r="H128" s="240">
        <f t="shared" si="12"/>
        <v>0</v>
      </c>
      <c r="J128" s="8">
        <f>Données!AN128</f>
        <v>9842</v>
      </c>
      <c r="K128" s="154">
        <f t="shared" si="13"/>
        <v>88400.607692307691</v>
      </c>
      <c r="L128" s="12">
        <f t="shared" si="14"/>
        <v>0</v>
      </c>
      <c r="M128" s="240">
        <f t="shared" si="15"/>
        <v>0</v>
      </c>
      <c r="O128" s="42">
        <f t="shared" si="16"/>
        <v>0</v>
      </c>
      <c r="P128" s="200"/>
      <c r="Q128" s="164"/>
      <c r="R128" s="164"/>
      <c r="S128" s="164"/>
      <c r="T128" s="164"/>
      <c r="U128" s="164"/>
      <c r="AF128" s="11"/>
      <c r="AG128" s="11"/>
      <c r="AH128" s="11"/>
      <c r="AI128" s="11"/>
      <c r="AJ128" s="11"/>
      <c r="AK128" s="11"/>
      <c r="AL128" s="11"/>
    </row>
    <row r="129" spans="1:38" x14ac:dyDescent="0.25">
      <c r="A129" s="38">
        <f>+Données!A129</f>
        <v>5624</v>
      </c>
      <c r="B129" s="184" t="str">
        <f>+Données!B129</f>
        <v>Bussigny</v>
      </c>
      <c r="C129" s="173">
        <f>+Ecrêtage!C129</f>
        <v>394274.86895999993</v>
      </c>
      <c r="D129" s="171"/>
      <c r="E129" s="173">
        <f>Données!AF129+Données!AG129+Données!AH129</f>
        <v>6674122.1100000003</v>
      </c>
      <c r="F129" s="171">
        <f t="shared" si="10"/>
        <v>3154198.9516799995</v>
      </c>
      <c r="G129" s="8">
        <f t="shared" si="11"/>
        <v>3519923.1583200009</v>
      </c>
      <c r="H129" s="240">
        <f t="shared" si="12"/>
        <v>-2622216.6449354501</v>
      </c>
      <c r="J129" s="8">
        <f>Données!AN129</f>
        <v>215853.51</v>
      </c>
      <c r="K129" s="154">
        <f t="shared" si="13"/>
        <v>394274.86895999993</v>
      </c>
      <c r="L129" s="12">
        <f t="shared" si="14"/>
        <v>0</v>
      </c>
      <c r="M129" s="240">
        <f t="shared" si="15"/>
        <v>0</v>
      </c>
      <c r="O129" s="42">
        <f t="shared" si="16"/>
        <v>-2622216.6449354501</v>
      </c>
      <c r="P129" s="200"/>
      <c r="Q129" s="164"/>
      <c r="R129" s="164"/>
      <c r="S129" s="164"/>
      <c r="T129" s="164"/>
      <c r="U129" s="164"/>
      <c r="AF129" s="11"/>
      <c r="AG129" s="11"/>
      <c r="AH129" s="11"/>
      <c r="AI129" s="11"/>
      <c r="AJ129" s="11"/>
      <c r="AK129" s="11"/>
      <c r="AL129" s="11"/>
    </row>
    <row r="130" spans="1:38" x14ac:dyDescent="0.25">
      <c r="A130" s="38">
        <f>+Données!A130</f>
        <v>5627</v>
      </c>
      <c r="B130" s="184" t="str">
        <f>+Données!B130</f>
        <v>Chavannes-près-Renens</v>
      </c>
      <c r="C130" s="173">
        <f>+Ecrêtage!C130</f>
        <v>188678.11200000002</v>
      </c>
      <c r="D130" s="171"/>
      <c r="E130" s="173">
        <f>Données!AF130+Données!AG130+Données!AH130</f>
        <v>4604896</v>
      </c>
      <c r="F130" s="171">
        <f t="shared" si="10"/>
        <v>1509424.8960000002</v>
      </c>
      <c r="G130" s="8">
        <f t="shared" si="11"/>
        <v>3095471.1039999998</v>
      </c>
      <c r="H130" s="240">
        <f t="shared" si="12"/>
        <v>-2306015.0712777539</v>
      </c>
      <c r="J130" s="8">
        <f>Données!AN130</f>
        <v>11346</v>
      </c>
      <c r="K130" s="154">
        <f t="shared" si="13"/>
        <v>188678.11200000002</v>
      </c>
      <c r="L130" s="12">
        <f t="shared" si="14"/>
        <v>0</v>
      </c>
      <c r="M130" s="240">
        <f t="shared" si="15"/>
        <v>0</v>
      </c>
      <c r="O130" s="42">
        <f t="shared" si="16"/>
        <v>-2306015.0712777539</v>
      </c>
      <c r="P130" s="200"/>
      <c r="Q130" s="164"/>
      <c r="R130" s="164"/>
      <c r="S130" s="164"/>
      <c r="T130" s="164"/>
      <c r="U130" s="164"/>
      <c r="AF130" s="11"/>
      <c r="AG130" s="11"/>
      <c r="AH130" s="11"/>
      <c r="AI130" s="11"/>
      <c r="AJ130" s="11"/>
      <c r="AK130" s="11"/>
      <c r="AL130" s="11"/>
    </row>
    <row r="131" spans="1:38" x14ac:dyDescent="0.25">
      <c r="A131" s="38">
        <f>+Données!A131</f>
        <v>5628</v>
      </c>
      <c r="B131" s="184" t="str">
        <f>+Données!B131</f>
        <v>Chigny</v>
      </c>
      <c r="C131" s="173">
        <f>+Ecrêtage!C131</f>
        <v>27627.246129032257</v>
      </c>
      <c r="D131" s="171"/>
      <c r="E131" s="173">
        <f>Données!AF131+Données!AG131+Données!AH131</f>
        <v>101954</v>
      </c>
      <c r="F131" s="171">
        <f t="shared" si="10"/>
        <v>221017.96903225806</v>
      </c>
      <c r="G131" s="8">
        <f t="shared" si="11"/>
        <v>0</v>
      </c>
      <c r="H131" s="240">
        <f t="shared" si="12"/>
        <v>0</v>
      </c>
      <c r="J131" s="8">
        <f>Données!AN131</f>
        <v>3108</v>
      </c>
      <c r="K131" s="154">
        <f t="shared" si="13"/>
        <v>27627.246129032257</v>
      </c>
      <c r="L131" s="12">
        <f t="shared" si="14"/>
        <v>0</v>
      </c>
      <c r="M131" s="240">
        <f t="shared" si="15"/>
        <v>0</v>
      </c>
      <c r="O131" s="42">
        <f t="shared" si="16"/>
        <v>0</v>
      </c>
      <c r="P131" s="200"/>
      <c r="Q131" s="164"/>
      <c r="R131" s="164"/>
      <c r="S131" s="164"/>
      <c r="T131" s="164"/>
      <c r="U131" s="164"/>
      <c r="AF131" s="11"/>
      <c r="AG131" s="11"/>
      <c r="AH131" s="11"/>
      <c r="AI131" s="11"/>
      <c r="AJ131" s="11"/>
      <c r="AK131" s="11"/>
      <c r="AL131" s="11"/>
    </row>
    <row r="132" spans="1:38" x14ac:dyDescent="0.25">
      <c r="A132" s="38">
        <f>+Données!A132</f>
        <v>5629</v>
      </c>
      <c r="B132" s="184" t="str">
        <f>+Données!B132</f>
        <v>Clarmont</v>
      </c>
      <c r="C132" s="173">
        <f>+Ecrêtage!C132</f>
        <v>9964.5079166666674</v>
      </c>
      <c r="D132" s="171"/>
      <c r="E132" s="173">
        <f>Données!AF132+Données!AG132+Données!AH132</f>
        <v>150683</v>
      </c>
      <c r="F132" s="171">
        <f t="shared" si="10"/>
        <v>79716.063333333339</v>
      </c>
      <c r="G132" s="8">
        <f t="shared" si="11"/>
        <v>70966.936666666661</v>
      </c>
      <c r="H132" s="240">
        <f t="shared" si="12"/>
        <v>-52867.82528975181</v>
      </c>
      <c r="J132" s="8">
        <f>Données!AN132</f>
        <v>443</v>
      </c>
      <c r="K132" s="154">
        <f t="shared" si="13"/>
        <v>9964.5079166666674</v>
      </c>
      <c r="L132" s="12">
        <f t="shared" si="14"/>
        <v>0</v>
      </c>
      <c r="M132" s="240">
        <f t="shared" si="15"/>
        <v>0</v>
      </c>
      <c r="O132" s="42">
        <f t="shared" si="16"/>
        <v>-52867.82528975181</v>
      </c>
      <c r="P132" s="200"/>
      <c r="Q132" s="164"/>
      <c r="R132" s="164"/>
      <c r="S132" s="164"/>
      <c r="T132" s="164"/>
      <c r="U132" s="164"/>
      <c r="AF132" s="11"/>
      <c r="AG132" s="11"/>
      <c r="AH132" s="11"/>
      <c r="AI132" s="11"/>
      <c r="AJ132" s="11"/>
      <c r="AK132" s="11"/>
      <c r="AL132" s="11"/>
    </row>
    <row r="133" spans="1:38" x14ac:dyDescent="0.25">
      <c r="A133" s="38">
        <f>+Données!A133</f>
        <v>5631</v>
      </c>
      <c r="B133" s="184" t="str">
        <f>+Données!B133</f>
        <v>Denens</v>
      </c>
      <c r="C133" s="173">
        <f>+Ecrêtage!C133</f>
        <v>41714.033529411769</v>
      </c>
      <c r="D133" s="171"/>
      <c r="E133" s="173">
        <f>Données!AF133+Données!AG133+Données!AH133</f>
        <v>244464</v>
      </c>
      <c r="F133" s="171">
        <f t="shared" si="10"/>
        <v>333712.26823529415</v>
      </c>
      <c r="G133" s="8">
        <f t="shared" si="11"/>
        <v>0</v>
      </c>
      <c r="H133" s="240">
        <f t="shared" si="12"/>
        <v>0</v>
      </c>
      <c r="J133" s="8">
        <f>Données!AN133</f>
        <v>-790</v>
      </c>
      <c r="K133" s="154">
        <f t="shared" si="13"/>
        <v>41714.033529411769</v>
      </c>
      <c r="L133" s="12">
        <f t="shared" si="14"/>
        <v>0</v>
      </c>
      <c r="M133" s="240">
        <f t="shared" si="15"/>
        <v>0</v>
      </c>
      <c r="O133" s="42">
        <f t="shared" si="16"/>
        <v>0</v>
      </c>
      <c r="P133" s="200"/>
      <c r="Q133" s="164"/>
      <c r="R133" s="164"/>
      <c r="S133" s="164"/>
      <c r="T133" s="164"/>
      <c r="U133" s="164"/>
      <c r="AF133" s="11"/>
      <c r="AG133" s="11"/>
      <c r="AH133" s="11"/>
      <c r="AI133" s="11"/>
      <c r="AJ133" s="11"/>
      <c r="AK133" s="11"/>
      <c r="AL133" s="11"/>
    </row>
    <row r="134" spans="1:38" x14ac:dyDescent="0.25">
      <c r="A134" s="38">
        <f>+Données!A134</f>
        <v>5632</v>
      </c>
      <c r="B134" s="184" t="str">
        <f>+Données!B134</f>
        <v>Denges</v>
      </c>
      <c r="C134" s="173">
        <f>+Ecrêtage!C134</f>
        <v>81638.998870967742</v>
      </c>
      <c r="D134" s="171"/>
      <c r="E134" s="173">
        <f>Données!AF134+Données!AG134+Données!AH134</f>
        <v>884449</v>
      </c>
      <c r="F134" s="171">
        <f t="shared" si="10"/>
        <v>653111.99096774193</v>
      </c>
      <c r="G134" s="8">
        <f t="shared" si="11"/>
        <v>231337.00903225807</v>
      </c>
      <c r="H134" s="240">
        <f t="shared" si="12"/>
        <v>-172337.78363602032</v>
      </c>
      <c r="J134" s="8">
        <f>Données!AN134</f>
        <v>1047</v>
      </c>
      <c r="K134" s="154">
        <f t="shared" si="13"/>
        <v>81638.998870967742</v>
      </c>
      <c r="L134" s="12">
        <f t="shared" si="14"/>
        <v>0</v>
      </c>
      <c r="M134" s="240">
        <f t="shared" si="15"/>
        <v>0</v>
      </c>
      <c r="O134" s="42">
        <f t="shared" si="16"/>
        <v>-172337.78363602032</v>
      </c>
      <c r="P134" s="200"/>
      <c r="Q134" s="164"/>
      <c r="R134" s="164"/>
      <c r="S134" s="164"/>
      <c r="T134" s="164"/>
      <c r="U134" s="164"/>
      <c r="AF134" s="11"/>
      <c r="AG134" s="11"/>
      <c r="AH134" s="11"/>
      <c r="AI134" s="11"/>
      <c r="AJ134" s="11"/>
      <c r="AK134" s="11"/>
      <c r="AL134" s="11"/>
    </row>
    <row r="135" spans="1:38" x14ac:dyDescent="0.25">
      <c r="A135" s="38">
        <f>+Données!A135</f>
        <v>5633</v>
      </c>
      <c r="B135" s="184" t="str">
        <f>+Données!B135</f>
        <v>Echandens</v>
      </c>
      <c r="C135" s="173">
        <f>+Ecrêtage!C135</f>
        <v>149828.14198347108</v>
      </c>
      <c r="D135" s="171"/>
      <c r="E135" s="173">
        <f>Données!AF135+Données!AG135+Données!AH135</f>
        <v>2325316</v>
      </c>
      <c r="F135" s="171">
        <f t="shared" ref="F135:F198" si="17">+C135*$G$5</f>
        <v>1198625.1358677687</v>
      </c>
      <c r="G135" s="8">
        <f t="shared" ref="G135:G198" si="18">IF(E135&gt;F135,E135-F135,0)</f>
        <v>1126690.8641322313</v>
      </c>
      <c r="H135" s="240">
        <f t="shared" ref="H135:H198" si="19">-G135*H$5</f>
        <v>-839344.32791264122</v>
      </c>
      <c r="J135" s="8">
        <f>Données!AN135</f>
        <v>8617</v>
      </c>
      <c r="K135" s="154">
        <f t="shared" ref="K135:K198" si="20">C135*L$5</f>
        <v>149828.14198347108</v>
      </c>
      <c r="L135" s="12">
        <f t="shared" ref="L135:L198" si="21">IF(J135&gt;K135,J135-K135,0)</f>
        <v>0</v>
      </c>
      <c r="M135" s="240">
        <f t="shared" ref="M135:M198" si="22">-L135*M$5</f>
        <v>0</v>
      </c>
      <c r="O135" s="42">
        <f t="shared" ref="O135:O198" si="23">M135+H135</f>
        <v>-839344.32791264122</v>
      </c>
      <c r="P135" s="200"/>
      <c r="Q135" s="164"/>
      <c r="R135" s="164"/>
      <c r="S135" s="164"/>
      <c r="T135" s="164"/>
      <c r="U135" s="164"/>
      <c r="AF135" s="11"/>
      <c r="AG135" s="11"/>
      <c r="AH135" s="11"/>
      <c r="AI135" s="11"/>
      <c r="AJ135" s="11"/>
      <c r="AK135" s="11"/>
      <c r="AL135" s="11"/>
    </row>
    <row r="136" spans="1:38" x14ac:dyDescent="0.25">
      <c r="A136" s="38">
        <f>+Données!A136</f>
        <v>5634</v>
      </c>
      <c r="B136" s="184" t="str">
        <f>+Données!B136</f>
        <v>Echichens</v>
      </c>
      <c r="C136" s="173">
        <f>+Ecrêtage!C136</f>
        <v>183136.60893939398</v>
      </c>
      <c r="D136" s="171"/>
      <c r="E136" s="173">
        <f>Données!AF136+Données!AG136+Données!AH136</f>
        <v>1549972</v>
      </c>
      <c r="F136" s="171">
        <f t="shared" si="17"/>
        <v>1465092.8715151518</v>
      </c>
      <c r="G136" s="8">
        <f t="shared" si="18"/>
        <v>84879.128484848188</v>
      </c>
      <c r="H136" s="240">
        <f t="shared" si="19"/>
        <v>-63231.909763283911</v>
      </c>
      <c r="J136" s="8">
        <f>Données!AN136</f>
        <v>19371</v>
      </c>
      <c r="K136" s="154">
        <f t="shared" si="20"/>
        <v>183136.60893939398</v>
      </c>
      <c r="L136" s="12">
        <f t="shared" si="21"/>
        <v>0</v>
      </c>
      <c r="M136" s="240">
        <f t="shared" si="22"/>
        <v>0</v>
      </c>
      <c r="O136" s="42">
        <f t="shared" si="23"/>
        <v>-63231.909763283911</v>
      </c>
      <c r="P136" s="200"/>
      <c r="Q136" s="164"/>
      <c r="R136" s="164"/>
      <c r="S136" s="164"/>
      <c r="T136" s="164"/>
      <c r="U136" s="164"/>
      <c r="AF136" s="11"/>
      <c r="AG136" s="11"/>
      <c r="AH136" s="11"/>
      <c r="AI136" s="11"/>
      <c r="AJ136" s="11"/>
      <c r="AK136" s="11"/>
      <c r="AL136" s="11"/>
    </row>
    <row r="137" spans="1:38" x14ac:dyDescent="0.25">
      <c r="A137" s="38">
        <f>+Données!A137</f>
        <v>5635</v>
      </c>
      <c r="B137" s="184" t="str">
        <f>+Données!B137</f>
        <v>Ecublens</v>
      </c>
      <c r="C137" s="173">
        <f>+Ecrêtage!C137</f>
        <v>516098.45949333342</v>
      </c>
      <c r="D137" s="171"/>
      <c r="E137" s="173">
        <f>Données!AF137+Données!AG137+Données!AH137</f>
        <v>9085857</v>
      </c>
      <c r="F137" s="171">
        <f t="shared" si="17"/>
        <v>4128787.6759466673</v>
      </c>
      <c r="G137" s="8">
        <f t="shared" si="18"/>
        <v>4957069.3240533322</v>
      </c>
      <c r="H137" s="240">
        <f t="shared" si="19"/>
        <v>-3692839.0498829908</v>
      </c>
      <c r="J137" s="8">
        <f>Données!AN137</f>
        <v>145346</v>
      </c>
      <c r="K137" s="154">
        <f t="shared" si="20"/>
        <v>516098.45949333342</v>
      </c>
      <c r="L137" s="12">
        <f t="shared" si="21"/>
        <v>0</v>
      </c>
      <c r="M137" s="240">
        <f t="shared" si="22"/>
        <v>0</v>
      </c>
      <c r="O137" s="42">
        <f t="shared" si="23"/>
        <v>-3692839.0498829908</v>
      </c>
      <c r="P137" s="200"/>
      <c r="Q137" s="164"/>
      <c r="R137" s="164"/>
      <c r="S137" s="164"/>
      <c r="T137" s="164"/>
      <c r="U137" s="164"/>
      <c r="AF137" s="11"/>
      <c r="AG137" s="11"/>
      <c r="AH137" s="11"/>
      <c r="AI137" s="11"/>
      <c r="AJ137" s="11"/>
      <c r="AK137" s="11"/>
      <c r="AL137" s="11"/>
    </row>
    <row r="138" spans="1:38" x14ac:dyDescent="0.25">
      <c r="A138" s="38">
        <f>+Données!A138</f>
        <v>5636</v>
      </c>
      <c r="B138" s="184" t="str">
        <f>+Données!B138</f>
        <v>Etoy</v>
      </c>
      <c r="C138" s="173">
        <f>+Ecrêtage!C138</f>
        <v>189426.47833333336</v>
      </c>
      <c r="D138" s="171"/>
      <c r="E138" s="173">
        <f>Données!AF138+Données!AG138+Données!AH138</f>
        <v>1156484</v>
      </c>
      <c r="F138" s="171">
        <f t="shared" si="17"/>
        <v>1515411.8266666669</v>
      </c>
      <c r="G138" s="8">
        <f t="shared" si="18"/>
        <v>0</v>
      </c>
      <c r="H138" s="240">
        <f t="shared" si="19"/>
        <v>0</v>
      </c>
      <c r="J138" s="8">
        <f>Données!AN138</f>
        <v>15654</v>
      </c>
      <c r="K138" s="154">
        <f t="shared" si="20"/>
        <v>189426.47833333336</v>
      </c>
      <c r="L138" s="12">
        <f t="shared" si="21"/>
        <v>0</v>
      </c>
      <c r="M138" s="240">
        <f t="shared" si="22"/>
        <v>0</v>
      </c>
      <c r="O138" s="42">
        <f t="shared" si="23"/>
        <v>0</v>
      </c>
      <c r="P138" s="200"/>
      <c r="Q138" s="164"/>
      <c r="R138" s="164"/>
      <c r="S138" s="164"/>
      <c r="T138" s="164"/>
      <c r="U138" s="164"/>
      <c r="AF138" s="11"/>
      <c r="AG138" s="11"/>
      <c r="AH138" s="11"/>
      <c r="AI138" s="11"/>
      <c r="AJ138" s="11"/>
      <c r="AK138" s="11"/>
      <c r="AL138" s="11"/>
    </row>
    <row r="139" spans="1:38" x14ac:dyDescent="0.25">
      <c r="A139" s="38">
        <f>+Données!A139</f>
        <v>5637</v>
      </c>
      <c r="B139" s="184" t="str">
        <f>+Données!B139</f>
        <v>Lavigny</v>
      </c>
      <c r="C139" s="173">
        <f>+Ecrêtage!C139</f>
        <v>36293.251369863014</v>
      </c>
      <c r="D139" s="171"/>
      <c r="E139" s="173">
        <f>Données!AF139+Données!AG139+Données!AH139</f>
        <v>651658</v>
      </c>
      <c r="F139" s="171">
        <f t="shared" si="17"/>
        <v>290346.01095890411</v>
      </c>
      <c r="G139" s="8">
        <f t="shared" si="18"/>
        <v>361311.98904109589</v>
      </c>
      <c r="H139" s="240">
        <f t="shared" si="19"/>
        <v>-269164.48713911488</v>
      </c>
      <c r="J139" s="8">
        <f>Données!AN139</f>
        <v>2299</v>
      </c>
      <c r="K139" s="154">
        <f t="shared" si="20"/>
        <v>36293.251369863014</v>
      </c>
      <c r="L139" s="12">
        <f t="shared" si="21"/>
        <v>0</v>
      </c>
      <c r="M139" s="240">
        <f t="shared" si="22"/>
        <v>0</v>
      </c>
      <c r="O139" s="42">
        <f t="shared" si="23"/>
        <v>-269164.48713911488</v>
      </c>
      <c r="P139" s="200"/>
      <c r="Q139" s="164"/>
      <c r="R139" s="164"/>
      <c r="S139" s="164"/>
      <c r="T139" s="164"/>
      <c r="U139" s="164"/>
      <c r="AF139" s="11"/>
      <c r="AG139" s="11"/>
      <c r="AH139" s="11"/>
      <c r="AI139" s="11"/>
      <c r="AJ139" s="11"/>
      <c r="AK139" s="11"/>
      <c r="AL139" s="11"/>
    </row>
    <row r="140" spans="1:38" x14ac:dyDescent="0.25">
      <c r="A140" s="38">
        <f>+Données!A140</f>
        <v>5638</v>
      </c>
      <c r="B140" s="184" t="str">
        <f>+Données!B140</f>
        <v>Lonay</v>
      </c>
      <c r="C140" s="173">
        <f>+Ecrêtage!C140</f>
        <v>153885.49272727271</v>
      </c>
      <c r="D140" s="171"/>
      <c r="E140" s="173">
        <f>Données!AF140+Données!AG140+Données!AH140</f>
        <v>1886932</v>
      </c>
      <c r="F140" s="171">
        <f t="shared" si="17"/>
        <v>1231083.9418181817</v>
      </c>
      <c r="G140" s="8">
        <f t="shared" si="18"/>
        <v>655848.05818181834</v>
      </c>
      <c r="H140" s="240">
        <f t="shared" si="19"/>
        <v>-488583.30632813502</v>
      </c>
      <c r="J140" s="8">
        <f>Données!AN140</f>
        <v>7800</v>
      </c>
      <c r="K140" s="154">
        <f t="shared" si="20"/>
        <v>153885.49272727271</v>
      </c>
      <c r="L140" s="12">
        <f t="shared" si="21"/>
        <v>0</v>
      </c>
      <c r="M140" s="240">
        <f t="shared" si="22"/>
        <v>0</v>
      </c>
      <c r="O140" s="42">
        <f t="shared" si="23"/>
        <v>-488583.30632813502</v>
      </c>
      <c r="P140" s="200"/>
      <c r="Q140" s="164"/>
      <c r="R140" s="164"/>
      <c r="S140" s="164"/>
      <c r="T140" s="164"/>
      <c r="U140" s="164"/>
      <c r="AF140" s="11"/>
      <c r="AG140" s="11"/>
      <c r="AH140" s="11"/>
      <c r="AI140" s="11"/>
      <c r="AJ140" s="11"/>
      <c r="AK140" s="11"/>
      <c r="AL140" s="11"/>
    </row>
    <row r="141" spans="1:38" x14ac:dyDescent="0.25">
      <c r="A141" s="38">
        <f>+Données!A141</f>
        <v>5639</v>
      </c>
      <c r="B141" s="184" t="str">
        <f>+Données!B141</f>
        <v>Lully</v>
      </c>
      <c r="C141" s="173">
        <f>+Ecrêtage!C141</f>
        <v>52241.230983606554</v>
      </c>
      <c r="D141" s="171"/>
      <c r="E141" s="173">
        <f>Données!AF141+Données!AG141+Données!AH141</f>
        <v>0</v>
      </c>
      <c r="F141" s="171">
        <f t="shared" si="17"/>
        <v>417929.84786885243</v>
      </c>
      <c r="G141" s="8">
        <f t="shared" si="18"/>
        <v>0</v>
      </c>
      <c r="H141" s="240">
        <f t="shared" si="19"/>
        <v>0</v>
      </c>
      <c r="J141" s="8">
        <f>Données!AN141</f>
        <v>0</v>
      </c>
      <c r="K141" s="154">
        <f t="shared" si="20"/>
        <v>52241.230983606554</v>
      </c>
      <c r="L141" s="12">
        <f t="shared" si="21"/>
        <v>0</v>
      </c>
      <c r="M141" s="240">
        <f t="shared" si="22"/>
        <v>0</v>
      </c>
      <c r="O141" s="42">
        <f t="shared" si="23"/>
        <v>0</v>
      </c>
      <c r="P141" s="200"/>
      <c r="Q141" s="164"/>
      <c r="R141" s="164"/>
      <c r="S141" s="164"/>
      <c r="T141" s="164"/>
      <c r="U141" s="164"/>
      <c r="AF141" s="11"/>
      <c r="AG141" s="11"/>
      <c r="AH141" s="11"/>
      <c r="AI141" s="11"/>
      <c r="AJ141" s="11"/>
      <c r="AK141" s="11"/>
      <c r="AL141" s="11"/>
    </row>
    <row r="142" spans="1:38" x14ac:dyDescent="0.25">
      <c r="A142" s="38">
        <f>+Données!A142</f>
        <v>5640</v>
      </c>
      <c r="B142" s="184" t="str">
        <f>+Données!B142</f>
        <v>Lussy-sur-Morges</v>
      </c>
      <c r="C142" s="173">
        <f>+Ecrêtage!C142</f>
        <v>57770.543875968993</v>
      </c>
      <c r="D142" s="171"/>
      <c r="E142" s="173">
        <f>Données!AF142+Données!AG142+Données!AH142</f>
        <v>425397</v>
      </c>
      <c r="F142" s="171">
        <f t="shared" si="17"/>
        <v>462164.35100775195</v>
      </c>
      <c r="G142" s="8">
        <f t="shared" si="18"/>
        <v>0</v>
      </c>
      <c r="H142" s="240">
        <f t="shared" si="19"/>
        <v>0</v>
      </c>
      <c r="J142" s="8">
        <f>Données!AN142</f>
        <v>10791</v>
      </c>
      <c r="K142" s="154">
        <f t="shared" si="20"/>
        <v>57770.543875968993</v>
      </c>
      <c r="L142" s="12">
        <f t="shared" si="21"/>
        <v>0</v>
      </c>
      <c r="M142" s="240">
        <f t="shared" si="22"/>
        <v>0</v>
      </c>
      <c r="O142" s="42">
        <f t="shared" si="23"/>
        <v>0</v>
      </c>
      <c r="P142" s="200"/>
      <c r="Q142" s="164"/>
      <c r="R142" s="164"/>
      <c r="S142" s="164"/>
      <c r="T142" s="164"/>
      <c r="U142" s="164"/>
      <c r="AF142" s="11"/>
      <c r="AG142" s="11"/>
      <c r="AH142" s="11"/>
      <c r="AI142" s="11"/>
      <c r="AJ142" s="11"/>
      <c r="AK142" s="11"/>
      <c r="AL142" s="11"/>
    </row>
    <row r="143" spans="1:38" x14ac:dyDescent="0.25">
      <c r="A143" s="38">
        <f>+Données!A143</f>
        <v>5642</v>
      </c>
      <c r="B143" s="184" t="str">
        <f>+Données!B143</f>
        <v>Morges</v>
      </c>
      <c r="C143" s="173">
        <f>+Ecrêtage!C143</f>
        <v>920688.7619402986</v>
      </c>
      <c r="D143" s="171"/>
      <c r="E143" s="173">
        <f>Données!AF143+Données!AG143+Données!AH143</f>
        <v>9585304</v>
      </c>
      <c r="F143" s="171">
        <f t="shared" si="17"/>
        <v>7365510.0955223888</v>
      </c>
      <c r="G143" s="8">
        <f t="shared" si="18"/>
        <v>2219793.9044776112</v>
      </c>
      <c r="H143" s="240">
        <f t="shared" si="19"/>
        <v>-1653666.930452426</v>
      </c>
      <c r="J143" s="8">
        <f>Données!AN143</f>
        <v>76388</v>
      </c>
      <c r="K143" s="154">
        <f t="shared" si="20"/>
        <v>920688.7619402986</v>
      </c>
      <c r="L143" s="12">
        <f t="shared" si="21"/>
        <v>0</v>
      </c>
      <c r="M143" s="240">
        <f t="shared" si="22"/>
        <v>0</v>
      </c>
      <c r="O143" s="42">
        <f t="shared" si="23"/>
        <v>-1653666.930452426</v>
      </c>
      <c r="P143" s="200"/>
      <c r="Q143" s="164"/>
      <c r="R143" s="164"/>
      <c r="S143" s="164"/>
      <c r="T143" s="164"/>
      <c r="U143" s="164"/>
      <c r="AF143" s="11"/>
      <c r="AG143" s="11"/>
      <c r="AH143" s="11"/>
      <c r="AI143" s="11"/>
      <c r="AJ143" s="11"/>
      <c r="AK143" s="11"/>
      <c r="AL143" s="11"/>
    </row>
    <row r="144" spans="1:38" x14ac:dyDescent="0.25">
      <c r="A144" s="38">
        <f>+Données!A144</f>
        <v>5643</v>
      </c>
      <c r="B144" s="184" t="str">
        <f>+Données!B144</f>
        <v>Préverenges</v>
      </c>
      <c r="C144" s="173">
        <f>+Ecrêtage!C144</f>
        <v>252718.14639999994</v>
      </c>
      <c r="D144" s="171"/>
      <c r="E144" s="173">
        <f>Données!AF144+Données!AG144+Données!AH144</f>
        <v>1731250</v>
      </c>
      <c r="F144" s="171">
        <f t="shared" si="17"/>
        <v>2021745.1711999995</v>
      </c>
      <c r="G144" s="8">
        <f t="shared" si="18"/>
        <v>0</v>
      </c>
      <c r="H144" s="240">
        <f t="shared" si="19"/>
        <v>0</v>
      </c>
      <c r="J144" s="8">
        <f>Données!AN144</f>
        <v>159</v>
      </c>
      <c r="K144" s="154">
        <f t="shared" si="20"/>
        <v>252718.14639999994</v>
      </c>
      <c r="L144" s="12">
        <f t="shared" si="21"/>
        <v>0</v>
      </c>
      <c r="M144" s="240">
        <f t="shared" si="22"/>
        <v>0</v>
      </c>
      <c r="O144" s="42">
        <f t="shared" si="23"/>
        <v>0</v>
      </c>
      <c r="P144" s="200"/>
      <c r="Q144" s="164"/>
      <c r="R144" s="164"/>
      <c r="S144" s="164"/>
      <c r="T144" s="164"/>
      <c r="U144" s="164"/>
      <c r="AF144" s="11"/>
      <c r="AG144" s="11"/>
      <c r="AH144" s="11"/>
      <c r="AI144" s="11"/>
      <c r="AJ144" s="11"/>
      <c r="AK144" s="11"/>
      <c r="AL144" s="11"/>
    </row>
    <row r="145" spans="1:38" x14ac:dyDescent="0.25">
      <c r="A145" s="38">
        <f>+Données!A145</f>
        <v>5645</v>
      </c>
      <c r="B145" s="184" t="str">
        <f>+Données!B145</f>
        <v>Romanel-sur-Morges</v>
      </c>
      <c r="C145" s="173">
        <f>+Ecrêtage!C145</f>
        <v>23767.8325</v>
      </c>
      <c r="D145" s="171"/>
      <c r="E145" s="173">
        <f>Données!AF145+Données!AG145+Données!AH145</f>
        <v>226475</v>
      </c>
      <c r="F145" s="171">
        <f t="shared" si="17"/>
        <v>190142.66</v>
      </c>
      <c r="G145" s="8">
        <f t="shared" si="18"/>
        <v>36332.339999999997</v>
      </c>
      <c r="H145" s="240">
        <f t="shared" si="19"/>
        <v>-27066.29162408346</v>
      </c>
      <c r="J145" s="8">
        <f>Données!AN145</f>
        <v>394</v>
      </c>
      <c r="K145" s="154">
        <f t="shared" si="20"/>
        <v>23767.8325</v>
      </c>
      <c r="L145" s="12">
        <f t="shared" si="21"/>
        <v>0</v>
      </c>
      <c r="M145" s="240">
        <f t="shared" si="22"/>
        <v>0</v>
      </c>
      <c r="O145" s="42">
        <f t="shared" si="23"/>
        <v>-27066.29162408346</v>
      </c>
      <c r="P145" s="200"/>
      <c r="Q145" s="164"/>
      <c r="R145" s="164"/>
      <c r="S145" s="164"/>
      <c r="T145" s="164"/>
      <c r="U145" s="164"/>
      <c r="AF145" s="11"/>
      <c r="AG145" s="11"/>
      <c r="AH145" s="11"/>
      <c r="AI145" s="11"/>
      <c r="AJ145" s="11"/>
      <c r="AK145" s="11"/>
      <c r="AL145" s="11"/>
    </row>
    <row r="146" spans="1:38" x14ac:dyDescent="0.25">
      <c r="A146" s="38">
        <f>+Données!A146</f>
        <v>5646</v>
      </c>
      <c r="B146" s="184" t="str">
        <f>+Données!B146</f>
        <v>Saint-Prex</v>
      </c>
      <c r="C146" s="173">
        <f>+Ecrêtage!C146</f>
        <v>515439.56415254233</v>
      </c>
      <c r="D146" s="171"/>
      <c r="E146" s="173">
        <f>Données!AF146+Données!AG146+Données!AH146</f>
        <v>0</v>
      </c>
      <c r="F146" s="171">
        <f t="shared" si="17"/>
        <v>4123516.5132203386</v>
      </c>
      <c r="G146" s="8">
        <f t="shared" si="18"/>
        <v>0</v>
      </c>
      <c r="H146" s="240">
        <f t="shared" si="19"/>
        <v>0</v>
      </c>
      <c r="J146" s="8">
        <f>Données!AN146</f>
        <v>0</v>
      </c>
      <c r="K146" s="154">
        <f t="shared" si="20"/>
        <v>515439.56415254233</v>
      </c>
      <c r="L146" s="12">
        <f t="shared" si="21"/>
        <v>0</v>
      </c>
      <c r="M146" s="240">
        <f t="shared" si="22"/>
        <v>0</v>
      </c>
      <c r="O146" s="42">
        <f t="shared" si="23"/>
        <v>0</v>
      </c>
      <c r="P146" s="200"/>
      <c r="Q146" s="164"/>
      <c r="R146" s="164"/>
      <c r="S146" s="164"/>
      <c r="T146" s="164"/>
      <c r="U146" s="164"/>
      <c r="AF146" s="11"/>
      <c r="AG146" s="11"/>
      <c r="AH146" s="11"/>
      <c r="AI146" s="11"/>
      <c r="AJ146" s="11"/>
      <c r="AK146" s="11"/>
      <c r="AL146" s="11"/>
    </row>
    <row r="147" spans="1:38" x14ac:dyDescent="0.25">
      <c r="A147" s="38">
        <f>+Données!A147</f>
        <v>5648</v>
      </c>
      <c r="B147" s="184" t="str">
        <f>+Données!B147</f>
        <v>Saint-Sulpice</v>
      </c>
      <c r="C147" s="173">
        <f>+Ecrêtage!C147</f>
        <v>417026.83077272732</v>
      </c>
      <c r="D147" s="171"/>
      <c r="E147" s="173">
        <f>Données!AF147+Données!AG147+Données!AH147</f>
        <v>3338367</v>
      </c>
      <c r="F147" s="171">
        <f t="shared" si="17"/>
        <v>3336214.6461818186</v>
      </c>
      <c r="G147" s="8">
        <f t="shared" si="18"/>
        <v>2152.3538181814365</v>
      </c>
      <c r="H147" s="240">
        <f t="shared" si="19"/>
        <v>-1603.426482332497</v>
      </c>
      <c r="J147" s="8">
        <f>Données!AN147</f>
        <v>43775</v>
      </c>
      <c r="K147" s="154">
        <f t="shared" si="20"/>
        <v>417026.83077272732</v>
      </c>
      <c r="L147" s="12">
        <f t="shared" si="21"/>
        <v>0</v>
      </c>
      <c r="M147" s="240">
        <f t="shared" si="22"/>
        <v>0</v>
      </c>
      <c r="O147" s="42">
        <f t="shared" si="23"/>
        <v>-1603.426482332497</v>
      </c>
      <c r="P147" s="200"/>
      <c r="Q147" s="164"/>
      <c r="R147" s="164"/>
      <c r="S147" s="164"/>
      <c r="T147" s="164"/>
      <c r="U147" s="164"/>
      <c r="AF147" s="11"/>
      <c r="AG147" s="11"/>
      <c r="AH147" s="11"/>
      <c r="AI147" s="11"/>
      <c r="AJ147" s="11"/>
      <c r="AK147" s="11"/>
      <c r="AL147" s="11"/>
    </row>
    <row r="148" spans="1:38" x14ac:dyDescent="0.25">
      <c r="A148" s="38">
        <f>+Données!A148</f>
        <v>5649</v>
      </c>
      <c r="B148" s="184" t="str">
        <f>+Données!B148</f>
        <v>Tolochenaz</v>
      </c>
      <c r="C148" s="173">
        <f>+Ecrêtage!C148</f>
        <v>329645.65999999997</v>
      </c>
      <c r="D148" s="171"/>
      <c r="E148" s="173">
        <f>Données!AF148+Données!AG148+Données!AH148</f>
        <v>0</v>
      </c>
      <c r="F148" s="171">
        <f t="shared" si="17"/>
        <v>2637165.2799999998</v>
      </c>
      <c r="G148" s="8">
        <f t="shared" si="18"/>
        <v>0</v>
      </c>
      <c r="H148" s="240">
        <f t="shared" si="19"/>
        <v>0</v>
      </c>
      <c r="J148" s="8">
        <f>Données!AN148</f>
        <v>0</v>
      </c>
      <c r="K148" s="154">
        <f t="shared" si="20"/>
        <v>329645.65999999997</v>
      </c>
      <c r="L148" s="12">
        <f t="shared" si="21"/>
        <v>0</v>
      </c>
      <c r="M148" s="240">
        <f t="shared" si="22"/>
        <v>0</v>
      </c>
      <c r="O148" s="42">
        <f t="shared" si="23"/>
        <v>0</v>
      </c>
      <c r="P148" s="200"/>
      <c r="Q148" s="164"/>
      <c r="R148" s="164"/>
      <c r="S148" s="164"/>
      <c r="T148" s="164"/>
      <c r="U148" s="164"/>
      <c r="AF148" s="11"/>
      <c r="AG148" s="11"/>
      <c r="AH148" s="11"/>
      <c r="AI148" s="11"/>
      <c r="AJ148" s="11"/>
      <c r="AK148" s="11"/>
      <c r="AL148" s="11"/>
    </row>
    <row r="149" spans="1:38" x14ac:dyDescent="0.25">
      <c r="A149" s="38">
        <f>+Données!A149</f>
        <v>5650</v>
      </c>
      <c r="B149" s="184" t="str">
        <f>+Données!B149</f>
        <v>Vaux-sur-Morges</v>
      </c>
      <c r="C149" s="173">
        <f>+Ecrêtage!C149</f>
        <v>90407.731785714292</v>
      </c>
      <c r="D149" s="171"/>
      <c r="E149" s="173">
        <f>Données!AF149+Données!AG149+Données!AH149</f>
        <v>0</v>
      </c>
      <c r="F149" s="171">
        <f t="shared" si="17"/>
        <v>723261.85428571433</v>
      </c>
      <c r="G149" s="8">
        <f t="shared" si="18"/>
        <v>0</v>
      </c>
      <c r="H149" s="240">
        <f t="shared" si="19"/>
        <v>0</v>
      </c>
      <c r="J149" s="8">
        <f>Données!AN149</f>
        <v>0</v>
      </c>
      <c r="K149" s="154">
        <f t="shared" si="20"/>
        <v>90407.731785714292</v>
      </c>
      <c r="L149" s="12">
        <f t="shared" si="21"/>
        <v>0</v>
      </c>
      <c r="M149" s="240">
        <f t="shared" si="22"/>
        <v>0</v>
      </c>
      <c r="O149" s="42">
        <f t="shared" si="23"/>
        <v>0</v>
      </c>
      <c r="P149" s="200"/>
      <c r="Q149" s="164"/>
      <c r="R149" s="164"/>
      <c r="S149" s="164"/>
      <c r="T149" s="164"/>
      <c r="U149" s="164"/>
      <c r="AF149" s="11"/>
      <c r="AG149" s="11"/>
      <c r="AH149" s="11"/>
      <c r="AI149" s="11"/>
      <c r="AJ149" s="11"/>
      <c r="AK149" s="11"/>
      <c r="AL149" s="11"/>
    </row>
    <row r="150" spans="1:38" x14ac:dyDescent="0.25">
      <c r="A150" s="38">
        <f>+Données!A150</f>
        <v>5651</v>
      </c>
      <c r="B150" s="184" t="str">
        <f>+Données!B150</f>
        <v>Villars-Sainte-Croix</v>
      </c>
      <c r="C150" s="173">
        <f>+Ecrêtage!C150</f>
        <v>55772.548264462814</v>
      </c>
      <c r="D150" s="171"/>
      <c r="E150" s="173">
        <f>Données!AF150+Données!AG150+Données!AH150</f>
        <v>578175</v>
      </c>
      <c r="F150" s="171">
        <f t="shared" si="17"/>
        <v>446180.38611570251</v>
      </c>
      <c r="G150" s="8">
        <f t="shared" si="18"/>
        <v>131994.61388429749</v>
      </c>
      <c r="H150" s="240">
        <f t="shared" si="19"/>
        <v>-98331.258383046399</v>
      </c>
      <c r="J150" s="8">
        <f>Données!AN150</f>
        <v>26448</v>
      </c>
      <c r="K150" s="154">
        <f t="shared" si="20"/>
        <v>55772.548264462814</v>
      </c>
      <c r="L150" s="12">
        <f t="shared" si="21"/>
        <v>0</v>
      </c>
      <c r="M150" s="240">
        <f t="shared" si="22"/>
        <v>0</v>
      </c>
      <c r="O150" s="42">
        <f t="shared" si="23"/>
        <v>-98331.258383046399</v>
      </c>
      <c r="P150" s="200"/>
      <c r="Q150" s="164"/>
      <c r="R150" s="164"/>
      <c r="S150" s="164"/>
      <c r="T150" s="164"/>
      <c r="U150" s="164"/>
      <c r="AF150" s="11"/>
      <c r="AG150" s="11"/>
      <c r="AH150" s="11"/>
      <c r="AI150" s="11"/>
      <c r="AJ150" s="11"/>
      <c r="AK150" s="11"/>
      <c r="AL150" s="11"/>
    </row>
    <row r="151" spans="1:38" x14ac:dyDescent="0.25">
      <c r="A151" s="38">
        <f>+Données!A151</f>
        <v>5652</v>
      </c>
      <c r="B151" s="184" t="str">
        <f>+Données!B151</f>
        <v>Villars-sous-Yens</v>
      </c>
      <c r="C151" s="173">
        <f>+Ecrêtage!C151</f>
        <v>25957.116337719301</v>
      </c>
      <c r="D151" s="171"/>
      <c r="E151" s="173">
        <f>Données!AF151+Données!AG151+Données!AH151</f>
        <v>459633</v>
      </c>
      <c r="F151" s="171">
        <f t="shared" si="17"/>
        <v>207656.93070175441</v>
      </c>
      <c r="G151" s="8">
        <f t="shared" si="18"/>
        <v>251976.06929824559</v>
      </c>
      <c r="H151" s="240">
        <f t="shared" si="19"/>
        <v>-187713.14410017573</v>
      </c>
      <c r="J151" s="8">
        <f>Données!AN151</f>
        <v>13949</v>
      </c>
      <c r="K151" s="154">
        <f t="shared" si="20"/>
        <v>25957.116337719301</v>
      </c>
      <c r="L151" s="12">
        <f t="shared" si="21"/>
        <v>0</v>
      </c>
      <c r="M151" s="240">
        <f t="shared" si="22"/>
        <v>0</v>
      </c>
      <c r="O151" s="42">
        <f t="shared" si="23"/>
        <v>-187713.14410017573</v>
      </c>
      <c r="P151" s="200"/>
      <c r="Q151" s="164"/>
      <c r="R151" s="164"/>
      <c r="S151" s="164"/>
      <c r="T151" s="164"/>
      <c r="U151" s="164"/>
      <c r="AF151" s="11"/>
      <c r="AG151" s="11"/>
      <c r="AH151" s="11"/>
      <c r="AI151" s="11"/>
      <c r="AJ151" s="11"/>
      <c r="AK151" s="11"/>
      <c r="AL151" s="11"/>
    </row>
    <row r="152" spans="1:38" x14ac:dyDescent="0.25">
      <c r="A152" s="38">
        <f>+Données!A152</f>
        <v>5653</v>
      </c>
      <c r="B152" s="184" t="str">
        <f>+Données!B152</f>
        <v>Vufflens-le-Château</v>
      </c>
      <c r="C152" s="173">
        <f>+Ecrêtage!C152</f>
        <v>71346.485811965817</v>
      </c>
      <c r="D152" s="171"/>
      <c r="E152" s="173">
        <f>Données!AF152+Données!AG152+Données!AH152</f>
        <v>0</v>
      </c>
      <c r="F152" s="171">
        <f t="shared" si="17"/>
        <v>570771.88649572653</v>
      </c>
      <c r="G152" s="8">
        <f t="shared" si="18"/>
        <v>0</v>
      </c>
      <c r="H152" s="240">
        <f t="shared" si="19"/>
        <v>0</v>
      </c>
      <c r="J152" s="8">
        <f>Données!AN152</f>
        <v>0</v>
      </c>
      <c r="K152" s="154">
        <f t="shared" si="20"/>
        <v>71346.485811965817</v>
      </c>
      <c r="L152" s="12">
        <f t="shared" si="21"/>
        <v>0</v>
      </c>
      <c r="M152" s="240">
        <f t="shared" si="22"/>
        <v>0</v>
      </c>
      <c r="O152" s="42">
        <f t="shared" si="23"/>
        <v>0</v>
      </c>
      <c r="P152" s="200"/>
      <c r="Q152" s="164"/>
      <c r="R152" s="164"/>
      <c r="S152" s="164"/>
      <c r="T152" s="164"/>
      <c r="U152" s="164"/>
      <c r="AF152" s="11"/>
      <c r="AG152" s="11"/>
      <c r="AH152" s="11"/>
      <c r="AI152" s="11"/>
      <c r="AJ152" s="11"/>
      <c r="AK152" s="11"/>
      <c r="AL152" s="11"/>
    </row>
    <row r="153" spans="1:38" x14ac:dyDescent="0.25">
      <c r="A153" s="38">
        <f>+Données!A153</f>
        <v>5654</v>
      </c>
      <c r="B153" s="184" t="str">
        <f>+Données!B153</f>
        <v>Vullierens</v>
      </c>
      <c r="C153" s="173">
        <f>+Ecrêtage!C153</f>
        <v>20741.139078947366</v>
      </c>
      <c r="D153" s="171"/>
      <c r="E153" s="173">
        <f>Données!AF153+Données!AG153+Données!AH153</f>
        <v>225429</v>
      </c>
      <c r="F153" s="171">
        <f t="shared" si="17"/>
        <v>165929.11263157893</v>
      </c>
      <c r="G153" s="8">
        <f t="shared" si="18"/>
        <v>59499.88736842107</v>
      </c>
      <c r="H153" s="240">
        <f t="shared" si="19"/>
        <v>-44325.284391641297</v>
      </c>
      <c r="J153" s="8">
        <f>Données!AN153</f>
        <v>2070</v>
      </c>
      <c r="K153" s="154">
        <f t="shared" si="20"/>
        <v>20741.139078947366</v>
      </c>
      <c r="L153" s="12">
        <f t="shared" si="21"/>
        <v>0</v>
      </c>
      <c r="M153" s="240">
        <f t="shared" si="22"/>
        <v>0</v>
      </c>
      <c r="O153" s="42">
        <f t="shared" si="23"/>
        <v>-44325.284391641297</v>
      </c>
      <c r="P153" s="200"/>
      <c r="Q153" s="164"/>
      <c r="R153" s="164"/>
      <c r="S153" s="164"/>
      <c r="T153" s="164"/>
      <c r="U153" s="164"/>
      <c r="AF153" s="11"/>
      <c r="AG153" s="11"/>
      <c r="AH153" s="11"/>
      <c r="AI153" s="11"/>
      <c r="AJ153" s="11"/>
      <c r="AK153" s="11"/>
      <c r="AL153" s="11"/>
    </row>
    <row r="154" spans="1:38" x14ac:dyDescent="0.25">
      <c r="A154" s="38">
        <f>+Données!A154</f>
        <v>5655</v>
      </c>
      <c r="B154" s="184" t="str">
        <f>+Données!B154</f>
        <v>Yens</v>
      </c>
      <c r="C154" s="173">
        <f>+Ecrêtage!C154</f>
        <v>81487.913146853141</v>
      </c>
      <c r="D154" s="171"/>
      <c r="E154" s="173">
        <f>Données!AF154+Données!AG154+Données!AH154</f>
        <v>0</v>
      </c>
      <c r="F154" s="171">
        <f t="shared" si="17"/>
        <v>651903.30517482513</v>
      </c>
      <c r="G154" s="8">
        <f t="shared" si="18"/>
        <v>0</v>
      </c>
      <c r="H154" s="240">
        <f t="shared" si="19"/>
        <v>0</v>
      </c>
      <c r="J154" s="8">
        <f>Données!AN154</f>
        <v>0</v>
      </c>
      <c r="K154" s="154">
        <f t="shared" si="20"/>
        <v>81487.913146853141</v>
      </c>
      <c r="L154" s="12">
        <f t="shared" si="21"/>
        <v>0</v>
      </c>
      <c r="M154" s="240">
        <f t="shared" si="22"/>
        <v>0</v>
      </c>
      <c r="O154" s="42">
        <f t="shared" si="23"/>
        <v>0</v>
      </c>
      <c r="P154" s="200"/>
      <c r="Q154" s="164"/>
      <c r="R154" s="164"/>
      <c r="S154" s="164"/>
      <c r="T154" s="164"/>
      <c r="U154" s="164"/>
      <c r="AF154" s="11"/>
      <c r="AG154" s="11"/>
      <c r="AH154" s="11"/>
      <c r="AI154" s="11"/>
      <c r="AJ154" s="11"/>
      <c r="AK154" s="11"/>
      <c r="AL154" s="11"/>
    </row>
    <row r="155" spans="1:38" s="158" customFormat="1" x14ac:dyDescent="0.25">
      <c r="A155" s="38">
        <f>+Données!A155</f>
        <v>5656</v>
      </c>
      <c r="B155" s="184" t="str">
        <f>+Données!B155</f>
        <v>Hautemorges</v>
      </c>
      <c r="C155" s="173">
        <f>+Ecrêtage!C155</f>
        <v>168931.37668965515</v>
      </c>
      <c r="D155" s="171"/>
      <c r="E155" s="173">
        <f>Données!AF155+Données!AG155+Données!AH155</f>
        <v>2575165</v>
      </c>
      <c r="F155" s="171">
        <f t="shared" si="17"/>
        <v>1351451.0135172412</v>
      </c>
      <c r="G155" s="8">
        <f t="shared" si="18"/>
        <v>1223713.9864827588</v>
      </c>
      <c r="H155" s="240">
        <f t="shared" si="19"/>
        <v>-911623.07802393346</v>
      </c>
      <c r="I155" s="174"/>
      <c r="J155" s="8">
        <f>Données!AN155</f>
        <v>258516</v>
      </c>
      <c r="K155" s="154">
        <f t="shared" si="20"/>
        <v>168931.37668965515</v>
      </c>
      <c r="L155" s="174">
        <f t="shared" si="21"/>
        <v>89584.623310344847</v>
      </c>
      <c r="M155" s="240">
        <f t="shared" si="22"/>
        <v>-66737.334824882157</v>
      </c>
      <c r="N155" s="174"/>
      <c r="O155" s="42">
        <f t="shared" si="23"/>
        <v>-978360.41284881555</v>
      </c>
      <c r="P155" s="200"/>
      <c r="Q155" s="164"/>
      <c r="R155" s="164"/>
      <c r="S155" s="164"/>
      <c r="T155" s="164"/>
      <c r="U155" s="164"/>
    </row>
    <row r="156" spans="1:38" x14ac:dyDescent="0.25">
      <c r="A156" s="38">
        <f>+Données!A156</f>
        <v>5661</v>
      </c>
      <c r="B156" s="184" t="str">
        <f>+Données!B156</f>
        <v>Boulens</v>
      </c>
      <c r="C156" s="173">
        <f>+Ecrêtage!C156</f>
        <v>11008.663776223777</v>
      </c>
      <c r="D156" s="171"/>
      <c r="E156" s="173">
        <f>Données!AF156+Données!AG156+Données!AH156</f>
        <v>92473</v>
      </c>
      <c r="F156" s="171">
        <f t="shared" si="17"/>
        <v>88069.310209790216</v>
      </c>
      <c r="G156" s="8">
        <f t="shared" si="18"/>
        <v>4403.6897902097844</v>
      </c>
      <c r="H156" s="240">
        <f t="shared" si="19"/>
        <v>-3280.5911230550232</v>
      </c>
      <c r="J156" s="8">
        <f>Données!AN156</f>
        <v>26107</v>
      </c>
      <c r="K156" s="154">
        <f t="shared" si="20"/>
        <v>11008.663776223777</v>
      </c>
      <c r="L156" s="12">
        <f t="shared" si="21"/>
        <v>15098.336223776223</v>
      </c>
      <c r="M156" s="240">
        <f t="shared" si="22"/>
        <v>-11247.719559796873</v>
      </c>
      <c r="O156" s="42">
        <f t="shared" si="23"/>
        <v>-14528.310682851896</v>
      </c>
      <c r="P156" s="200"/>
      <c r="Q156" s="164"/>
      <c r="R156" s="164"/>
      <c r="S156" s="164"/>
      <c r="T156" s="164"/>
      <c r="U156" s="164"/>
      <c r="AF156" s="11"/>
      <c r="AG156" s="11"/>
      <c r="AH156" s="11"/>
      <c r="AI156" s="11"/>
      <c r="AJ156" s="11"/>
      <c r="AK156" s="11"/>
      <c r="AL156" s="11"/>
    </row>
    <row r="157" spans="1:38" x14ac:dyDescent="0.25">
      <c r="A157" s="38">
        <f>+Données!A157</f>
        <v>5663</v>
      </c>
      <c r="B157" s="184" t="str">
        <f>+Données!B157</f>
        <v>Bussy-sur-Moudon</v>
      </c>
      <c r="C157" s="173">
        <f>+Ecrêtage!C157</f>
        <v>6463.7352866242045</v>
      </c>
      <c r="D157" s="171"/>
      <c r="E157" s="173">
        <f>Données!AF157+Données!AG157+Données!AH157</f>
        <v>48001</v>
      </c>
      <c r="F157" s="171">
        <f t="shared" si="17"/>
        <v>51709.882292993636</v>
      </c>
      <c r="G157" s="8">
        <f t="shared" si="18"/>
        <v>0</v>
      </c>
      <c r="H157" s="240">
        <f t="shared" si="19"/>
        <v>0</v>
      </c>
      <c r="J157" s="8">
        <f>Données!AN157</f>
        <v>2192</v>
      </c>
      <c r="K157" s="154">
        <f t="shared" si="20"/>
        <v>6463.7352866242045</v>
      </c>
      <c r="L157" s="12">
        <f t="shared" si="21"/>
        <v>0</v>
      </c>
      <c r="M157" s="240">
        <f t="shared" si="22"/>
        <v>0</v>
      </c>
      <c r="O157" s="42">
        <f t="shared" si="23"/>
        <v>0</v>
      </c>
      <c r="P157" s="200"/>
      <c r="Q157" s="164"/>
      <c r="R157" s="164"/>
      <c r="S157" s="164"/>
      <c r="T157" s="164"/>
      <c r="U157" s="164"/>
      <c r="AF157" s="11"/>
      <c r="AG157" s="11"/>
      <c r="AH157" s="11"/>
      <c r="AI157" s="11"/>
      <c r="AJ157" s="11"/>
      <c r="AK157" s="11"/>
      <c r="AL157" s="11"/>
    </row>
    <row r="158" spans="1:38" x14ac:dyDescent="0.25">
      <c r="A158" s="38">
        <f>+Données!A158</f>
        <v>5665</v>
      </c>
      <c r="B158" s="184" t="str">
        <f>+Données!B158</f>
        <v>Chavannes-sur-Moudon</v>
      </c>
      <c r="C158" s="173">
        <f>+Ecrêtage!C158</f>
        <v>5786.518857142858</v>
      </c>
      <c r="D158" s="171"/>
      <c r="E158" s="173">
        <f>Données!AF158+Données!AG158+Données!AH158</f>
        <v>45402</v>
      </c>
      <c r="F158" s="171">
        <f t="shared" si="17"/>
        <v>46292.150857142864</v>
      </c>
      <c r="G158" s="8">
        <f t="shared" si="18"/>
        <v>0</v>
      </c>
      <c r="H158" s="240">
        <f t="shared" si="19"/>
        <v>0</v>
      </c>
      <c r="J158" s="8">
        <f>Données!AN158</f>
        <v>39355</v>
      </c>
      <c r="K158" s="154">
        <f t="shared" si="20"/>
        <v>5786.518857142858</v>
      </c>
      <c r="L158" s="12">
        <f t="shared" si="21"/>
        <v>33568.481142857141</v>
      </c>
      <c r="M158" s="240">
        <f t="shared" si="22"/>
        <v>-25007.315796068127</v>
      </c>
      <c r="O158" s="42">
        <f t="shared" si="23"/>
        <v>-25007.315796068127</v>
      </c>
      <c r="P158" s="200"/>
      <c r="Q158" s="164"/>
      <c r="R158" s="164"/>
      <c r="S158" s="164"/>
      <c r="T158" s="164"/>
      <c r="U158" s="164"/>
      <c r="AF158" s="11"/>
      <c r="AG158" s="11"/>
      <c r="AH158" s="11"/>
      <c r="AI158" s="11"/>
      <c r="AJ158" s="11"/>
      <c r="AK158" s="11"/>
      <c r="AL158" s="11"/>
    </row>
    <row r="159" spans="1:38" x14ac:dyDescent="0.25">
      <c r="A159" s="38">
        <f>+Données!A159</f>
        <v>5669</v>
      </c>
      <c r="B159" s="184" t="str">
        <f>+Données!B159</f>
        <v>Curtilles</v>
      </c>
      <c r="C159" s="173">
        <f>+Ecrêtage!C159</f>
        <v>8428.0239726027376</v>
      </c>
      <c r="D159" s="171"/>
      <c r="E159" s="173">
        <f>Données!AF159+Données!AG159+Données!AH159</f>
        <v>62088</v>
      </c>
      <c r="F159" s="171">
        <f t="shared" si="17"/>
        <v>67424.1917808219</v>
      </c>
      <c r="G159" s="8">
        <f t="shared" si="18"/>
        <v>0</v>
      </c>
      <c r="H159" s="240">
        <f t="shared" si="19"/>
        <v>0</v>
      </c>
      <c r="J159" s="8">
        <f>Données!AN159</f>
        <v>514</v>
      </c>
      <c r="K159" s="154">
        <f t="shared" si="20"/>
        <v>8428.0239726027376</v>
      </c>
      <c r="L159" s="12">
        <f t="shared" si="21"/>
        <v>0</v>
      </c>
      <c r="M159" s="240">
        <f t="shared" si="22"/>
        <v>0</v>
      </c>
      <c r="O159" s="42">
        <f t="shared" si="23"/>
        <v>0</v>
      </c>
      <c r="P159" s="200"/>
      <c r="Q159" s="164"/>
      <c r="R159" s="164"/>
      <c r="S159" s="164"/>
      <c r="T159" s="164"/>
      <c r="U159" s="164"/>
      <c r="AF159" s="11"/>
      <c r="AG159" s="11"/>
      <c r="AH159" s="11"/>
      <c r="AI159" s="11"/>
      <c r="AJ159" s="11"/>
      <c r="AK159" s="11"/>
      <c r="AL159" s="11"/>
    </row>
    <row r="160" spans="1:38" x14ac:dyDescent="0.25">
      <c r="A160" s="38">
        <f>+Données!A160</f>
        <v>5671</v>
      </c>
      <c r="B160" s="184" t="str">
        <f>+Données!B160</f>
        <v>Dompierre</v>
      </c>
      <c r="C160" s="173">
        <f>+Ecrêtage!C160</f>
        <v>6751.3058974358974</v>
      </c>
      <c r="D160" s="171"/>
      <c r="E160" s="173">
        <f>Données!AF160+Données!AG160+Données!AH160</f>
        <v>68242</v>
      </c>
      <c r="F160" s="171">
        <f t="shared" si="17"/>
        <v>54010.447179487179</v>
      </c>
      <c r="G160" s="8">
        <f t="shared" si="18"/>
        <v>14231.552820512821</v>
      </c>
      <c r="H160" s="240">
        <f t="shared" si="19"/>
        <v>-10601.996978547144</v>
      </c>
      <c r="J160" s="8">
        <f>Données!AN160</f>
        <v>6982</v>
      </c>
      <c r="K160" s="154">
        <f t="shared" si="20"/>
        <v>6751.3058974358974</v>
      </c>
      <c r="L160" s="12">
        <f t="shared" si="21"/>
        <v>230.69410256410265</v>
      </c>
      <c r="M160" s="240">
        <f t="shared" si="22"/>
        <v>-171.85884135060454</v>
      </c>
      <c r="O160" s="42">
        <f t="shared" si="23"/>
        <v>-10773.855819897748</v>
      </c>
      <c r="P160" s="200"/>
      <c r="Q160" s="164"/>
      <c r="R160" s="164"/>
      <c r="S160" s="164"/>
      <c r="T160" s="164"/>
      <c r="U160" s="164"/>
      <c r="AF160" s="11"/>
      <c r="AG160" s="11"/>
      <c r="AH160" s="11"/>
      <c r="AI160" s="11"/>
      <c r="AJ160" s="11"/>
      <c r="AK160" s="11"/>
      <c r="AL160" s="11"/>
    </row>
    <row r="161" spans="1:38" x14ac:dyDescent="0.25">
      <c r="A161" s="38">
        <f>+Données!A161</f>
        <v>5673</v>
      </c>
      <c r="B161" s="184" t="str">
        <f>+Données!B161</f>
        <v>Hermenches</v>
      </c>
      <c r="C161" s="173">
        <f>+Ecrêtage!C161</f>
        <v>9674.9504761904736</v>
      </c>
      <c r="D161" s="171"/>
      <c r="E161" s="173">
        <f>Données!AF161+Données!AG161+Données!AH161</f>
        <v>156276</v>
      </c>
      <c r="F161" s="171">
        <f t="shared" si="17"/>
        <v>77399.603809523789</v>
      </c>
      <c r="G161" s="8">
        <f t="shared" si="18"/>
        <v>78876.396190476211</v>
      </c>
      <c r="H161" s="240">
        <f t="shared" si="19"/>
        <v>-58760.089263399357</v>
      </c>
      <c r="J161" s="8">
        <f>Données!AN161</f>
        <v>30058</v>
      </c>
      <c r="K161" s="154">
        <f t="shared" si="20"/>
        <v>9674.9504761904736</v>
      </c>
      <c r="L161" s="12">
        <f t="shared" si="21"/>
        <v>20383.049523809525</v>
      </c>
      <c r="M161" s="240">
        <f t="shared" si="22"/>
        <v>-15184.641633309722</v>
      </c>
      <c r="O161" s="42">
        <f t="shared" si="23"/>
        <v>-73944.730896709079</v>
      </c>
      <c r="P161" s="200"/>
      <c r="Q161" s="164"/>
      <c r="R161" s="164"/>
      <c r="S161" s="164"/>
      <c r="T161" s="164"/>
      <c r="U161" s="164"/>
      <c r="AF161" s="11"/>
      <c r="AG161" s="11"/>
      <c r="AH161" s="11"/>
      <c r="AI161" s="11"/>
      <c r="AJ161" s="11"/>
      <c r="AK161" s="11"/>
      <c r="AL161" s="11"/>
    </row>
    <row r="162" spans="1:38" x14ac:dyDescent="0.25">
      <c r="A162" s="38">
        <f>+Données!A162</f>
        <v>5674</v>
      </c>
      <c r="B162" s="184" t="str">
        <f>+Données!B162</f>
        <v>Lovatens</v>
      </c>
      <c r="C162" s="173">
        <f>+Ecrêtage!C162</f>
        <v>3538.9423999999999</v>
      </c>
      <c r="D162" s="171"/>
      <c r="E162" s="173">
        <f>Données!AF162+Données!AG162+Données!AH162</f>
        <v>53918</v>
      </c>
      <c r="F162" s="171">
        <f t="shared" si="17"/>
        <v>28311.539199999999</v>
      </c>
      <c r="G162" s="8">
        <f t="shared" si="18"/>
        <v>25606.460800000001</v>
      </c>
      <c r="H162" s="240">
        <f t="shared" si="19"/>
        <v>-19075.895895322501</v>
      </c>
      <c r="J162" s="8">
        <f>Données!AN162</f>
        <v>382</v>
      </c>
      <c r="K162" s="154">
        <f t="shared" si="20"/>
        <v>3538.9423999999999</v>
      </c>
      <c r="L162" s="12">
        <f t="shared" si="21"/>
        <v>0</v>
      </c>
      <c r="M162" s="240">
        <f t="shared" si="22"/>
        <v>0</v>
      </c>
      <c r="O162" s="42">
        <f t="shared" si="23"/>
        <v>-19075.895895322501</v>
      </c>
      <c r="P162" s="200"/>
      <c r="Q162" s="164"/>
      <c r="R162" s="164"/>
      <c r="S162" s="164"/>
      <c r="T162" s="164"/>
      <c r="U162" s="164"/>
      <c r="AF162" s="11"/>
      <c r="AG162" s="11"/>
      <c r="AH162" s="11"/>
      <c r="AI162" s="11"/>
      <c r="AJ162" s="11"/>
      <c r="AK162" s="11"/>
      <c r="AL162" s="11"/>
    </row>
    <row r="163" spans="1:38" x14ac:dyDescent="0.25">
      <c r="A163" s="38">
        <f>+Données!A163</f>
        <v>5675</v>
      </c>
      <c r="B163" s="184" t="str">
        <f>+Données!B163</f>
        <v>Lucens</v>
      </c>
      <c r="C163" s="173">
        <f>+Ecrêtage!C163</f>
        <v>92799.568476128188</v>
      </c>
      <c r="D163" s="171"/>
      <c r="E163" s="173">
        <f>Données!AF163+Données!AG163+Données!AH163</f>
        <v>1629211</v>
      </c>
      <c r="F163" s="171">
        <f t="shared" si="17"/>
        <v>742396.54780902551</v>
      </c>
      <c r="G163" s="8">
        <f t="shared" si="18"/>
        <v>886814.45219097449</v>
      </c>
      <c r="H163" s="240">
        <f t="shared" si="19"/>
        <v>-660644.99504993996</v>
      </c>
      <c r="J163" s="8">
        <f>Données!AN163</f>
        <v>45733</v>
      </c>
      <c r="K163" s="154">
        <f t="shared" si="20"/>
        <v>92799.568476128188</v>
      </c>
      <c r="L163" s="12">
        <f t="shared" si="21"/>
        <v>0</v>
      </c>
      <c r="M163" s="240">
        <f t="shared" si="22"/>
        <v>0</v>
      </c>
      <c r="O163" s="42">
        <f t="shared" si="23"/>
        <v>-660644.99504993996</v>
      </c>
      <c r="P163" s="200"/>
      <c r="Q163" s="164"/>
      <c r="R163" s="164"/>
      <c r="S163" s="164"/>
      <c r="T163" s="164"/>
      <c r="U163" s="164"/>
      <c r="AF163" s="11"/>
      <c r="AG163" s="11"/>
      <c r="AH163" s="11"/>
      <c r="AI163" s="11"/>
      <c r="AJ163" s="11"/>
      <c r="AK163" s="11"/>
      <c r="AL163" s="11"/>
    </row>
    <row r="164" spans="1:38" x14ac:dyDescent="0.25">
      <c r="A164" s="38">
        <f>+Données!A164</f>
        <v>5678</v>
      </c>
      <c r="B164" s="184" t="str">
        <f>+Données!B164</f>
        <v>Moudon</v>
      </c>
      <c r="C164" s="173">
        <f>+Ecrêtage!C164</f>
        <v>130665.93158620689</v>
      </c>
      <c r="D164" s="171"/>
      <c r="E164" s="173">
        <f>Données!AF164+Données!AG164+Données!AH164</f>
        <v>2829816</v>
      </c>
      <c r="F164" s="171">
        <f t="shared" si="17"/>
        <v>1045327.4526896551</v>
      </c>
      <c r="G164" s="8">
        <f t="shared" si="18"/>
        <v>1784488.5473103449</v>
      </c>
      <c r="H164" s="240">
        <f t="shared" si="19"/>
        <v>-1329380.0350139532</v>
      </c>
      <c r="J164" s="8">
        <f>Données!AN164</f>
        <v>92946</v>
      </c>
      <c r="K164" s="154">
        <f t="shared" si="20"/>
        <v>130665.93158620689</v>
      </c>
      <c r="L164" s="12">
        <f t="shared" si="21"/>
        <v>0</v>
      </c>
      <c r="M164" s="240">
        <f t="shared" si="22"/>
        <v>0</v>
      </c>
      <c r="O164" s="42">
        <f t="shared" si="23"/>
        <v>-1329380.0350139532</v>
      </c>
      <c r="P164" s="200"/>
      <c r="Q164" s="164"/>
      <c r="R164" s="164"/>
      <c r="S164" s="164"/>
      <c r="T164" s="164"/>
      <c r="U164" s="164"/>
      <c r="AF164" s="11"/>
      <c r="AG164" s="11"/>
      <c r="AH164" s="11"/>
      <c r="AI164" s="11"/>
      <c r="AJ164" s="11"/>
      <c r="AK164" s="11"/>
      <c r="AL164" s="11"/>
    </row>
    <row r="165" spans="1:38" x14ac:dyDescent="0.25">
      <c r="A165" s="38">
        <f>+Données!A165</f>
        <v>5680</v>
      </c>
      <c r="B165" s="184" t="str">
        <f>+Données!B165</f>
        <v>Ogens</v>
      </c>
      <c r="C165" s="173">
        <f>+Ecrêtage!C165</f>
        <v>10095.699401709404</v>
      </c>
      <c r="D165" s="171"/>
      <c r="E165" s="173">
        <f>Données!AF165+Données!AG165+Données!AH165</f>
        <v>96056</v>
      </c>
      <c r="F165" s="171">
        <f t="shared" si="17"/>
        <v>80765.595213675231</v>
      </c>
      <c r="G165" s="8">
        <f t="shared" si="18"/>
        <v>15290.404786324769</v>
      </c>
      <c r="H165" s="240">
        <f t="shared" si="19"/>
        <v>-11390.803757670103</v>
      </c>
      <c r="J165" s="8">
        <f>Données!AN165</f>
        <v>15242</v>
      </c>
      <c r="K165" s="154">
        <f t="shared" si="20"/>
        <v>10095.699401709404</v>
      </c>
      <c r="L165" s="12">
        <f t="shared" si="21"/>
        <v>5146.3005982905961</v>
      </c>
      <c r="M165" s="240">
        <f t="shared" si="22"/>
        <v>-3833.8095696156229</v>
      </c>
      <c r="O165" s="42">
        <f t="shared" si="23"/>
        <v>-15224.613327285726</v>
      </c>
      <c r="P165" s="200"/>
      <c r="Q165" s="164"/>
      <c r="R165" s="164"/>
      <c r="S165" s="164"/>
      <c r="T165" s="164"/>
      <c r="U165" s="164"/>
      <c r="AF165" s="11"/>
      <c r="AG165" s="11"/>
      <c r="AH165" s="11"/>
      <c r="AI165" s="11"/>
      <c r="AJ165" s="11"/>
      <c r="AK165" s="11"/>
      <c r="AL165" s="11"/>
    </row>
    <row r="166" spans="1:38" x14ac:dyDescent="0.25">
      <c r="A166" s="38">
        <f>+Données!A166</f>
        <v>5683</v>
      </c>
      <c r="B166" s="184" t="str">
        <f>+Données!B166</f>
        <v>Prévonloup</v>
      </c>
      <c r="C166" s="173">
        <f>+Ecrêtage!C166</f>
        <v>5181.5288275862076</v>
      </c>
      <c r="D166" s="171"/>
      <c r="E166" s="173">
        <f>Données!AF166+Données!AG166+Données!AH166</f>
        <v>21967</v>
      </c>
      <c r="F166" s="171">
        <f t="shared" si="17"/>
        <v>41452.230620689661</v>
      </c>
      <c r="G166" s="8">
        <f t="shared" si="18"/>
        <v>0</v>
      </c>
      <c r="H166" s="240">
        <f t="shared" si="19"/>
        <v>0</v>
      </c>
      <c r="J166" s="8">
        <f>Données!AN166</f>
        <v>-951</v>
      </c>
      <c r="K166" s="154">
        <f t="shared" si="20"/>
        <v>5181.5288275862076</v>
      </c>
      <c r="L166" s="12">
        <f t="shared" si="21"/>
        <v>0</v>
      </c>
      <c r="M166" s="240">
        <f t="shared" si="22"/>
        <v>0</v>
      </c>
      <c r="O166" s="42">
        <f t="shared" si="23"/>
        <v>0</v>
      </c>
      <c r="P166" s="200"/>
      <c r="Q166" s="164"/>
      <c r="R166" s="164"/>
      <c r="S166" s="164"/>
      <c r="T166" s="164"/>
      <c r="U166" s="164"/>
      <c r="AF166" s="11"/>
      <c r="AG166" s="11"/>
      <c r="AH166" s="11"/>
      <c r="AI166" s="11"/>
      <c r="AJ166" s="11"/>
      <c r="AK166" s="11"/>
      <c r="AL166" s="11"/>
    </row>
    <row r="167" spans="1:38" x14ac:dyDescent="0.25">
      <c r="A167" s="38">
        <f>+Données!A167</f>
        <v>5684</v>
      </c>
      <c r="B167" s="184" t="str">
        <f>+Données!B167</f>
        <v>Rossenges</v>
      </c>
      <c r="C167" s="173">
        <f>+Ecrêtage!C167</f>
        <v>3699.9676666666669</v>
      </c>
      <c r="D167" s="171"/>
      <c r="E167" s="173">
        <f>Données!AF167+Données!AG167+Données!AH167</f>
        <v>11040</v>
      </c>
      <c r="F167" s="171">
        <f t="shared" si="17"/>
        <v>29599.741333333335</v>
      </c>
      <c r="G167" s="8">
        <f t="shared" si="18"/>
        <v>0</v>
      </c>
      <c r="H167" s="240">
        <f t="shared" si="19"/>
        <v>0</v>
      </c>
      <c r="J167" s="8">
        <f>Données!AN167</f>
        <v>119</v>
      </c>
      <c r="K167" s="154">
        <f t="shared" si="20"/>
        <v>3699.9676666666669</v>
      </c>
      <c r="L167" s="12">
        <f t="shared" si="21"/>
        <v>0</v>
      </c>
      <c r="M167" s="240">
        <f t="shared" si="22"/>
        <v>0</v>
      </c>
      <c r="O167" s="42">
        <f t="shared" si="23"/>
        <v>0</v>
      </c>
      <c r="P167" s="200"/>
      <c r="Q167" s="164"/>
      <c r="R167" s="164"/>
      <c r="S167" s="164"/>
      <c r="T167" s="164"/>
      <c r="U167" s="164"/>
      <c r="AF167" s="11"/>
      <c r="AG167" s="11"/>
      <c r="AH167" s="11"/>
      <c r="AI167" s="11"/>
      <c r="AJ167" s="11"/>
      <c r="AK167" s="11"/>
      <c r="AL167" s="11"/>
    </row>
    <row r="168" spans="1:38" x14ac:dyDescent="0.25">
      <c r="A168" s="38">
        <f>+Données!A168</f>
        <v>5688</v>
      </c>
      <c r="B168" s="184" t="str">
        <f>+Données!B168</f>
        <v>Syens</v>
      </c>
      <c r="C168" s="173">
        <f>+Ecrêtage!C168</f>
        <v>5276.9227692307695</v>
      </c>
      <c r="D168" s="171"/>
      <c r="E168" s="173">
        <f>Données!AF168+Données!AG168+Données!AH168</f>
        <v>66391</v>
      </c>
      <c r="F168" s="171">
        <f t="shared" si="17"/>
        <v>42215.382153846156</v>
      </c>
      <c r="G168" s="8">
        <f t="shared" si="18"/>
        <v>24175.617846153844</v>
      </c>
      <c r="H168" s="240">
        <f t="shared" si="19"/>
        <v>-18009.969157406224</v>
      </c>
      <c r="J168" s="8">
        <f>Données!AN168</f>
        <v>4751</v>
      </c>
      <c r="K168" s="154">
        <f t="shared" si="20"/>
        <v>5276.9227692307695</v>
      </c>
      <c r="L168" s="12">
        <f t="shared" si="21"/>
        <v>0</v>
      </c>
      <c r="M168" s="240">
        <f t="shared" si="22"/>
        <v>0</v>
      </c>
      <c r="O168" s="42">
        <f t="shared" si="23"/>
        <v>-18009.969157406224</v>
      </c>
      <c r="P168" s="200"/>
      <c r="Q168" s="164"/>
      <c r="R168" s="164"/>
      <c r="S168" s="164"/>
      <c r="T168" s="164"/>
      <c r="U168" s="164"/>
      <c r="AF168" s="11"/>
      <c r="AG168" s="11"/>
      <c r="AH168" s="11"/>
      <c r="AI168" s="11"/>
      <c r="AJ168" s="11"/>
      <c r="AK168" s="11"/>
      <c r="AL168" s="11"/>
    </row>
    <row r="169" spans="1:38" x14ac:dyDescent="0.25">
      <c r="A169" s="38">
        <f>+Données!A169</f>
        <v>5690</v>
      </c>
      <c r="B169" s="184" t="str">
        <f>+Données!B169</f>
        <v>Villars-le-Comte</v>
      </c>
      <c r="C169" s="173">
        <f>+Ecrêtage!C169</f>
        <v>4331.3648095238095</v>
      </c>
      <c r="D169" s="171"/>
      <c r="E169" s="173">
        <f>Données!AF169+Données!AG169+Données!AH169</f>
        <v>0</v>
      </c>
      <c r="F169" s="171">
        <f t="shared" si="17"/>
        <v>34650.918476190476</v>
      </c>
      <c r="G169" s="8">
        <f t="shared" si="18"/>
        <v>0</v>
      </c>
      <c r="H169" s="240">
        <f t="shared" si="19"/>
        <v>0</v>
      </c>
      <c r="J169" s="8">
        <f>Données!AN169</f>
        <v>0</v>
      </c>
      <c r="K169" s="154">
        <f t="shared" si="20"/>
        <v>4331.3648095238095</v>
      </c>
      <c r="L169" s="12">
        <f t="shared" si="21"/>
        <v>0</v>
      </c>
      <c r="M169" s="240">
        <f t="shared" si="22"/>
        <v>0</v>
      </c>
      <c r="O169" s="42">
        <f t="shared" si="23"/>
        <v>0</v>
      </c>
      <c r="P169" s="200"/>
      <c r="Q169" s="164"/>
      <c r="R169" s="164"/>
      <c r="S169" s="164"/>
      <c r="T169" s="164"/>
      <c r="U169" s="164"/>
      <c r="AF169" s="11"/>
      <c r="AG169" s="11"/>
      <c r="AH169" s="11"/>
      <c r="AI169" s="11"/>
      <c r="AJ169" s="11"/>
      <c r="AK169" s="11"/>
      <c r="AL169" s="11"/>
    </row>
    <row r="170" spans="1:38" x14ac:dyDescent="0.25">
      <c r="A170" s="38">
        <f>+Données!A170</f>
        <v>5692</v>
      </c>
      <c r="B170" s="184" t="str">
        <f>+Données!B170</f>
        <v>Vucherens</v>
      </c>
      <c r="C170" s="173">
        <f>+Ecrêtage!C170</f>
        <v>18948.19272727273</v>
      </c>
      <c r="D170" s="171"/>
      <c r="E170" s="173">
        <f>Données!AF170+Données!AG170+Données!AH170</f>
        <v>278981</v>
      </c>
      <c r="F170" s="171">
        <f t="shared" si="17"/>
        <v>151585.54181818184</v>
      </c>
      <c r="G170" s="8">
        <f t="shared" si="18"/>
        <v>127395.45818181816</v>
      </c>
      <c r="H170" s="240">
        <f t="shared" si="19"/>
        <v>-94905.052158292587</v>
      </c>
      <c r="J170" s="8">
        <f>Données!AN170</f>
        <v>22488</v>
      </c>
      <c r="K170" s="154">
        <f t="shared" si="20"/>
        <v>18948.19272727273</v>
      </c>
      <c r="L170" s="12">
        <f t="shared" si="21"/>
        <v>3539.8072727272702</v>
      </c>
      <c r="M170" s="240">
        <f t="shared" si="22"/>
        <v>-2637.029597782247</v>
      </c>
      <c r="O170" s="42">
        <f t="shared" si="23"/>
        <v>-97542.08175607484</v>
      </c>
      <c r="P170" s="200"/>
      <c r="Q170" s="164"/>
      <c r="R170" s="164"/>
      <c r="S170" s="164"/>
      <c r="T170" s="164"/>
      <c r="U170" s="164"/>
      <c r="AF170" s="11"/>
      <c r="AG170" s="11"/>
      <c r="AH170" s="11"/>
      <c r="AI170" s="11"/>
      <c r="AJ170" s="11"/>
      <c r="AK170" s="11"/>
      <c r="AL170" s="11"/>
    </row>
    <row r="171" spans="1:38" x14ac:dyDescent="0.25">
      <c r="A171" s="38">
        <f>+Données!A171</f>
        <v>5693</v>
      </c>
      <c r="B171" s="184" t="str">
        <f>+Données!B171</f>
        <v>Montanaire</v>
      </c>
      <c r="C171" s="173">
        <f>+Ecrêtage!C171</f>
        <v>80076.194857142837</v>
      </c>
      <c r="D171" s="171"/>
      <c r="E171" s="173">
        <f>Données!AF171+Données!AG171+Données!AH171</f>
        <v>1461690</v>
      </c>
      <c r="F171" s="171">
        <f t="shared" si="17"/>
        <v>640609.55885714269</v>
      </c>
      <c r="G171" s="8">
        <f t="shared" si="18"/>
        <v>821080.44114285731</v>
      </c>
      <c r="H171" s="240">
        <f t="shared" si="19"/>
        <v>-611675.51186638884</v>
      </c>
      <c r="J171" s="8">
        <f>Données!AN171</f>
        <v>117913</v>
      </c>
      <c r="K171" s="154">
        <f t="shared" si="20"/>
        <v>80076.194857142837</v>
      </c>
      <c r="L171" s="12">
        <f t="shared" si="21"/>
        <v>37836.805142857163</v>
      </c>
      <c r="M171" s="240">
        <f t="shared" si="22"/>
        <v>-28187.064255156507</v>
      </c>
      <c r="O171" s="42">
        <f t="shared" si="23"/>
        <v>-639862.5761215454</v>
      </c>
      <c r="P171" s="200"/>
      <c r="Q171" s="164"/>
      <c r="R171" s="164"/>
      <c r="S171" s="164"/>
      <c r="T171" s="164"/>
      <c r="U171" s="164"/>
      <c r="AF171" s="11"/>
      <c r="AG171" s="11"/>
      <c r="AH171" s="11"/>
      <c r="AI171" s="11"/>
      <c r="AJ171" s="11"/>
      <c r="AK171" s="11"/>
      <c r="AL171" s="11"/>
    </row>
    <row r="172" spans="1:38" x14ac:dyDescent="0.25">
      <c r="A172" s="38">
        <f>+Données!A172</f>
        <v>5701</v>
      </c>
      <c r="B172" s="184" t="str">
        <f>+Données!B172</f>
        <v>Arnex-sur-Nyon</v>
      </c>
      <c r="C172" s="173">
        <f>+Ecrêtage!C172</f>
        <v>12996.777571428571</v>
      </c>
      <c r="D172" s="171"/>
      <c r="E172" s="173">
        <f>Données!AF172+Données!AG172+Données!AH172</f>
        <v>0</v>
      </c>
      <c r="F172" s="171">
        <f t="shared" si="17"/>
        <v>103974.22057142857</v>
      </c>
      <c r="G172" s="8">
        <f t="shared" si="18"/>
        <v>0</v>
      </c>
      <c r="H172" s="240">
        <f t="shared" si="19"/>
        <v>0</v>
      </c>
      <c r="J172" s="8">
        <f>Données!AN172</f>
        <v>0</v>
      </c>
      <c r="K172" s="154">
        <f t="shared" si="20"/>
        <v>12996.777571428571</v>
      </c>
      <c r="L172" s="12">
        <f t="shared" si="21"/>
        <v>0</v>
      </c>
      <c r="M172" s="240">
        <f t="shared" si="22"/>
        <v>0</v>
      </c>
      <c r="O172" s="42">
        <f t="shared" si="23"/>
        <v>0</v>
      </c>
      <c r="P172" s="200"/>
      <c r="Q172" s="164"/>
      <c r="R172" s="164"/>
      <c r="S172" s="164"/>
      <c r="T172" s="164"/>
      <c r="U172" s="164"/>
      <c r="AF172" s="11"/>
      <c r="AG172" s="11"/>
      <c r="AH172" s="11"/>
      <c r="AI172" s="11"/>
      <c r="AJ172" s="11"/>
      <c r="AK172" s="11"/>
      <c r="AL172" s="11"/>
    </row>
    <row r="173" spans="1:38" x14ac:dyDescent="0.25">
      <c r="A173" s="38">
        <f>+Données!A173</f>
        <v>5702</v>
      </c>
      <c r="B173" s="184" t="str">
        <f>+Données!B173</f>
        <v>Arzier-Le Muids</v>
      </c>
      <c r="C173" s="173">
        <f>+Ecrêtage!C173</f>
        <v>187982.65953125001</v>
      </c>
      <c r="D173" s="171"/>
      <c r="E173" s="173">
        <f>Données!AF173+Données!AG173+Données!AH173</f>
        <v>839994</v>
      </c>
      <c r="F173" s="171">
        <f t="shared" si="17"/>
        <v>1503861.2762500001</v>
      </c>
      <c r="G173" s="8">
        <f t="shared" si="18"/>
        <v>0</v>
      </c>
      <c r="H173" s="240">
        <f t="shared" si="19"/>
        <v>0</v>
      </c>
      <c r="J173" s="8">
        <f>Données!AN173</f>
        <v>904987</v>
      </c>
      <c r="K173" s="154">
        <f t="shared" si="20"/>
        <v>187982.65953125001</v>
      </c>
      <c r="L173" s="12">
        <f t="shared" si="21"/>
        <v>717004.34046874999</v>
      </c>
      <c r="M173" s="240">
        <f t="shared" si="22"/>
        <v>-534142.54559053492</v>
      </c>
      <c r="O173" s="42">
        <f t="shared" si="23"/>
        <v>-534142.54559053492</v>
      </c>
      <c r="P173" s="200"/>
      <c r="Q173" s="164"/>
      <c r="R173" s="164"/>
      <c r="S173" s="164"/>
      <c r="T173" s="164"/>
      <c r="U173" s="164"/>
      <c r="AF173" s="11"/>
      <c r="AG173" s="11"/>
      <c r="AH173" s="11"/>
      <c r="AI173" s="11"/>
      <c r="AJ173" s="11"/>
      <c r="AK173" s="11"/>
      <c r="AL173" s="11"/>
    </row>
    <row r="174" spans="1:38" x14ac:dyDescent="0.25">
      <c r="A174" s="38">
        <f>+Données!A174</f>
        <v>5703</v>
      </c>
      <c r="B174" s="184" t="str">
        <f>+Données!B174</f>
        <v>Bassins</v>
      </c>
      <c r="C174" s="173">
        <f>+Ecrêtage!C174</f>
        <v>65440.672492610829</v>
      </c>
      <c r="D174" s="171"/>
      <c r="E174" s="173">
        <f>Données!AF174+Données!AG174+Données!AH174</f>
        <v>0</v>
      </c>
      <c r="F174" s="171">
        <f t="shared" si="17"/>
        <v>523525.37994088663</v>
      </c>
      <c r="G174" s="8">
        <f t="shared" si="18"/>
        <v>0</v>
      </c>
      <c r="H174" s="240">
        <f t="shared" si="19"/>
        <v>0</v>
      </c>
      <c r="J174" s="8">
        <f>Données!AN174</f>
        <v>0</v>
      </c>
      <c r="K174" s="154">
        <f t="shared" si="20"/>
        <v>65440.672492610829</v>
      </c>
      <c r="L174" s="12">
        <f t="shared" si="21"/>
        <v>0</v>
      </c>
      <c r="M174" s="240">
        <f t="shared" si="22"/>
        <v>0</v>
      </c>
      <c r="O174" s="42">
        <f t="shared" si="23"/>
        <v>0</v>
      </c>
      <c r="P174" s="200"/>
      <c r="Q174" s="164"/>
      <c r="R174" s="164"/>
      <c r="S174" s="164"/>
      <c r="T174" s="164"/>
      <c r="U174" s="164"/>
      <c r="AF174" s="11"/>
      <c r="AG174" s="11"/>
      <c r="AH174" s="11"/>
      <c r="AI174" s="11"/>
      <c r="AJ174" s="11"/>
      <c r="AK174" s="11"/>
      <c r="AL174" s="11"/>
    </row>
    <row r="175" spans="1:38" x14ac:dyDescent="0.25">
      <c r="A175" s="38">
        <f>+Données!A175</f>
        <v>5704</v>
      </c>
      <c r="B175" s="184" t="str">
        <f>+Données!B175</f>
        <v>Begnins</v>
      </c>
      <c r="C175" s="173">
        <f>+Ecrêtage!C175</f>
        <v>129766.74997333332</v>
      </c>
      <c r="D175" s="171"/>
      <c r="E175" s="173">
        <f>Données!AF175+Données!AG175+Données!AH175</f>
        <v>1023798</v>
      </c>
      <c r="F175" s="171">
        <f t="shared" si="17"/>
        <v>1038133.9997866666</v>
      </c>
      <c r="G175" s="8">
        <f t="shared" si="18"/>
        <v>0</v>
      </c>
      <c r="H175" s="240">
        <f t="shared" si="19"/>
        <v>0</v>
      </c>
      <c r="J175" s="8">
        <f>Données!AN175</f>
        <v>36244</v>
      </c>
      <c r="K175" s="154">
        <f t="shared" si="20"/>
        <v>129766.74997333332</v>
      </c>
      <c r="L175" s="12">
        <f t="shared" si="21"/>
        <v>0</v>
      </c>
      <c r="M175" s="240">
        <f t="shared" si="22"/>
        <v>0</v>
      </c>
      <c r="O175" s="42">
        <f t="shared" si="23"/>
        <v>0</v>
      </c>
      <c r="P175" s="200"/>
      <c r="Q175" s="164"/>
      <c r="R175" s="164"/>
      <c r="S175" s="164"/>
      <c r="T175" s="164"/>
      <c r="U175" s="164"/>
      <c r="AF175" s="11"/>
      <c r="AG175" s="11"/>
      <c r="AH175" s="11"/>
      <c r="AI175" s="11"/>
      <c r="AJ175" s="11"/>
      <c r="AK175" s="11"/>
      <c r="AL175" s="11"/>
    </row>
    <row r="176" spans="1:38" x14ac:dyDescent="0.25">
      <c r="A176" s="38">
        <f>+Données!A176</f>
        <v>5705</v>
      </c>
      <c r="B176" s="184" t="str">
        <f>+Données!B176</f>
        <v>Bogis-Bossey</v>
      </c>
      <c r="C176" s="173">
        <f>+Ecrêtage!C176</f>
        <v>51043.487651006704</v>
      </c>
      <c r="D176" s="171"/>
      <c r="E176" s="173">
        <f>Données!AF176+Données!AG176+Données!AH176</f>
        <v>0</v>
      </c>
      <c r="F176" s="171">
        <f t="shared" si="17"/>
        <v>408347.90120805363</v>
      </c>
      <c r="G176" s="8">
        <f t="shared" si="18"/>
        <v>0</v>
      </c>
      <c r="H176" s="240">
        <f t="shared" si="19"/>
        <v>0</v>
      </c>
      <c r="J176" s="8">
        <f>Données!AN176</f>
        <v>0</v>
      </c>
      <c r="K176" s="154">
        <f t="shared" si="20"/>
        <v>51043.487651006704</v>
      </c>
      <c r="L176" s="12">
        <f t="shared" si="21"/>
        <v>0</v>
      </c>
      <c r="M176" s="240">
        <f t="shared" si="22"/>
        <v>0</v>
      </c>
      <c r="O176" s="42">
        <f t="shared" si="23"/>
        <v>0</v>
      </c>
      <c r="P176" s="200"/>
      <c r="Q176" s="164"/>
      <c r="R176" s="164"/>
      <c r="S176" s="164"/>
      <c r="T176" s="164"/>
      <c r="U176" s="164"/>
      <c r="AF176" s="11"/>
      <c r="AG176" s="11"/>
      <c r="AH176" s="11"/>
      <c r="AI176" s="11"/>
      <c r="AJ176" s="11"/>
      <c r="AK176" s="11"/>
      <c r="AL176" s="11"/>
    </row>
    <row r="177" spans="1:38" x14ac:dyDescent="0.25">
      <c r="A177" s="38">
        <f>+Données!A177</f>
        <v>5706</v>
      </c>
      <c r="B177" s="184" t="str">
        <f>+Données!B177</f>
        <v>Borex</v>
      </c>
      <c r="C177" s="173">
        <f>+Ecrêtage!C177</f>
        <v>69138.234561403515</v>
      </c>
      <c r="D177" s="171"/>
      <c r="E177" s="173">
        <f>Données!AF177+Données!AG177+Données!AH177</f>
        <v>0</v>
      </c>
      <c r="F177" s="171">
        <f t="shared" si="17"/>
        <v>553105.87649122812</v>
      </c>
      <c r="G177" s="8">
        <f t="shared" si="18"/>
        <v>0</v>
      </c>
      <c r="H177" s="240">
        <f t="shared" si="19"/>
        <v>0</v>
      </c>
      <c r="J177" s="8">
        <f>Données!AN177</f>
        <v>0</v>
      </c>
      <c r="K177" s="154">
        <f t="shared" si="20"/>
        <v>69138.234561403515</v>
      </c>
      <c r="L177" s="12">
        <f t="shared" si="21"/>
        <v>0</v>
      </c>
      <c r="M177" s="240">
        <f t="shared" si="22"/>
        <v>0</v>
      </c>
      <c r="O177" s="42">
        <f t="shared" si="23"/>
        <v>0</v>
      </c>
      <c r="P177" s="200"/>
      <c r="Q177" s="164"/>
      <c r="R177" s="164"/>
      <c r="S177" s="164"/>
      <c r="T177" s="164"/>
      <c r="U177" s="164"/>
      <c r="AF177" s="11"/>
      <c r="AG177" s="11"/>
      <c r="AH177" s="11"/>
      <c r="AI177" s="11"/>
      <c r="AJ177" s="11"/>
      <c r="AK177" s="11"/>
      <c r="AL177" s="11"/>
    </row>
    <row r="178" spans="1:38" x14ac:dyDescent="0.25">
      <c r="A178" s="38">
        <f>+Données!A178</f>
        <v>5707</v>
      </c>
      <c r="B178" s="184" t="str">
        <f>+Données!B178</f>
        <v>Chavannes-de-Bogis</v>
      </c>
      <c r="C178" s="173">
        <f>+Ecrêtage!C178</f>
        <v>86795.072643678155</v>
      </c>
      <c r="D178" s="171"/>
      <c r="E178" s="173">
        <f>Données!AF178+Données!AG178+Données!AH178</f>
        <v>0</v>
      </c>
      <c r="F178" s="171">
        <f t="shared" si="17"/>
        <v>694360.58114942524</v>
      </c>
      <c r="G178" s="8">
        <f t="shared" si="18"/>
        <v>0</v>
      </c>
      <c r="H178" s="240">
        <f t="shared" si="19"/>
        <v>0</v>
      </c>
      <c r="J178" s="8">
        <f>Données!AN178</f>
        <v>0</v>
      </c>
      <c r="K178" s="154">
        <f t="shared" si="20"/>
        <v>86795.072643678155</v>
      </c>
      <c r="L178" s="12">
        <f t="shared" si="21"/>
        <v>0</v>
      </c>
      <c r="M178" s="240">
        <f t="shared" si="22"/>
        <v>0</v>
      </c>
      <c r="O178" s="42">
        <f t="shared" si="23"/>
        <v>0</v>
      </c>
      <c r="P178" s="200"/>
      <c r="Q178" s="164"/>
      <c r="R178" s="164"/>
      <c r="S178" s="164"/>
      <c r="T178" s="164"/>
      <c r="U178" s="164"/>
      <c r="AF178" s="11"/>
      <c r="AG178" s="11"/>
      <c r="AH178" s="11"/>
      <c r="AI178" s="11"/>
      <c r="AJ178" s="11"/>
      <c r="AK178" s="11"/>
      <c r="AL178" s="11"/>
    </row>
    <row r="179" spans="1:38" x14ac:dyDescent="0.25">
      <c r="A179" s="38">
        <f>+Données!A179</f>
        <v>5708</v>
      </c>
      <c r="B179" s="184" t="str">
        <f>+Données!B179</f>
        <v>Chavannes-des-Bois</v>
      </c>
      <c r="C179" s="173">
        <f>+Ecrêtage!C179</f>
        <v>68805.474411764691</v>
      </c>
      <c r="D179" s="171"/>
      <c r="E179" s="173">
        <f>Données!AF179+Données!AG179+Données!AH179</f>
        <v>0</v>
      </c>
      <c r="F179" s="171">
        <f t="shared" si="17"/>
        <v>550443.79529411753</v>
      </c>
      <c r="G179" s="8">
        <f t="shared" si="18"/>
        <v>0</v>
      </c>
      <c r="H179" s="240">
        <f t="shared" si="19"/>
        <v>0</v>
      </c>
      <c r="J179" s="8">
        <f>Données!AN179</f>
        <v>0</v>
      </c>
      <c r="K179" s="154">
        <f t="shared" si="20"/>
        <v>68805.474411764691</v>
      </c>
      <c r="L179" s="12">
        <f t="shared" si="21"/>
        <v>0</v>
      </c>
      <c r="M179" s="240">
        <f t="shared" si="22"/>
        <v>0</v>
      </c>
      <c r="O179" s="42">
        <f t="shared" si="23"/>
        <v>0</v>
      </c>
      <c r="P179" s="200"/>
      <c r="Q179" s="164"/>
      <c r="R179" s="164"/>
      <c r="S179" s="164"/>
      <c r="T179" s="164"/>
      <c r="U179" s="164"/>
      <c r="AF179" s="11"/>
      <c r="AG179" s="11"/>
      <c r="AH179" s="11"/>
      <c r="AI179" s="11"/>
      <c r="AJ179" s="11"/>
      <c r="AK179" s="11"/>
      <c r="AL179" s="11"/>
    </row>
    <row r="180" spans="1:38" x14ac:dyDescent="0.25">
      <c r="A180" s="38">
        <f>+Données!A180</f>
        <v>5709</v>
      </c>
      <c r="B180" s="184" t="str">
        <f>+Données!B180</f>
        <v>Chéserex</v>
      </c>
      <c r="C180" s="173">
        <f>+Ecrêtage!C180</f>
        <v>90983.181403508803</v>
      </c>
      <c r="D180" s="171"/>
      <c r="E180" s="173">
        <f>Données!AF180+Données!AG180+Données!AH180</f>
        <v>469433</v>
      </c>
      <c r="F180" s="171">
        <f t="shared" si="17"/>
        <v>727865.45122807042</v>
      </c>
      <c r="G180" s="8">
        <f t="shared" si="18"/>
        <v>0</v>
      </c>
      <c r="H180" s="240">
        <f t="shared" si="19"/>
        <v>0</v>
      </c>
      <c r="J180" s="8">
        <f>Données!AN180</f>
        <v>65838</v>
      </c>
      <c r="K180" s="154">
        <f t="shared" si="20"/>
        <v>90983.181403508803</v>
      </c>
      <c r="L180" s="12">
        <f t="shared" si="21"/>
        <v>0</v>
      </c>
      <c r="M180" s="240">
        <f t="shared" si="22"/>
        <v>0</v>
      </c>
      <c r="O180" s="42">
        <f t="shared" si="23"/>
        <v>0</v>
      </c>
      <c r="P180" s="200"/>
      <c r="Q180" s="164"/>
      <c r="R180" s="164"/>
      <c r="S180" s="164"/>
      <c r="T180" s="164"/>
      <c r="U180" s="164"/>
      <c r="AF180" s="11"/>
      <c r="AG180" s="11"/>
      <c r="AH180" s="11"/>
      <c r="AI180" s="11"/>
      <c r="AJ180" s="11"/>
      <c r="AK180" s="11"/>
      <c r="AL180" s="11"/>
    </row>
    <row r="181" spans="1:38" x14ac:dyDescent="0.25">
      <c r="A181" s="38">
        <f>+Données!A181</f>
        <v>5710</v>
      </c>
      <c r="B181" s="184" t="str">
        <f>+Données!B181</f>
        <v>Coinsins</v>
      </c>
      <c r="C181" s="173">
        <f>+Ecrêtage!C181</f>
        <v>33546.798235294118</v>
      </c>
      <c r="D181" s="171"/>
      <c r="E181" s="173">
        <f>Données!AF181+Données!AG181+Données!AH181</f>
        <v>169942</v>
      </c>
      <c r="F181" s="171">
        <f t="shared" si="17"/>
        <v>268374.38588235294</v>
      </c>
      <c r="G181" s="8">
        <f t="shared" si="18"/>
        <v>0</v>
      </c>
      <c r="H181" s="240">
        <f t="shared" si="19"/>
        <v>0</v>
      </c>
      <c r="J181" s="8">
        <f>Données!AN181</f>
        <v>3155</v>
      </c>
      <c r="K181" s="154">
        <f t="shared" si="20"/>
        <v>33546.798235294118</v>
      </c>
      <c r="L181" s="12">
        <f t="shared" si="21"/>
        <v>0</v>
      </c>
      <c r="M181" s="240">
        <f t="shared" si="22"/>
        <v>0</v>
      </c>
      <c r="O181" s="42">
        <f t="shared" si="23"/>
        <v>0</v>
      </c>
      <c r="P181" s="200"/>
      <c r="Q181" s="164"/>
      <c r="R181" s="164"/>
      <c r="S181" s="164"/>
      <c r="T181" s="164"/>
      <c r="U181" s="164"/>
      <c r="AF181" s="11"/>
      <c r="AG181" s="11"/>
      <c r="AH181" s="11"/>
      <c r="AI181" s="11"/>
      <c r="AJ181" s="11"/>
      <c r="AK181" s="11"/>
      <c r="AL181" s="11"/>
    </row>
    <row r="182" spans="1:38" x14ac:dyDescent="0.25">
      <c r="A182" s="38">
        <f>+Données!A182</f>
        <v>5711</v>
      </c>
      <c r="B182" s="184" t="str">
        <f>+Données!B182</f>
        <v>Commugny</v>
      </c>
      <c r="C182" s="173">
        <f>+Ecrêtage!C182</f>
        <v>305460.14325236168</v>
      </c>
      <c r="D182" s="171"/>
      <c r="E182" s="173">
        <f>Données!AF182+Données!AG182+Données!AH182</f>
        <v>0</v>
      </c>
      <c r="F182" s="171">
        <f t="shared" si="17"/>
        <v>2443681.1460188935</v>
      </c>
      <c r="G182" s="8">
        <f t="shared" si="18"/>
        <v>0</v>
      </c>
      <c r="H182" s="240">
        <f t="shared" si="19"/>
        <v>0</v>
      </c>
      <c r="J182" s="8">
        <f>Données!AN182</f>
        <v>0</v>
      </c>
      <c r="K182" s="154">
        <f t="shared" si="20"/>
        <v>305460.14325236168</v>
      </c>
      <c r="L182" s="12">
        <f t="shared" si="21"/>
        <v>0</v>
      </c>
      <c r="M182" s="240">
        <f t="shared" si="22"/>
        <v>0</v>
      </c>
      <c r="O182" s="42">
        <f t="shared" si="23"/>
        <v>0</v>
      </c>
      <c r="P182" s="200"/>
      <c r="Q182" s="164"/>
      <c r="R182" s="164"/>
      <c r="S182" s="164"/>
      <c r="T182" s="164"/>
      <c r="U182" s="164"/>
      <c r="AF182" s="11"/>
      <c r="AG182" s="11"/>
      <c r="AH182" s="11"/>
      <c r="AI182" s="11"/>
      <c r="AJ182" s="11"/>
      <c r="AK182" s="11"/>
      <c r="AL182" s="11"/>
    </row>
    <row r="183" spans="1:38" x14ac:dyDescent="0.25">
      <c r="A183" s="38">
        <f>+Données!A183</f>
        <v>5712</v>
      </c>
      <c r="B183" s="184" t="str">
        <f>+Données!B183</f>
        <v>Coppet</v>
      </c>
      <c r="C183" s="173">
        <f>+Ecrêtage!C183</f>
        <v>422775.96742138366</v>
      </c>
      <c r="D183" s="171"/>
      <c r="E183" s="173">
        <f>Données!AF183+Données!AG183+Données!AH183</f>
        <v>1330697</v>
      </c>
      <c r="F183" s="171">
        <f t="shared" si="17"/>
        <v>3382207.7393710692</v>
      </c>
      <c r="G183" s="8">
        <f t="shared" si="18"/>
        <v>0</v>
      </c>
      <c r="H183" s="240">
        <f t="shared" si="19"/>
        <v>0</v>
      </c>
      <c r="J183" s="8">
        <f>Données!AN183</f>
        <v>0</v>
      </c>
      <c r="K183" s="154">
        <f t="shared" si="20"/>
        <v>422775.96742138366</v>
      </c>
      <c r="L183" s="12">
        <f t="shared" si="21"/>
        <v>0</v>
      </c>
      <c r="M183" s="240">
        <f t="shared" si="22"/>
        <v>0</v>
      </c>
      <c r="O183" s="42">
        <f t="shared" si="23"/>
        <v>0</v>
      </c>
      <c r="P183" s="200"/>
      <c r="Q183" s="164"/>
      <c r="R183" s="164"/>
      <c r="S183" s="164"/>
      <c r="T183" s="164"/>
      <c r="U183" s="164"/>
      <c r="AF183" s="11"/>
      <c r="AG183" s="11"/>
      <c r="AH183" s="11"/>
      <c r="AI183" s="11"/>
      <c r="AJ183" s="11"/>
      <c r="AK183" s="11"/>
      <c r="AL183" s="11"/>
    </row>
    <row r="184" spans="1:38" x14ac:dyDescent="0.25">
      <c r="A184" s="38">
        <f>+Données!A184</f>
        <v>5713</v>
      </c>
      <c r="B184" s="184" t="str">
        <f>+Données!B184</f>
        <v>Crans</v>
      </c>
      <c r="C184" s="173">
        <f>+Ecrêtage!C184</f>
        <v>284268.21966101695</v>
      </c>
      <c r="D184" s="171"/>
      <c r="E184" s="173">
        <f>Données!AF184+Données!AG184+Données!AH184</f>
        <v>0</v>
      </c>
      <c r="F184" s="171">
        <f t="shared" si="17"/>
        <v>2274145.7572881356</v>
      </c>
      <c r="G184" s="8">
        <f t="shared" si="18"/>
        <v>0</v>
      </c>
      <c r="H184" s="240">
        <f t="shared" si="19"/>
        <v>0</v>
      </c>
      <c r="J184" s="8">
        <f>Données!AN184</f>
        <v>0</v>
      </c>
      <c r="K184" s="154">
        <f t="shared" si="20"/>
        <v>284268.21966101695</v>
      </c>
      <c r="L184" s="12">
        <f t="shared" si="21"/>
        <v>0</v>
      </c>
      <c r="M184" s="240">
        <f t="shared" si="22"/>
        <v>0</v>
      </c>
      <c r="O184" s="42">
        <f t="shared" si="23"/>
        <v>0</v>
      </c>
      <c r="P184" s="200"/>
      <c r="Q184" s="164"/>
      <c r="R184" s="164"/>
      <c r="S184" s="164"/>
      <c r="T184" s="164"/>
      <c r="U184" s="164"/>
      <c r="AF184" s="11"/>
      <c r="AG184" s="11"/>
      <c r="AH184" s="11"/>
      <c r="AI184" s="11"/>
      <c r="AJ184" s="11"/>
      <c r="AK184" s="11"/>
      <c r="AL184" s="11"/>
    </row>
    <row r="185" spans="1:38" x14ac:dyDescent="0.25">
      <c r="A185" s="38">
        <f>+Données!A185</f>
        <v>5714</v>
      </c>
      <c r="B185" s="184" t="str">
        <f>+Données!B185</f>
        <v>Crassier</v>
      </c>
      <c r="C185" s="173">
        <f>+Ecrêtage!C185</f>
        <v>62524.177894736851</v>
      </c>
      <c r="D185" s="171"/>
      <c r="E185" s="173">
        <f>Données!AF185+Données!AG185+Données!AH185</f>
        <v>0</v>
      </c>
      <c r="F185" s="171">
        <f t="shared" si="17"/>
        <v>500193.42315789481</v>
      </c>
      <c r="G185" s="8">
        <f t="shared" si="18"/>
        <v>0</v>
      </c>
      <c r="H185" s="240">
        <f t="shared" si="19"/>
        <v>0</v>
      </c>
      <c r="J185" s="8">
        <f>Données!AN185</f>
        <v>0</v>
      </c>
      <c r="K185" s="154">
        <f t="shared" si="20"/>
        <v>62524.177894736851</v>
      </c>
      <c r="L185" s="12">
        <f t="shared" si="21"/>
        <v>0</v>
      </c>
      <c r="M185" s="240">
        <f t="shared" si="22"/>
        <v>0</v>
      </c>
      <c r="O185" s="42">
        <f t="shared" si="23"/>
        <v>0</v>
      </c>
      <c r="P185" s="200"/>
      <c r="Q185" s="164"/>
      <c r="R185" s="164"/>
      <c r="S185" s="164"/>
      <c r="T185" s="164"/>
      <c r="U185" s="164"/>
      <c r="AF185" s="11"/>
      <c r="AG185" s="11"/>
      <c r="AH185" s="11"/>
      <c r="AI185" s="11"/>
      <c r="AJ185" s="11"/>
      <c r="AK185" s="11"/>
      <c r="AL185" s="11"/>
    </row>
    <row r="186" spans="1:38" x14ac:dyDescent="0.25">
      <c r="A186" s="38">
        <f>+Données!A186</f>
        <v>5715</v>
      </c>
      <c r="B186" s="184" t="str">
        <f>+Données!B186</f>
        <v>Duillier</v>
      </c>
      <c r="C186" s="173">
        <f>+Ecrêtage!C186</f>
        <v>60549.503181818189</v>
      </c>
      <c r="D186" s="171"/>
      <c r="E186" s="173">
        <f>Données!AF186+Données!AG186+Données!AH186</f>
        <v>0</v>
      </c>
      <c r="F186" s="171">
        <f t="shared" si="17"/>
        <v>484396.02545454551</v>
      </c>
      <c r="G186" s="8">
        <f t="shared" si="18"/>
        <v>0</v>
      </c>
      <c r="H186" s="240">
        <f t="shared" si="19"/>
        <v>0</v>
      </c>
      <c r="J186" s="8">
        <f>Données!AN186</f>
        <v>0</v>
      </c>
      <c r="K186" s="154">
        <f t="shared" si="20"/>
        <v>60549.503181818189</v>
      </c>
      <c r="L186" s="12">
        <f t="shared" si="21"/>
        <v>0</v>
      </c>
      <c r="M186" s="240">
        <f t="shared" si="22"/>
        <v>0</v>
      </c>
      <c r="O186" s="42">
        <f t="shared" si="23"/>
        <v>0</v>
      </c>
      <c r="P186" s="200"/>
      <c r="Q186" s="164"/>
      <c r="R186" s="164"/>
      <c r="S186" s="164"/>
      <c r="T186" s="164"/>
      <c r="U186" s="164"/>
      <c r="AF186" s="11"/>
      <c r="AG186" s="11"/>
      <c r="AH186" s="11"/>
      <c r="AI186" s="11"/>
      <c r="AJ186" s="11"/>
      <c r="AK186" s="11"/>
      <c r="AL186" s="11"/>
    </row>
    <row r="187" spans="1:38" x14ac:dyDescent="0.25">
      <c r="A187" s="38">
        <f>+Données!A187</f>
        <v>5716</v>
      </c>
      <c r="B187" s="184" t="str">
        <f>+Données!B187</f>
        <v>Eysins</v>
      </c>
      <c r="C187" s="173">
        <f>+Ecrêtage!C187</f>
        <v>232449.31983193275</v>
      </c>
      <c r="D187" s="171"/>
      <c r="E187" s="173">
        <f>Données!AF187+Données!AG187+Données!AH187</f>
        <v>0</v>
      </c>
      <c r="F187" s="171">
        <f t="shared" si="17"/>
        <v>1859594.558655462</v>
      </c>
      <c r="G187" s="8">
        <f t="shared" si="18"/>
        <v>0</v>
      </c>
      <c r="H187" s="240">
        <f t="shared" si="19"/>
        <v>0</v>
      </c>
      <c r="J187" s="8">
        <f>Données!AN187</f>
        <v>0</v>
      </c>
      <c r="K187" s="154">
        <f t="shared" si="20"/>
        <v>232449.31983193275</v>
      </c>
      <c r="L187" s="12">
        <f t="shared" si="21"/>
        <v>0</v>
      </c>
      <c r="M187" s="240">
        <f t="shared" si="22"/>
        <v>0</v>
      </c>
      <c r="O187" s="42">
        <f t="shared" si="23"/>
        <v>0</v>
      </c>
      <c r="P187" s="200"/>
      <c r="Q187" s="164"/>
      <c r="R187" s="164"/>
      <c r="S187" s="164"/>
      <c r="T187" s="164"/>
      <c r="U187" s="164"/>
      <c r="AF187" s="11"/>
      <c r="AG187" s="11"/>
      <c r="AH187" s="11"/>
      <c r="AI187" s="11"/>
      <c r="AJ187" s="11"/>
      <c r="AK187" s="11"/>
      <c r="AL187" s="11"/>
    </row>
    <row r="188" spans="1:38" x14ac:dyDescent="0.25">
      <c r="A188" s="38">
        <f>+Données!A188</f>
        <v>5717</v>
      </c>
      <c r="B188" s="184" t="str">
        <f>+Données!B188</f>
        <v>Founex</v>
      </c>
      <c r="C188" s="173">
        <f>+Ecrêtage!C188</f>
        <v>361580.60666666663</v>
      </c>
      <c r="D188" s="171"/>
      <c r="E188" s="173">
        <f>Données!AF188+Données!AG188+Données!AH188</f>
        <v>0</v>
      </c>
      <c r="F188" s="171">
        <f t="shared" si="17"/>
        <v>2892644.853333333</v>
      </c>
      <c r="G188" s="8">
        <f t="shared" si="18"/>
        <v>0</v>
      </c>
      <c r="H188" s="240">
        <f t="shared" si="19"/>
        <v>0</v>
      </c>
      <c r="J188" s="8">
        <f>Données!AN188</f>
        <v>0</v>
      </c>
      <c r="K188" s="154">
        <f t="shared" si="20"/>
        <v>361580.60666666663</v>
      </c>
      <c r="L188" s="12">
        <f t="shared" si="21"/>
        <v>0</v>
      </c>
      <c r="M188" s="240">
        <f t="shared" si="22"/>
        <v>0</v>
      </c>
      <c r="O188" s="42">
        <f t="shared" si="23"/>
        <v>0</v>
      </c>
      <c r="P188" s="200"/>
      <c r="Q188" s="164"/>
      <c r="R188" s="164"/>
      <c r="S188" s="164"/>
      <c r="T188" s="164"/>
      <c r="U188" s="164"/>
      <c r="AF188" s="11"/>
      <c r="AG188" s="11"/>
      <c r="AH188" s="11"/>
      <c r="AI188" s="11"/>
      <c r="AJ188" s="11"/>
      <c r="AK188" s="11"/>
      <c r="AL188" s="11"/>
    </row>
    <row r="189" spans="1:38" s="121" customFormat="1" x14ac:dyDescent="0.25">
      <c r="A189" s="38">
        <f>+Données!A189</f>
        <v>5718</v>
      </c>
      <c r="B189" s="184" t="str">
        <f>+Données!B189</f>
        <v>Genolier</v>
      </c>
      <c r="C189" s="173">
        <f>+Ecrêtage!C189</f>
        <v>212690.22036363633</v>
      </c>
      <c r="D189" s="171"/>
      <c r="E189" s="173">
        <f>Données!AF189+Données!AG189+Données!AH189</f>
        <v>0</v>
      </c>
      <c r="F189" s="171">
        <f t="shared" si="17"/>
        <v>1701521.7629090906</v>
      </c>
      <c r="G189" s="8">
        <f t="shared" si="18"/>
        <v>0</v>
      </c>
      <c r="H189" s="240">
        <f t="shared" si="19"/>
        <v>0</v>
      </c>
      <c r="I189" s="174"/>
      <c r="J189" s="8">
        <f>Données!AN189</f>
        <v>0</v>
      </c>
      <c r="K189" s="259">
        <f t="shared" si="20"/>
        <v>212690.22036363633</v>
      </c>
      <c r="L189" s="1">
        <f t="shared" si="21"/>
        <v>0</v>
      </c>
      <c r="M189" s="240">
        <f t="shared" si="22"/>
        <v>0</v>
      </c>
      <c r="N189" s="174"/>
      <c r="O189" s="42">
        <f t="shared" si="23"/>
        <v>0</v>
      </c>
      <c r="P189" s="200"/>
      <c r="Q189" s="164"/>
      <c r="R189" s="164"/>
      <c r="S189" s="164"/>
      <c r="T189" s="164"/>
      <c r="U189" s="164"/>
      <c r="V189" s="158"/>
      <c r="W189" s="158"/>
      <c r="X189" s="158"/>
      <c r="Y189" s="158"/>
      <c r="Z189" s="158"/>
      <c r="AA189" s="158"/>
      <c r="AB189" s="158"/>
      <c r="AC189" s="158"/>
      <c r="AD189" s="158"/>
      <c r="AE189" s="158"/>
    </row>
    <row r="190" spans="1:38" x14ac:dyDescent="0.25">
      <c r="A190" s="38">
        <f>+Données!A190</f>
        <v>5719</v>
      </c>
      <c r="B190" s="184" t="str">
        <f>+Données!B190</f>
        <v>Gingins</v>
      </c>
      <c r="C190" s="173">
        <f>+Ecrêtage!C190</f>
        <v>119942.45777777776</v>
      </c>
      <c r="D190" s="171"/>
      <c r="E190" s="173">
        <f>Données!AF190+Données!AG190+Données!AH190</f>
        <v>0</v>
      </c>
      <c r="F190" s="171">
        <f t="shared" si="17"/>
        <v>959539.66222222208</v>
      </c>
      <c r="G190" s="8">
        <f t="shared" si="18"/>
        <v>0</v>
      </c>
      <c r="H190" s="240">
        <f t="shared" si="19"/>
        <v>0</v>
      </c>
      <c r="J190" s="8">
        <f>Données!AN190</f>
        <v>0</v>
      </c>
      <c r="K190" s="154">
        <f t="shared" si="20"/>
        <v>119942.45777777776</v>
      </c>
      <c r="L190" s="12">
        <f t="shared" si="21"/>
        <v>0</v>
      </c>
      <c r="M190" s="240">
        <f t="shared" si="22"/>
        <v>0</v>
      </c>
      <c r="O190" s="42">
        <f t="shared" si="23"/>
        <v>0</v>
      </c>
      <c r="P190" s="200"/>
      <c r="Q190" s="164"/>
      <c r="R190" s="164"/>
      <c r="S190" s="164"/>
      <c r="T190" s="164"/>
      <c r="U190" s="164"/>
      <c r="AF190" s="11"/>
      <c r="AG190" s="11"/>
      <c r="AH190" s="11"/>
      <c r="AI190" s="11"/>
      <c r="AJ190" s="11"/>
      <c r="AK190" s="11"/>
      <c r="AL190" s="11"/>
    </row>
    <row r="191" spans="1:38" x14ac:dyDescent="0.25">
      <c r="A191" s="38">
        <f>+Données!A191</f>
        <v>5720</v>
      </c>
      <c r="B191" s="184" t="str">
        <f>+Données!B191</f>
        <v>Givrins</v>
      </c>
      <c r="C191" s="173">
        <f>+Ecrêtage!C191</f>
        <v>84867.165124378109</v>
      </c>
      <c r="D191" s="171"/>
      <c r="E191" s="173">
        <f>Données!AF191+Données!AG191+Données!AH191</f>
        <v>446793</v>
      </c>
      <c r="F191" s="171">
        <f t="shared" si="17"/>
        <v>678937.32099502487</v>
      </c>
      <c r="G191" s="8">
        <f t="shared" si="18"/>
        <v>0</v>
      </c>
      <c r="H191" s="240">
        <f t="shared" si="19"/>
        <v>0</v>
      </c>
      <c r="J191" s="8">
        <f>Données!AN191</f>
        <v>110471</v>
      </c>
      <c r="K191" s="154">
        <f t="shared" si="20"/>
        <v>84867.165124378109</v>
      </c>
      <c r="L191" s="12">
        <f t="shared" si="21"/>
        <v>25603.834875621891</v>
      </c>
      <c r="M191" s="240">
        <f t="shared" si="22"/>
        <v>-19073.939675739599</v>
      </c>
      <c r="O191" s="42">
        <f t="shared" si="23"/>
        <v>-19073.939675739599</v>
      </c>
      <c r="P191" s="200"/>
      <c r="Q191" s="164"/>
      <c r="R191" s="164"/>
      <c r="S191" s="164"/>
      <c r="T191" s="164"/>
      <c r="U191" s="164"/>
      <c r="AF191" s="11"/>
      <c r="AG191" s="11"/>
      <c r="AH191" s="11"/>
      <c r="AI191" s="11"/>
      <c r="AJ191" s="11"/>
      <c r="AK191" s="11"/>
      <c r="AL191" s="11"/>
    </row>
    <row r="192" spans="1:38" x14ac:dyDescent="0.25">
      <c r="A192" s="38">
        <f>+Données!A192</f>
        <v>5721</v>
      </c>
      <c r="B192" s="184" t="str">
        <f>+Données!B192</f>
        <v>Gland</v>
      </c>
      <c r="C192" s="173">
        <f>+Ecrêtage!C192</f>
        <v>688905.14770491805</v>
      </c>
      <c r="D192" s="171"/>
      <c r="E192" s="173">
        <f>Données!AF192+Données!AG192+Données!AH192</f>
        <v>4481957</v>
      </c>
      <c r="F192" s="171">
        <f t="shared" si="17"/>
        <v>5511241.1816393444</v>
      </c>
      <c r="G192" s="8">
        <f t="shared" si="18"/>
        <v>0</v>
      </c>
      <c r="H192" s="240">
        <f t="shared" si="19"/>
        <v>0</v>
      </c>
      <c r="J192" s="8">
        <f>Données!AN192</f>
        <v>35424</v>
      </c>
      <c r="K192" s="154">
        <f t="shared" si="20"/>
        <v>688905.14770491805</v>
      </c>
      <c r="L192" s="12">
        <f t="shared" si="21"/>
        <v>0</v>
      </c>
      <c r="M192" s="240">
        <f t="shared" si="22"/>
        <v>0</v>
      </c>
      <c r="O192" s="42">
        <f t="shared" si="23"/>
        <v>0</v>
      </c>
      <c r="P192" s="200"/>
      <c r="Q192" s="164"/>
      <c r="R192" s="164"/>
      <c r="S192" s="164"/>
      <c r="T192" s="164"/>
      <c r="U192" s="164"/>
      <c r="AF192" s="11"/>
      <c r="AG192" s="11"/>
      <c r="AH192" s="11"/>
      <c r="AI192" s="11"/>
      <c r="AJ192" s="11"/>
      <c r="AK192" s="11"/>
      <c r="AL192" s="11"/>
    </row>
    <row r="193" spans="1:38" x14ac:dyDescent="0.25">
      <c r="A193" s="38">
        <f>+Données!A193</f>
        <v>5722</v>
      </c>
      <c r="B193" s="184" t="str">
        <f>+Données!B193</f>
        <v>Grens</v>
      </c>
      <c r="C193" s="173">
        <f>+Ecrêtage!C193</f>
        <v>20912.601129032257</v>
      </c>
      <c r="D193" s="171"/>
      <c r="E193" s="173">
        <f>Données!AF193+Données!AG193+Données!AH193</f>
        <v>0</v>
      </c>
      <c r="F193" s="171">
        <f t="shared" si="17"/>
        <v>167300.80903225805</v>
      </c>
      <c r="G193" s="8">
        <f t="shared" si="18"/>
        <v>0</v>
      </c>
      <c r="H193" s="240">
        <f t="shared" si="19"/>
        <v>0</v>
      </c>
      <c r="J193" s="8">
        <f>Données!AN193</f>
        <v>0</v>
      </c>
      <c r="K193" s="154">
        <f t="shared" si="20"/>
        <v>20912.601129032257</v>
      </c>
      <c r="L193" s="12">
        <f t="shared" si="21"/>
        <v>0</v>
      </c>
      <c r="M193" s="240">
        <f t="shared" si="22"/>
        <v>0</v>
      </c>
      <c r="O193" s="42">
        <f t="shared" si="23"/>
        <v>0</v>
      </c>
      <c r="P193" s="200"/>
      <c r="Q193" s="164"/>
      <c r="R193" s="164"/>
      <c r="S193" s="164"/>
      <c r="T193" s="164"/>
      <c r="U193" s="164"/>
      <c r="AF193" s="11"/>
      <c r="AG193" s="11"/>
      <c r="AH193" s="11"/>
      <c r="AI193" s="11"/>
      <c r="AJ193" s="11"/>
      <c r="AK193" s="11"/>
      <c r="AL193" s="11"/>
    </row>
    <row r="194" spans="1:38" x14ac:dyDescent="0.25">
      <c r="A194" s="38">
        <f>+Données!A194</f>
        <v>5723</v>
      </c>
      <c r="B194" s="184" t="str">
        <f>+Données!B194</f>
        <v>Mies</v>
      </c>
      <c r="C194" s="173">
        <f>+Ecrêtage!C194</f>
        <v>253768.06750000003</v>
      </c>
      <c r="D194" s="171"/>
      <c r="E194" s="173">
        <f>Données!AF194+Données!AG194+Données!AH194</f>
        <v>0</v>
      </c>
      <c r="F194" s="171">
        <f t="shared" si="17"/>
        <v>2030144.5400000003</v>
      </c>
      <c r="G194" s="8">
        <f t="shared" si="18"/>
        <v>0</v>
      </c>
      <c r="H194" s="240">
        <f t="shared" si="19"/>
        <v>0</v>
      </c>
      <c r="J194" s="8">
        <f>Données!AN194</f>
        <v>0</v>
      </c>
      <c r="K194" s="154">
        <f t="shared" si="20"/>
        <v>253768.06750000003</v>
      </c>
      <c r="L194" s="12">
        <f t="shared" si="21"/>
        <v>0</v>
      </c>
      <c r="M194" s="240">
        <f t="shared" si="22"/>
        <v>0</v>
      </c>
      <c r="O194" s="42">
        <f t="shared" si="23"/>
        <v>0</v>
      </c>
      <c r="P194" s="200"/>
      <c r="Q194" s="164"/>
      <c r="R194" s="164"/>
      <c r="S194" s="164"/>
      <c r="T194" s="164"/>
      <c r="U194" s="164"/>
      <c r="AF194" s="11"/>
      <c r="AG194" s="11"/>
      <c r="AH194" s="11"/>
      <c r="AI194" s="11"/>
      <c r="AJ194" s="11"/>
      <c r="AK194" s="11"/>
      <c r="AL194" s="11"/>
    </row>
    <row r="195" spans="1:38" x14ac:dyDescent="0.25">
      <c r="A195" s="38">
        <f>+Données!A195</f>
        <v>5724</v>
      </c>
      <c r="B195" s="184" t="str">
        <f>+Données!B195</f>
        <v>Nyon</v>
      </c>
      <c r="C195" s="173">
        <f>+Ecrêtage!C195</f>
        <v>1519986.9332786887</v>
      </c>
      <c r="D195" s="171"/>
      <c r="E195" s="173">
        <f>Données!AF195+Données!AG195+Données!AH195</f>
        <v>14132542</v>
      </c>
      <c r="F195" s="171">
        <f t="shared" si="17"/>
        <v>12159895.46622951</v>
      </c>
      <c r="G195" s="8">
        <f t="shared" si="18"/>
        <v>1972646.5337704904</v>
      </c>
      <c r="H195" s="240">
        <f t="shared" si="19"/>
        <v>-1469550.9938052297</v>
      </c>
      <c r="J195" s="8">
        <f>Données!AN195</f>
        <v>351378</v>
      </c>
      <c r="K195" s="154">
        <f t="shared" si="20"/>
        <v>1519986.9332786887</v>
      </c>
      <c r="L195" s="12">
        <f t="shared" si="21"/>
        <v>0</v>
      </c>
      <c r="M195" s="240">
        <f t="shared" si="22"/>
        <v>0</v>
      </c>
      <c r="O195" s="42">
        <f t="shared" si="23"/>
        <v>-1469550.9938052297</v>
      </c>
      <c r="P195" s="200"/>
      <c r="Q195" s="164"/>
      <c r="R195" s="164"/>
      <c r="S195" s="164"/>
      <c r="T195" s="164"/>
      <c r="U195" s="164"/>
      <c r="AF195" s="11"/>
      <c r="AG195" s="11"/>
      <c r="AH195" s="11"/>
      <c r="AI195" s="11"/>
      <c r="AJ195" s="11"/>
      <c r="AK195" s="11"/>
      <c r="AL195" s="11"/>
    </row>
    <row r="196" spans="1:38" x14ac:dyDescent="0.25">
      <c r="A196" s="38">
        <f>+Données!A196</f>
        <v>5725</v>
      </c>
      <c r="B196" s="184" t="str">
        <f>+Données!B196</f>
        <v>Prangins</v>
      </c>
      <c r="C196" s="173">
        <f>+Ecrêtage!C196</f>
        <v>388906.70535064931</v>
      </c>
      <c r="D196" s="171"/>
      <c r="E196" s="173">
        <f>Données!AF196+Données!AG196+Données!AH196</f>
        <v>2232581</v>
      </c>
      <c r="F196" s="171">
        <f t="shared" si="17"/>
        <v>3111253.6428051945</v>
      </c>
      <c r="G196" s="8">
        <f t="shared" si="18"/>
        <v>0</v>
      </c>
      <c r="H196" s="240">
        <f t="shared" si="19"/>
        <v>0</v>
      </c>
      <c r="J196" s="8">
        <f>Données!AN196</f>
        <v>6758</v>
      </c>
      <c r="K196" s="154">
        <f t="shared" si="20"/>
        <v>388906.70535064931</v>
      </c>
      <c r="L196" s="12">
        <f t="shared" si="21"/>
        <v>0</v>
      </c>
      <c r="M196" s="240">
        <f t="shared" si="22"/>
        <v>0</v>
      </c>
      <c r="O196" s="42">
        <f t="shared" si="23"/>
        <v>0</v>
      </c>
      <c r="P196" s="200"/>
      <c r="Q196" s="164"/>
      <c r="R196" s="164"/>
      <c r="S196" s="164"/>
      <c r="T196" s="164"/>
      <c r="U196" s="164"/>
      <c r="AF196" s="11"/>
      <c r="AG196" s="11"/>
      <c r="AH196" s="11"/>
      <c r="AI196" s="11"/>
      <c r="AJ196" s="11"/>
      <c r="AK196" s="11"/>
      <c r="AL196" s="11"/>
    </row>
    <row r="197" spans="1:38" x14ac:dyDescent="0.25">
      <c r="A197" s="38">
        <f>+Données!A197</f>
        <v>5726</v>
      </c>
      <c r="B197" s="184" t="str">
        <f>+Données!B197</f>
        <v>La Rippe</v>
      </c>
      <c r="C197" s="173">
        <f>+Ecrêtage!C197</f>
        <v>69785.14234375002</v>
      </c>
      <c r="D197" s="171"/>
      <c r="E197" s="173">
        <f>Données!AF197+Données!AG197+Données!AH197</f>
        <v>0</v>
      </c>
      <c r="F197" s="171">
        <f t="shared" si="17"/>
        <v>558281.13875000016</v>
      </c>
      <c r="G197" s="8">
        <f t="shared" si="18"/>
        <v>0</v>
      </c>
      <c r="H197" s="240">
        <f t="shared" si="19"/>
        <v>0</v>
      </c>
      <c r="J197" s="8">
        <f>Données!AN197</f>
        <v>0</v>
      </c>
      <c r="K197" s="154">
        <f t="shared" si="20"/>
        <v>69785.14234375002</v>
      </c>
      <c r="L197" s="12">
        <f t="shared" si="21"/>
        <v>0</v>
      </c>
      <c r="M197" s="240">
        <f t="shared" si="22"/>
        <v>0</v>
      </c>
      <c r="O197" s="42">
        <f t="shared" si="23"/>
        <v>0</v>
      </c>
      <c r="P197" s="200"/>
      <c r="Q197" s="164"/>
      <c r="R197" s="164"/>
      <c r="S197" s="164"/>
      <c r="T197" s="164"/>
      <c r="U197" s="164"/>
      <c r="AF197" s="11"/>
      <c r="AG197" s="11"/>
      <c r="AH197" s="11"/>
      <c r="AI197" s="11"/>
      <c r="AJ197" s="11"/>
      <c r="AK197" s="11"/>
      <c r="AL197" s="11"/>
    </row>
    <row r="198" spans="1:38" x14ac:dyDescent="0.25">
      <c r="A198" s="38">
        <f>+Données!A198</f>
        <v>5727</v>
      </c>
      <c r="B198" s="184" t="str">
        <f>+Données!B198</f>
        <v>Saint-Cergue</v>
      </c>
      <c r="C198" s="173">
        <f>+Ecrêtage!C198</f>
        <v>107047.00984848487</v>
      </c>
      <c r="D198" s="171"/>
      <c r="E198" s="173">
        <f>Données!AF198+Données!AG198+Données!AH198</f>
        <v>1247768</v>
      </c>
      <c r="F198" s="171">
        <f t="shared" si="17"/>
        <v>856376.07878787897</v>
      </c>
      <c r="G198" s="8">
        <f t="shared" si="18"/>
        <v>391391.92121212103</v>
      </c>
      <c r="H198" s="240">
        <f t="shared" si="19"/>
        <v>-291572.95893514057</v>
      </c>
      <c r="J198" s="8">
        <f>Données!AN198</f>
        <v>183736</v>
      </c>
      <c r="K198" s="154">
        <f t="shared" si="20"/>
        <v>107047.00984848487</v>
      </c>
      <c r="L198" s="12">
        <f t="shared" si="21"/>
        <v>76688.990151515129</v>
      </c>
      <c r="M198" s="240">
        <f t="shared" si="22"/>
        <v>-57130.550132399207</v>
      </c>
      <c r="O198" s="42">
        <f t="shared" si="23"/>
        <v>-348703.50906753977</v>
      </c>
      <c r="P198" s="200"/>
      <c r="Q198" s="164"/>
      <c r="R198" s="164"/>
      <c r="S198" s="164"/>
      <c r="T198" s="164"/>
      <c r="U198" s="164"/>
      <c r="AF198" s="11"/>
      <c r="AG198" s="11"/>
      <c r="AH198" s="11"/>
      <c r="AI198" s="11"/>
      <c r="AJ198" s="11"/>
      <c r="AK198" s="11"/>
      <c r="AL198" s="11"/>
    </row>
    <row r="199" spans="1:38" x14ac:dyDescent="0.25">
      <c r="A199" s="38">
        <f>+Données!A199</f>
        <v>5728</v>
      </c>
      <c r="B199" s="184" t="str">
        <f>+Données!B199</f>
        <v>Signy-Avenex</v>
      </c>
      <c r="C199" s="173">
        <f>+Ecrêtage!C199</f>
        <v>65974.816379310345</v>
      </c>
      <c r="D199" s="171"/>
      <c r="E199" s="173">
        <f>Données!AF199+Données!AG199+Données!AH199</f>
        <v>0</v>
      </c>
      <c r="F199" s="171">
        <f t="shared" ref="F199:F262" si="24">+C199*$G$5</f>
        <v>527798.53103448276</v>
      </c>
      <c r="G199" s="8">
        <f t="shared" ref="G199:G262" si="25">IF(E199&gt;F199,E199-F199,0)</f>
        <v>0</v>
      </c>
      <c r="H199" s="240">
        <f t="shared" ref="H199:H262" si="26">-G199*H$5</f>
        <v>0</v>
      </c>
      <c r="J199" s="8">
        <f>Données!AN199</f>
        <v>0</v>
      </c>
      <c r="K199" s="154">
        <f t="shared" ref="K199:K262" si="27">C199*L$5</f>
        <v>65974.816379310345</v>
      </c>
      <c r="L199" s="12">
        <f t="shared" ref="L199:L262" si="28">IF(J199&gt;K199,J199-K199,0)</f>
        <v>0</v>
      </c>
      <c r="M199" s="240">
        <f t="shared" ref="M199:M262" si="29">-L199*M$5</f>
        <v>0</v>
      </c>
      <c r="O199" s="42">
        <f t="shared" ref="O199:O262" si="30">M199+H199</f>
        <v>0</v>
      </c>
      <c r="P199" s="200"/>
      <c r="Q199" s="164"/>
      <c r="R199" s="164"/>
      <c r="S199" s="164"/>
      <c r="T199" s="164"/>
      <c r="U199" s="164"/>
      <c r="AF199" s="11"/>
      <c r="AG199" s="11"/>
      <c r="AH199" s="11"/>
      <c r="AI199" s="11"/>
      <c r="AJ199" s="11"/>
      <c r="AK199" s="11"/>
      <c r="AL199" s="11"/>
    </row>
    <row r="200" spans="1:38" x14ac:dyDescent="0.25">
      <c r="A200" s="38">
        <f>+Données!A200</f>
        <v>5729</v>
      </c>
      <c r="B200" s="184" t="str">
        <f>+Données!B200</f>
        <v>Tannay</v>
      </c>
      <c r="C200" s="173">
        <f>+Ecrêtage!C200</f>
        <v>189083.86110192843</v>
      </c>
      <c r="D200" s="171"/>
      <c r="E200" s="173">
        <f>Données!AF200+Données!AG200+Données!AH200</f>
        <v>0</v>
      </c>
      <c r="F200" s="171">
        <f t="shared" si="24"/>
        <v>1512670.8888154274</v>
      </c>
      <c r="G200" s="8">
        <f t="shared" si="25"/>
        <v>0</v>
      </c>
      <c r="H200" s="240">
        <f t="shared" si="26"/>
        <v>0</v>
      </c>
      <c r="J200" s="8">
        <f>Données!AN200</f>
        <v>0</v>
      </c>
      <c r="K200" s="154">
        <f t="shared" si="27"/>
        <v>189083.86110192843</v>
      </c>
      <c r="L200" s="12">
        <f t="shared" si="28"/>
        <v>0</v>
      </c>
      <c r="M200" s="240">
        <f t="shared" si="29"/>
        <v>0</v>
      </c>
      <c r="O200" s="42">
        <f t="shared" si="30"/>
        <v>0</v>
      </c>
      <c r="P200" s="200"/>
      <c r="Q200" s="164"/>
      <c r="R200" s="164"/>
      <c r="S200" s="164"/>
      <c r="T200" s="164"/>
      <c r="U200" s="164"/>
      <c r="AF200" s="11"/>
      <c r="AG200" s="11"/>
      <c r="AH200" s="11"/>
      <c r="AI200" s="11"/>
      <c r="AJ200" s="11"/>
      <c r="AK200" s="11"/>
      <c r="AL200" s="11"/>
    </row>
    <row r="201" spans="1:38" x14ac:dyDescent="0.25">
      <c r="A201" s="38">
        <f>+Données!A201</f>
        <v>5730</v>
      </c>
      <c r="B201" s="184" t="str">
        <f>+Données!B201</f>
        <v>Trélex</v>
      </c>
      <c r="C201" s="173">
        <f>+Ecrêtage!C201</f>
        <v>121413.58176176177</v>
      </c>
      <c r="D201" s="171"/>
      <c r="E201" s="173">
        <f>Données!AF201+Données!AG201+Données!AH201</f>
        <v>0</v>
      </c>
      <c r="F201" s="171">
        <f t="shared" si="24"/>
        <v>971308.65409409418</v>
      </c>
      <c r="G201" s="8">
        <f t="shared" si="25"/>
        <v>0</v>
      </c>
      <c r="H201" s="240">
        <f t="shared" si="26"/>
        <v>0</v>
      </c>
      <c r="J201" s="8">
        <f>Données!AN201</f>
        <v>0</v>
      </c>
      <c r="K201" s="154">
        <f t="shared" si="27"/>
        <v>121413.58176176177</v>
      </c>
      <c r="L201" s="12">
        <f t="shared" si="28"/>
        <v>0</v>
      </c>
      <c r="M201" s="240">
        <f t="shared" si="29"/>
        <v>0</v>
      </c>
      <c r="O201" s="42">
        <f t="shared" si="30"/>
        <v>0</v>
      </c>
      <c r="P201" s="200"/>
      <c r="Q201" s="164"/>
      <c r="R201" s="164"/>
      <c r="S201" s="164"/>
      <c r="T201" s="164"/>
      <c r="U201" s="164"/>
      <c r="AF201" s="11"/>
      <c r="AG201" s="11"/>
      <c r="AH201" s="11"/>
      <c r="AI201" s="11"/>
      <c r="AJ201" s="11"/>
      <c r="AK201" s="11"/>
      <c r="AL201" s="11"/>
    </row>
    <row r="202" spans="1:38" x14ac:dyDescent="0.25">
      <c r="A202" s="38">
        <f>+Données!A202</f>
        <v>5731</v>
      </c>
      <c r="B202" s="184" t="str">
        <f>+Données!B202</f>
        <v>Le Vaud</v>
      </c>
      <c r="C202" s="173">
        <f>+Ecrêtage!C202</f>
        <v>69610.281891891893</v>
      </c>
      <c r="D202" s="171"/>
      <c r="E202" s="173">
        <f>Données!AF202+Données!AG202+Données!AH202</f>
        <v>590409</v>
      </c>
      <c r="F202" s="171">
        <f t="shared" si="24"/>
        <v>556882.25513513514</v>
      </c>
      <c r="G202" s="8">
        <f t="shared" si="25"/>
        <v>33526.744864864857</v>
      </c>
      <c r="H202" s="240">
        <f t="shared" si="26"/>
        <v>-24976.223764246257</v>
      </c>
      <c r="J202" s="8">
        <f>Données!AN202</f>
        <v>-7944</v>
      </c>
      <c r="K202" s="154">
        <f t="shared" si="27"/>
        <v>69610.281891891893</v>
      </c>
      <c r="L202" s="12">
        <f t="shared" si="28"/>
        <v>0</v>
      </c>
      <c r="M202" s="240">
        <f t="shared" si="29"/>
        <v>0</v>
      </c>
      <c r="O202" s="42">
        <f t="shared" si="30"/>
        <v>-24976.223764246257</v>
      </c>
      <c r="P202" s="200"/>
      <c r="Q202" s="164"/>
      <c r="R202" s="164"/>
      <c r="S202" s="164"/>
      <c r="T202" s="164"/>
      <c r="U202" s="164"/>
      <c r="AF202" s="11"/>
      <c r="AG202" s="11"/>
      <c r="AH202" s="11"/>
      <c r="AI202" s="11"/>
      <c r="AJ202" s="11"/>
      <c r="AK202" s="11"/>
      <c r="AL202" s="11"/>
    </row>
    <row r="203" spans="1:38" x14ac:dyDescent="0.25">
      <c r="A203" s="38">
        <f>+Données!A203</f>
        <v>5732</v>
      </c>
      <c r="B203" s="184" t="str">
        <f>+Données!B203</f>
        <v>Vich</v>
      </c>
      <c r="C203" s="173">
        <f>+Ecrêtage!C203</f>
        <v>79859.716666666689</v>
      </c>
      <c r="D203" s="171"/>
      <c r="E203" s="173">
        <f>Données!AF203+Données!AG203+Données!AH203</f>
        <v>0</v>
      </c>
      <c r="F203" s="171">
        <f t="shared" si="24"/>
        <v>638877.73333333351</v>
      </c>
      <c r="G203" s="8">
        <f t="shared" si="25"/>
        <v>0</v>
      </c>
      <c r="H203" s="240">
        <f t="shared" si="26"/>
        <v>0</v>
      </c>
      <c r="J203" s="8">
        <f>Données!AN203</f>
        <v>0</v>
      </c>
      <c r="K203" s="154">
        <f t="shared" si="27"/>
        <v>79859.716666666689</v>
      </c>
      <c r="L203" s="12">
        <f t="shared" si="28"/>
        <v>0</v>
      </c>
      <c r="M203" s="240">
        <f t="shared" si="29"/>
        <v>0</v>
      </c>
      <c r="O203" s="42">
        <f t="shared" si="30"/>
        <v>0</v>
      </c>
      <c r="P203" s="200"/>
      <c r="Q203" s="164"/>
      <c r="R203" s="164"/>
      <c r="S203" s="164"/>
      <c r="T203" s="164"/>
      <c r="U203" s="164"/>
      <c r="AF203" s="11"/>
      <c r="AG203" s="11"/>
      <c r="AH203" s="11"/>
      <c r="AI203" s="11"/>
      <c r="AJ203" s="11"/>
      <c r="AK203" s="11"/>
      <c r="AL203" s="11"/>
    </row>
    <row r="204" spans="1:38" x14ac:dyDescent="0.25">
      <c r="A204" s="38">
        <f>+Données!A204</f>
        <v>5741</v>
      </c>
      <c r="B204" s="184" t="str">
        <f>+Données!B204</f>
        <v>L'Abergement</v>
      </c>
      <c r="C204" s="173">
        <f>+Ecrêtage!C204</f>
        <v>10833.767520833331</v>
      </c>
      <c r="D204" s="171"/>
      <c r="E204" s="173">
        <f>Données!AF204+Données!AG204+Données!AH204</f>
        <v>218670</v>
      </c>
      <c r="F204" s="171">
        <f t="shared" si="24"/>
        <v>86670.14016666665</v>
      </c>
      <c r="G204" s="8">
        <f t="shared" si="25"/>
        <v>131999.85983333335</v>
      </c>
      <c r="H204" s="240">
        <f t="shared" si="26"/>
        <v>-98335.166427131902</v>
      </c>
      <c r="J204" s="8">
        <f>Données!AN204</f>
        <v>30512</v>
      </c>
      <c r="K204" s="154">
        <f t="shared" si="27"/>
        <v>10833.767520833331</v>
      </c>
      <c r="L204" s="12">
        <f t="shared" si="28"/>
        <v>19678.232479166669</v>
      </c>
      <c r="M204" s="240">
        <f t="shared" si="29"/>
        <v>-14659.578186476179</v>
      </c>
      <c r="O204" s="42">
        <f t="shared" si="30"/>
        <v>-112994.74461360808</v>
      </c>
      <c r="P204" s="200"/>
      <c r="Q204" s="164"/>
      <c r="R204" s="164"/>
      <c r="S204" s="164"/>
      <c r="T204" s="164"/>
      <c r="U204" s="164"/>
      <c r="AF204" s="11"/>
      <c r="AG204" s="11"/>
      <c r="AH204" s="11"/>
      <c r="AI204" s="11"/>
      <c r="AJ204" s="11"/>
      <c r="AK204" s="11"/>
      <c r="AL204" s="11"/>
    </row>
    <row r="205" spans="1:38" x14ac:dyDescent="0.25">
      <c r="A205" s="38">
        <f>+Données!A205</f>
        <v>5742</v>
      </c>
      <c r="B205" s="184" t="str">
        <f>+Données!B205</f>
        <v>Agiez</v>
      </c>
      <c r="C205" s="173">
        <f>+Ecrêtage!C205</f>
        <v>9049.0200000000023</v>
      </c>
      <c r="D205" s="171"/>
      <c r="E205" s="173">
        <f>Données!AF205+Données!AG205+Données!AH205</f>
        <v>106595</v>
      </c>
      <c r="F205" s="171">
        <f t="shared" si="24"/>
        <v>72392.160000000018</v>
      </c>
      <c r="G205" s="8">
        <f t="shared" si="25"/>
        <v>34202.839999999982</v>
      </c>
      <c r="H205" s="240">
        <f t="shared" si="26"/>
        <v>-25479.890417514158</v>
      </c>
      <c r="J205" s="8">
        <f>Données!AN205</f>
        <v>30218</v>
      </c>
      <c r="K205" s="154">
        <f t="shared" si="27"/>
        <v>9049.0200000000023</v>
      </c>
      <c r="L205" s="12">
        <f t="shared" si="28"/>
        <v>21168.979999999996</v>
      </c>
      <c r="M205" s="240">
        <f t="shared" si="29"/>
        <v>-15770.13168060164</v>
      </c>
      <c r="O205" s="42">
        <f t="shared" si="30"/>
        <v>-41250.022098115798</v>
      </c>
      <c r="P205" s="200"/>
      <c r="Q205" s="164"/>
      <c r="R205" s="164"/>
      <c r="S205" s="164"/>
      <c r="T205" s="164"/>
      <c r="U205" s="164"/>
      <c r="AF205" s="11"/>
      <c r="AG205" s="11"/>
      <c r="AH205" s="11"/>
      <c r="AI205" s="11"/>
      <c r="AJ205" s="11"/>
      <c r="AK205" s="11"/>
      <c r="AL205" s="11"/>
    </row>
    <row r="206" spans="1:38" x14ac:dyDescent="0.25">
      <c r="A206" s="38">
        <f>+Données!A206</f>
        <v>5743</v>
      </c>
      <c r="B206" s="184" t="str">
        <f>+Données!B206</f>
        <v>Arnex-sur-Orbe</v>
      </c>
      <c r="C206" s="173">
        <f>+Ecrêtage!C206</f>
        <v>19423.434366197183</v>
      </c>
      <c r="D206" s="171"/>
      <c r="E206" s="173">
        <f>Données!AF206+Données!AG206+Données!AH206</f>
        <v>277700</v>
      </c>
      <c r="F206" s="171">
        <f t="shared" si="24"/>
        <v>155387.47492957747</v>
      </c>
      <c r="G206" s="8">
        <f t="shared" si="25"/>
        <v>122312.52507042253</v>
      </c>
      <c r="H206" s="240">
        <f t="shared" si="26"/>
        <v>-91118.449096151686</v>
      </c>
      <c r="J206" s="8">
        <f>Données!AN206</f>
        <v>5162</v>
      </c>
      <c r="K206" s="154">
        <f t="shared" si="27"/>
        <v>19423.434366197183</v>
      </c>
      <c r="L206" s="12">
        <f t="shared" si="28"/>
        <v>0</v>
      </c>
      <c r="M206" s="240">
        <f t="shared" si="29"/>
        <v>0</v>
      </c>
      <c r="O206" s="42">
        <f t="shared" si="30"/>
        <v>-91118.449096151686</v>
      </c>
      <c r="P206" s="200"/>
      <c r="Q206" s="164"/>
      <c r="R206" s="164"/>
      <c r="S206" s="164"/>
      <c r="T206" s="164"/>
      <c r="U206" s="164"/>
      <c r="AF206" s="11"/>
      <c r="AG206" s="11"/>
      <c r="AH206" s="11"/>
      <c r="AI206" s="11"/>
      <c r="AJ206" s="11"/>
      <c r="AK206" s="11"/>
      <c r="AL206" s="11"/>
    </row>
    <row r="207" spans="1:38" x14ac:dyDescent="0.25">
      <c r="A207" s="38">
        <f>+Données!A207</f>
        <v>5744</v>
      </c>
      <c r="B207" s="184" t="str">
        <f>+Données!B207</f>
        <v>Ballaigues</v>
      </c>
      <c r="C207" s="173">
        <f>+Ecrêtage!C207</f>
        <v>54083.704307692322</v>
      </c>
      <c r="D207" s="171"/>
      <c r="E207" s="173">
        <f>Données!AF207+Données!AG207+Données!AH207</f>
        <v>854955</v>
      </c>
      <c r="F207" s="171">
        <f t="shared" si="24"/>
        <v>432669.63446153858</v>
      </c>
      <c r="G207" s="8">
        <f t="shared" si="25"/>
        <v>422285.36553846142</v>
      </c>
      <c r="H207" s="240">
        <f t="shared" si="26"/>
        <v>-314587.46814123949</v>
      </c>
      <c r="J207" s="8">
        <f>Données!AN207</f>
        <v>56329</v>
      </c>
      <c r="K207" s="154">
        <f t="shared" si="27"/>
        <v>54083.704307692322</v>
      </c>
      <c r="L207" s="12">
        <f t="shared" si="28"/>
        <v>2245.2956923076781</v>
      </c>
      <c r="M207" s="240">
        <f t="shared" si="29"/>
        <v>-1672.6648487352586</v>
      </c>
      <c r="O207" s="42">
        <f t="shared" si="30"/>
        <v>-316260.13298997475</v>
      </c>
      <c r="P207" s="200"/>
      <c r="Q207" s="164"/>
      <c r="R207" s="164"/>
      <c r="S207" s="164"/>
      <c r="T207" s="164"/>
      <c r="U207" s="164"/>
      <c r="AF207" s="11"/>
      <c r="AG207" s="11"/>
      <c r="AH207" s="11"/>
      <c r="AI207" s="11"/>
      <c r="AJ207" s="11"/>
      <c r="AK207" s="11"/>
      <c r="AL207" s="11"/>
    </row>
    <row r="208" spans="1:38" x14ac:dyDescent="0.25">
      <c r="A208" s="38">
        <f>+Données!A208</f>
        <v>5745</v>
      </c>
      <c r="B208" s="184" t="str">
        <f>+Données!B208</f>
        <v>Baulmes</v>
      </c>
      <c r="C208" s="173">
        <f>+Ecrêtage!C208</f>
        <v>27704.620130718955</v>
      </c>
      <c r="D208" s="171"/>
      <c r="E208" s="173">
        <f>Données!AF208+Données!AG208+Données!AH208</f>
        <v>499533</v>
      </c>
      <c r="F208" s="171">
        <f t="shared" si="24"/>
        <v>221636.96104575164</v>
      </c>
      <c r="G208" s="8">
        <f t="shared" si="25"/>
        <v>277896.03895424836</v>
      </c>
      <c r="H208" s="240">
        <f t="shared" si="26"/>
        <v>-207022.59286116291</v>
      </c>
      <c r="J208" s="8">
        <f>Données!AN208</f>
        <v>244048</v>
      </c>
      <c r="K208" s="154">
        <f t="shared" si="27"/>
        <v>27704.620130718955</v>
      </c>
      <c r="L208" s="12">
        <f t="shared" si="28"/>
        <v>216343.37986928105</v>
      </c>
      <c r="M208" s="240">
        <f t="shared" si="29"/>
        <v>-161168.06708518715</v>
      </c>
      <c r="O208" s="42">
        <f t="shared" si="30"/>
        <v>-368190.65994635003</v>
      </c>
      <c r="P208" s="200"/>
      <c r="Q208" s="164"/>
      <c r="R208" s="164"/>
      <c r="S208" s="164"/>
      <c r="T208" s="164"/>
      <c r="U208" s="164"/>
      <c r="AF208" s="11"/>
      <c r="AG208" s="11"/>
      <c r="AH208" s="11"/>
      <c r="AI208" s="11"/>
      <c r="AJ208" s="11"/>
      <c r="AK208" s="11"/>
      <c r="AL208" s="11"/>
    </row>
    <row r="209" spans="1:38" x14ac:dyDescent="0.25">
      <c r="A209" s="38">
        <f>+Données!A209</f>
        <v>5746</v>
      </c>
      <c r="B209" s="184" t="str">
        <f>+Données!B209</f>
        <v>Bavois</v>
      </c>
      <c r="C209" s="173">
        <f>+Ecrêtage!C209</f>
        <v>29513.069143518514</v>
      </c>
      <c r="D209" s="171"/>
      <c r="E209" s="173">
        <f>Données!AF209+Données!AG209+Données!AH209</f>
        <v>562803</v>
      </c>
      <c r="F209" s="171">
        <f t="shared" si="24"/>
        <v>236104.55314814812</v>
      </c>
      <c r="G209" s="8">
        <f t="shared" si="25"/>
        <v>326698.44685185188</v>
      </c>
      <c r="H209" s="240">
        <f t="shared" si="26"/>
        <v>-243378.63830480928</v>
      </c>
      <c r="J209" s="8">
        <f>Données!AN209</f>
        <v>53549</v>
      </c>
      <c r="K209" s="154">
        <f t="shared" si="27"/>
        <v>29513.069143518514</v>
      </c>
      <c r="L209" s="12">
        <f t="shared" si="28"/>
        <v>24035.930856481486</v>
      </c>
      <c r="M209" s="240">
        <f t="shared" si="29"/>
        <v>-17905.907354655221</v>
      </c>
      <c r="O209" s="42">
        <f t="shared" si="30"/>
        <v>-261284.54565946449</v>
      </c>
      <c r="P209" s="200"/>
      <c r="Q209" s="164"/>
      <c r="R209" s="164"/>
      <c r="S209" s="164"/>
      <c r="T209" s="164"/>
      <c r="U209" s="164"/>
      <c r="AF209" s="11"/>
      <c r="AG209" s="11"/>
      <c r="AH209" s="11"/>
      <c r="AI209" s="11"/>
      <c r="AJ209" s="11"/>
      <c r="AK209" s="11"/>
      <c r="AL209" s="11"/>
    </row>
    <row r="210" spans="1:38" x14ac:dyDescent="0.25">
      <c r="A210" s="38">
        <f>+Données!A210</f>
        <v>5747</v>
      </c>
      <c r="B210" s="184" t="str">
        <f>+Données!B210</f>
        <v>Bofflens</v>
      </c>
      <c r="C210" s="173">
        <f>+Ecrêtage!C210</f>
        <v>5777.9618840579697</v>
      </c>
      <c r="D210" s="171"/>
      <c r="E210" s="173">
        <f>Données!AF210+Données!AG210+Données!AH210</f>
        <v>73733</v>
      </c>
      <c r="F210" s="171">
        <f t="shared" si="24"/>
        <v>46223.695072463757</v>
      </c>
      <c r="G210" s="8">
        <f t="shared" si="25"/>
        <v>27509.304927536243</v>
      </c>
      <c r="H210" s="240">
        <f t="shared" si="26"/>
        <v>-20493.446597288588</v>
      </c>
      <c r="J210" s="8">
        <f>Données!AN210</f>
        <v>-952</v>
      </c>
      <c r="K210" s="154">
        <f t="shared" si="27"/>
        <v>5777.9618840579697</v>
      </c>
      <c r="L210" s="12">
        <f t="shared" si="28"/>
        <v>0</v>
      </c>
      <c r="M210" s="240">
        <f t="shared" si="29"/>
        <v>0</v>
      </c>
      <c r="O210" s="42">
        <f t="shared" si="30"/>
        <v>-20493.446597288588</v>
      </c>
      <c r="P210" s="200"/>
      <c r="Q210" s="164"/>
      <c r="R210" s="164"/>
      <c r="S210" s="164"/>
      <c r="T210" s="164"/>
      <c r="U210" s="164"/>
      <c r="AF210" s="11"/>
      <c r="AG210" s="11"/>
      <c r="AH210" s="11"/>
      <c r="AI210" s="11"/>
      <c r="AJ210" s="11"/>
      <c r="AK210" s="11"/>
      <c r="AL210" s="11"/>
    </row>
    <row r="211" spans="1:38" x14ac:dyDescent="0.25">
      <c r="A211" s="38">
        <f>+Données!A211</f>
        <v>5748</v>
      </c>
      <c r="B211" s="184" t="str">
        <f>+Données!B211</f>
        <v>Bretonnières</v>
      </c>
      <c r="C211" s="173">
        <f>+Ecrêtage!C211</f>
        <v>6762.44146572104</v>
      </c>
      <c r="D211" s="171"/>
      <c r="E211" s="173">
        <f>Données!AF211+Données!AG211+Données!AH211</f>
        <v>150438</v>
      </c>
      <c r="F211" s="171">
        <f t="shared" si="24"/>
        <v>54099.53172576832</v>
      </c>
      <c r="G211" s="8">
        <f t="shared" si="25"/>
        <v>96338.46827423168</v>
      </c>
      <c r="H211" s="240">
        <f t="shared" si="26"/>
        <v>-71768.70735350014</v>
      </c>
      <c r="J211" s="8">
        <f>Données!AN211</f>
        <v>20063</v>
      </c>
      <c r="K211" s="154">
        <f t="shared" si="27"/>
        <v>6762.44146572104</v>
      </c>
      <c r="L211" s="12">
        <f t="shared" si="28"/>
        <v>13300.55853427896</v>
      </c>
      <c r="M211" s="240">
        <f t="shared" si="29"/>
        <v>-9908.4395899627289</v>
      </c>
      <c r="O211" s="42">
        <f t="shared" si="30"/>
        <v>-81677.146943462867</v>
      </c>
      <c r="P211" s="200"/>
      <c r="Q211" s="164"/>
      <c r="R211" s="164"/>
      <c r="S211" s="164"/>
      <c r="T211" s="164"/>
      <c r="U211" s="164"/>
      <c r="AF211" s="11"/>
      <c r="AG211" s="11"/>
      <c r="AH211" s="11"/>
      <c r="AI211" s="11"/>
      <c r="AJ211" s="11"/>
      <c r="AK211" s="11"/>
      <c r="AL211" s="11"/>
    </row>
    <row r="212" spans="1:38" x14ac:dyDescent="0.25">
      <c r="A212" s="38">
        <f>+Données!A212</f>
        <v>5749</v>
      </c>
      <c r="B212" s="184" t="str">
        <f>+Données!B212</f>
        <v>Chavornay</v>
      </c>
      <c r="C212" s="173">
        <f>+Ecrêtage!C212</f>
        <v>144688.12992907799</v>
      </c>
      <c r="D212" s="171"/>
      <c r="E212" s="173">
        <f>Données!AF212+Données!AG212+Données!AH212</f>
        <v>2181972</v>
      </c>
      <c r="F212" s="171">
        <f t="shared" si="24"/>
        <v>1157505.0394326239</v>
      </c>
      <c r="G212" s="8">
        <f t="shared" si="25"/>
        <v>1024466.9605673761</v>
      </c>
      <c r="H212" s="240">
        <f t="shared" si="26"/>
        <v>-763191.18212465849</v>
      </c>
      <c r="J212" s="8">
        <f>Données!AN212</f>
        <v>192730</v>
      </c>
      <c r="K212" s="154">
        <f t="shared" si="27"/>
        <v>144688.12992907799</v>
      </c>
      <c r="L212" s="12">
        <f t="shared" si="28"/>
        <v>48041.870070922014</v>
      </c>
      <c r="M212" s="240">
        <f t="shared" si="29"/>
        <v>-35789.472010498153</v>
      </c>
      <c r="O212" s="42">
        <f t="shared" si="30"/>
        <v>-798980.65413515666</v>
      </c>
      <c r="P212" s="200"/>
      <c r="Q212" s="164"/>
      <c r="R212" s="164"/>
      <c r="S212" s="164"/>
      <c r="T212" s="164"/>
      <c r="U212" s="164"/>
      <c r="AF212" s="11"/>
      <c r="AG212" s="11"/>
      <c r="AH212" s="11"/>
      <c r="AI212" s="11"/>
      <c r="AJ212" s="11"/>
      <c r="AK212" s="11"/>
      <c r="AL212" s="11"/>
    </row>
    <row r="213" spans="1:38" x14ac:dyDescent="0.25">
      <c r="A213" s="38">
        <f>+Données!A213</f>
        <v>5750</v>
      </c>
      <c r="B213" s="184" t="str">
        <f>+Données!B213</f>
        <v>Les Clées</v>
      </c>
      <c r="C213" s="173">
        <f>+Ecrêtage!C213</f>
        <v>5460.4397083333333</v>
      </c>
      <c r="D213" s="171"/>
      <c r="E213" s="173">
        <f>Données!AF213+Données!AG213+Données!AH213</f>
        <v>89669</v>
      </c>
      <c r="F213" s="171">
        <f t="shared" si="24"/>
        <v>43683.517666666667</v>
      </c>
      <c r="G213" s="8">
        <f t="shared" si="25"/>
        <v>45985.482333333333</v>
      </c>
      <c r="H213" s="240">
        <f t="shared" si="26"/>
        <v>-34257.53682003796</v>
      </c>
      <c r="J213" s="8">
        <f>Données!AN213</f>
        <v>31491</v>
      </c>
      <c r="K213" s="154">
        <f t="shared" si="27"/>
        <v>5460.4397083333333</v>
      </c>
      <c r="L213" s="12">
        <f t="shared" si="28"/>
        <v>26030.560291666668</v>
      </c>
      <c r="M213" s="240">
        <f t="shared" si="29"/>
        <v>-19391.834822434699</v>
      </c>
      <c r="O213" s="42">
        <f t="shared" si="30"/>
        <v>-53649.371642472659</v>
      </c>
      <c r="P213" s="200"/>
      <c r="Q213" s="164"/>
      <c r="R213" s="164"/>
      <c r="S213" s="164"/>
      <c r="T213" s="164"/>
      <c r="U213" s="164"/>
      <c r="AF213" s="11"/>
      <c r="AG213" s="11"/>
      <c r="AH213" s="11"/>
      <c r="AI213" s="11"/>
      <c r="AJ213" s="11"/>
      <c r="AK213" s="11"/>
      <c r="AL213" s="11"/>
    </row>
    <row r="214" spans="1:38" x14ac:dyDescent="0.25">
      <c r="A214" s="38">
        <f>+Données!A214</f>
        <v>5752</v>
      </c>
      <c r="B214" s="184" t="str">
        <f>+Données!B214</f>
        <v>Croy</v>
      </c>
      <c r="C214" s="173">
        <f>+Ecrêtage!C214</f>
        <v>10204.205250965251</v>
      </c>
      <c r="D214" s="171"/>
      <c r="E214" s="173">
        <f>Données!AF214+Données!AG214+Données!AH214</f>
        <v>426501</v>
      </c>
      <c r="F214" s="171">
        <f t="shared" si="24"/>
        <v>81633.64200772201</v>
      </c>
      <c r="G214" s="8">
        <f t="shared" si="25"/>
        <v>344867.357992278</v>
      </c>
      <c r="H214" s="240">
        <f t="shared" si="26"/>
        <v>-256913.82616826185</v>
      </c>
      <c r="J214" s="8">
        <f>Données!AN214</f>
        <v>9612</v>
      </c>
      <c r="K214" s="154">
        <f t="shared" si="27"/>
        <v>10204.205250965251</v>
      </c>
      <c r="L214" s="12">
        <f t="shared" si="28"/>
        <v>0</v>
      </c>
      <c r="M214" s="240">
        <f t="shared" si="29"/>
        <v>0</v>
      </c>
      <c r="O214" s="42">
        <f t="shared" si="30"/>
        <v>-256913.82616826185</v>
      </c>
      <c r="P214" s="200"/>
      <c r="Q214" s="164"/>
      <c r="R214" s="164"/>
      <c r="S214" s="164"/>
      <c r="T214" s="164"/>
      <c r="U214" s="164"/>
      <c r="AF214" s="11"/>
      <c r="AG214" s="11"/>
      <c r="AH214" s="11"/>
      <c r="AI214" s="11"/>
      <c r="AJ214" s="11"/>
      <c r="AK214" s="11"/>
      <c r="AL214" s="11"/>
    </row>
    <row r="215" spans="1:38" x14ac:dyDescent="0.25">
      <c r="A215" s="38">
        <f>+Données!A215</f>
        <v>5754</v>
      </c>
      <c r="B215" s="184" t="str">
        <f>+Données!B215</f>
        <v>Juriens</v>
      </c>
      <c r="C215" s="173">
        <f>+Ecrêtage!C215</f>
        <v>8633.221645569618</v>
      </c>
      <c r="D215" s="171"/>
      <c r="E215" s="173">
        <f>Données!AF215+Données!AG215+Données!AH215</f>
        <v>112151</v>
      </c>
      <c r="F215" s="171">
        <f t="shared" si="24"/>
        <v>69065.773164556944</v>
      </c>
      <c r="G215" s="8">
        <f t="shared" si="25"/>
        <v>43085.226835443056</v>
      </c>
      <c r="H215" s="240">
        <f t="shared" si="26"/>
        <v>-32096.950381337629</v>
      </c>
      <c r="J215" s="8">
        <f>Données!AN215</f>
        <v>-41430</v>
      </c>
      <c r="K215" s="154">
        <f t="shared" si="27"/>
        <v>8633.221645569618</v>
      </c>
      <c r="L215" s="12">
        <f t="shared" si="28"/>
        <v>0</v>
      </c>
      <c r="M215" s="240">
        <f t="shared" si="29"/>
        <v>0</v>
      </c>
      <c r="O215" s="42">
        <f t="shared" si="30"/>
        <v>-32096.950381337629</v>
      </c>
      <c r="P215" s="200"/>
      <c r="Q215" s="164"/>
      <c r="R215" s="164"/>
      <c r="S215" s="164"/>
      <c r="T215" s="164"/>
      <c r="U215" s="164"/>
      <c r="AF215" s="11"/>
      <c r="AG215" s="11"/>
      <c r="AH215" s="11"/>
      <c r="AI215" s="11"/>
      <c r="AJ215" s="11"/>
      <c r="AK215" s="11"/>
      <c r="AL215" s="11"/>
    </row>
    <row r="216" spans="1:38" x14ac:dyDescent="0.25">
      <c r="A216" s="38">
        <f>+Données!A216</f>
        <v>5755</v>
      </c>
      <c r="B216" s="184" t="str">
        <f>+Données!B216</f>
        <v>Lignerolle</v>
      </c>
      <c r="C216" s="173">
        <f>+Ecrêtage!C216</f>
        <v>10920.772411282986</v>
      </c>
      <c r="D216" s="171"/>
      <c r="E216" s="173">
        <f>Données!AF216+Données!AG216+Données!AH216</f>
        <v>225093</v>
      </c>
      <c r="F216" s="171">
        <f t="shared" si="24"/>
        <v>87366.179290263884</v>
      </c>
      <c r="G216" s="8">
        <f t="shared" si="25"/>
        <v>137726.82070973612</v>
      </c>
      <c r="H216" s="240">
        <f t="shared" si="26"/>
        <v>-102601.54710067052</v>
      </c>
      <c r="J216" s="8">
        <f>Données!AN216</f>
        <v>36724</v>
      </c>
      <c r="K216" s="154">
        <f t="shared" si="27"/>
        <v>10920.772411282986</v>
      </c>
      <c r="L216" s="12">
        <f t="shared" si="28"/>
        <v>25803.227588717014</v>
      </c>
      <c r="M216" s="240">
        <f t="shared" si="29"/>
        <v>-19222.480103368256</v>
      </c>
      <c r="O216" s="42">
        <f t="shared" si="30"/>
        <v>-121824.02720403878</v>
      </c>
      <c r="P216" s="200"/>
      <c r="Q216" s="164"/>
      <c r="R216" s="164"/>
      <c r="S216" s="164"/>
      <c r="T216" s="164"/>
      <c r="U216" s="164"/>
      <c r="AF216" s="11"/>
      <c r="AG216" s="11"/>
      <c r="AH216" s="11"/>
      <c r="AI216" s="11"/>
      <c r="AJ216" s="11"/>
      <c r="AK216" s="11"/>
      <c r="AL216" s="11"/>
    </row>
    <row r="217" spans="1:38" x14ac:dyDescent="0.25">
      <c r="A217" s="38">
        <f>+Données!A217</f>
        <v>5756</v>
      </c>
      <c r="B217" s="184" t="str">
        <f>+Données!B217</f>
        <v>Montcherand</v>
      </c>
      <c r="C217" s="173">
        <f>+Ecrêtage!C217</f>
        <v>17503.013888888887</v>
      </c>
      <c r="D217" s="171"/>
      <c r="E217" s="173">
        <f>Données!AF217+Données!AG217+Données!AH217</f>
        <v>214089</v>
      </c>
      <c r="F217" s="171">
        <f t="shared" si="24"/>
        <v>140024.11111111109</v>
      </c>
      <c r="G217" s="8">
        <f t="shared" si="25"/>
        <v>74064.888888888905</v>
      </c>
      <c r="H217" s="240">
        <f t="shared" si="26"/>
        <v>-55175.688705214307</v>
      </c>
      <c r="J217" s="8">
        <f>Données!AN217</f>
        <v>9648</v>
      </c>
      <c r="K217" s="154">
        <f t="shared" si="27"/>
        <v>17503.013888888887</v>
      </c>
      <c r="L217" s="12">
        <f t="shared" si="28"/>
        <v>0</v>
      </c>
      <c r="M217" s="240">
        <f t="shared" si="29"/>
        <v>0</v>
      </c>
      <c r="O217" s="42">
        <f t="shared" si="30"/>
        <v>-55175.688705214307</v>
      </c>
      <c r="P217" s="200"/>
      <c r="Q217" s="164"/>
      <c r="R217" s="164"/>
      <c r="S217" s="164"/>
      <c r="T217" s="164"/>
      <c r="U217" s="164"/>
      <c r="AF217" s="11"/>
      <c r="AG217" s="11"/>
      <c r="AH217" s="11"/>
      <c r="AI217" s="11"/>
      <c r="AJ217" s="11"/>
      <c r="AK217" s="11"/>
      <c r="AL217" s="11"/>
    </row>
    <row r="218" spans="1:38" x14ac:dyDescent="0.25">
      <c r="A218" s="38">
        <f>+Données!A218</f>
        <v>5757</v>
      </c>
      <c r="B218" s="184" t="str">
        <f>+Données!B218</f>
        <v>Orbe</v>
      </c>
      <c r="C218" s="173">
        <f>+Ecrêtage!C218</f>
        <v>217746.16132450331</v>
      </c>
      <c r="D218" s="171"/>
      <c r="E218" s="173">
        <f>Données!AF218+Données!AG218+Données!AH218</f>
        <v>4471810</v>
      </c>
      <c r="F218" s="171">
        <f t="shared" si="24"/>
        <v>1741969.2905960265</v>
      </c>
      <c r="G218" s="8">
        <f t="shared" si="25"/>
        <v>2729840.7094039735</v>
      </c>
      <c r="H218" s="240">
        <f t="shared" si="26"/>
        <v>-2033633.5267153953</v>
      </c>
      <c r="J218" s="8">
        <f>Données!AN218</f>
        <v>100036</v>
      </c>
      <c r="K218" s="154">
        <f t="shared" si="27"/>
        <v>217746.16132450331</v>
      </c>
      <c r="L218" s="12">
        <f t="shared" si="28"/>
        <v>0</v>
      </c>
      <c r="M218" s="240">
        <f t="shared" si="29"/>
        <v>0</v>
      </c>
      <c r="O218" s="42">
        <f t="shared" si="30"/>
        <v>-2033633.5267153953</v>
      </c>
      <c r="P218" s="200"/>
      <c r="Q218" s="164"/>
      <c r="R218" s="164"/>
      <c r="S218" s="164"/>
      <c r="T218" s="164"/>
      <c r="U218" s="164"/>
      <c r="AF218" s="11"/>
      <c r="AG218" s="11"/>
      <c r="AH218" s="11"/>
      <c r="AI218" s="11"/>
      <c r="AJ218" s="11"/>
      <c r="AK218" s="11"/>
      <c r="AL218" s="11"/>
    </row>
    <row r="219" spans="1:38" x14ac:dyDescent="0.25">
      <c r="A219" s="38">
        <f>+Données!A219</f>
        <v>5758</v>
      </c>
      <c r="B219" s="184" t="str">
        <f>+Données!B219</f>
        <v>La Praz</v>
      </c>
      <c r="C219" s="173">
        <f>+Ecrêtage!C219</f>
        <v>4500.7037349397597</v>
      </c>
      <c r="D219" s="171"/>
      <c r="E219" s="173">
        <f>Données!AF219+Données!AG219+Données!AH219</f>
        <v>124187</v>
      </c>
      <c r="F219" s="171">
        <f t="shared" si="24"/>
        <v>36005.629879518077</v>
      </c>
      <c r="G219" s="8">
        <f t="shared" si="25"/>
        <v>88181.370120481923</v>
      </c>
      <c r="H219" s="240">
        <f t="shared" si="26"/>
        <v>-65691.961472677052</v>
      </c>
      <c r="J219" s="8">
        <f>Données!AN219</f>
        <v>-18693</v>
      </c>
      <c r="K219" s="154">
        <f t="shared" si="27"/>
        <v>4500.7037349397597</v>
      </c>
      <c r="L219" s="12">
        <f t="shared" si="28"/>
        <v>0</v>
      </c>
      <c r="M219" s="240">
        <f t="shared" si="29"/>
        <v>0</v>
      </c>
      <c r="O219" s="42">
        <f t="shared" si="30"/>
        <v>-65691.961472677052</v>
      </c>
      <c r="P219" s="200"/>
      <c r="Q219" s="164"/>
      <c r="R219" s="164"/>
      <c r="S219" s="164"/>
      <c r="T219" s="164"/>
      <c r="U219" s="164"/>
      <c r="AF219" s="11"/>
      <c r="AG219" s="11"/>
      <c r="AH219" s="11"/>
      <c r="AI219" s="11"/>
      <c r="AJ219" s="11"/>
      <c r="AK219" s="11"/>
      <c r="AL219" s="11"/>
    </row>
    <row r="220" spans="1:38" x14ac:dyDescent="0.25">
      <c r="A220" s="38">
        <f>+Données!A220</f>
        <v>5759</v>
      </c>
      <c r="B220" s="184" t="str">
        <f>+Données!B220</f>
        <v>Premier</v>
      </c>
      <c r="C220" s="173">
        <f>+Ecrêtage!C220</f>
        <v>5667.0481761006295</v>
      </c>
      <c r="D220" s="171"/>
      <c r="E220" s="173">
        <f>Données!AF220+Données!AG220+Données!AH220</f>
        <v>92761</v>
      </c>
      <c r="F220" s="171">
        <f t="shared" si="24"/>
        <v>45336.385408805036</v>
      </c>
      <c r="G220" s="8">
        <f t="shared" si="25"/>
        <v>47424.614591194964</v>
      </c>
      <c r="H220" s="240">
        <f t="shared" si="26"/>
        <v>-35329.638792465521</v>
      </c>
      <c r="J220" s="8">
        <f>Données!AN220</f>
        <v>-83828</v>
      </c>
      <c r="K220" s="154">
        <f t="shared" si="27"/>
        <v>5667.0481761006295</v>
      </c>
      <c r="L220" s="12">
        <f t="shared" si="28"/>
        <v>0</v>
      </c>
      <c r="M220" s="240">
        <f t="shared" si="29"/>
        <v>0</v>
      </c>
      <c r="O220" s="42">
        <f t="shared" si="30"/>
        <v>-35329.638792465521</v>
      </c>
      <c r="P220" s="200"/>
      <c r="Q220" s="164"/>
      <c r="R220" s="164"/>
      <c r="S220" s="164"/>
      <c r="T220" s="164"/>
      <c r="U220" s="164"/>
      <c r="AF220" s="11"/>
      <c r="AG220" s="11"/>
      <c r="AH220" s="11"/>
      <c r="AI220" s="11"/>
      <c r="AJ220" s="11"/>
      <c r="AK220" s="11"/>
      <c r="AL220" s="11"/>
    </row>
    <row r="221" spans="1:38" x14ac:dyDescent="0.25">
      <c r="A221" s="38">
        <f>+Données!A221</f>
        <v>5760</v>
      </c>
      <c r="B221" s="184" t="str">
        <f>+Données!B221</f>
        <v>Rances</v>
      </c>
      <c r="C221" s="173">
        <f>+Ecrêtage!C221</f>
        <v>16308.667189542481</v>
      </c>
      <c r="D221" s="171"/>
      <c r="E221" s="173">
        <f>Données!AF221+Données!AG221+Données!AH221</f>
        <v>265011</v>
      </c>
      <c r="F221" s="171">
        <f t="shared" si="24"/>
        <v>130469.33751633985</v>
      </c>
      <c r="G221" s="8">
        <f t="shared" si="25"/>
        <v>134541.66248366015</v>
      </c>
      <c r="H221" s="240">
        <f t="shared" si="26"/>
        <v>-100228.71833665972</v>
      </c>
      <c r="J221" s="8">
        <f>Données!AN221</f>
        <v>86579</v>
      </c>
      <c r="K221" s="154">
        <f t="shared" si="27"/>
        <v>16308.667189542481</v>
      </c>
      <c r="L221" s="12">
        <f t="shared" si="28"/>
        <v>70270.332810457519</v>
      </c>
      <c r="M221" s="240">
        <f t="shared" si="29"/>
        <v>-52348.880374048123</v>
      </c>
      <c r="O221" s="42">
        <f t="shared" si="30"/>
        <v>-152577.59871070785</v>
      </c>
      <c r="P221" s="200"/>
      <c r="Q221" s="164"/>
      <c r="R221" s="164"/>
      <c r="S221" s="164"/>
      <c r="T221" s="164"/>
      <c r="U221" s="164"/>
      <c r="AF221" s="11"/>
      <c r="AG221" s="11"/>
      <c r="AH221" s="11"/>
      <c r="AI221" s="11"/>
      <c r="AJ221" s="11"/>
      <c r="AK221" s="11"/>
      <c r="AL221" s="11"/>
    </row>
    <row r="222" spans="1:38" x14ac:dyDescent="0.25">
      <c r="A222" s="38">
        <f>+Données!A222</f>
        <v>5761</v>
      </c>
      <c r="B222" s="184" t="str">
        <f>+Données!B222</f>
        <v>Romainmôtier-Envy</v>
      </c>
      <c r="C222" s="173">
        <f>+Ecrêtage!C222</f>
        <v>14407.745072951739</v>
      </c>
      <c r="D222" s="171"/>
      <c r="E222" s="173">
        <f>Données!AF222+Données!AG222+Données!AH222</f>
        <v>370244</v>
      </c>
      <c r="F222" s="171">
        <f t="shared" si="24"/>
        <v>115261.96058361391</v>
      </c>
      <c r="G222" s="8">
        <f t="shared" si="25"/>
        <v>254982.03941638611</v>
      </c>
      <c r="H222" s="240">
        <f t="shared" si="26"/>
        <v>-189952.48414353302</v>
      </c>
      <c r="J222" s="8">
        <f>Données!AN222</f>
        <v>10206</v>
      </c>
      <c r="K222" s="154">
        <f t="shared" si="27"/>
        <v>14407.745072951739</v>
      </c>
      <c r="L222" s="12">
        <f t="shared" si="28"/>
        <v>0</v>
      </c>
      <c r="M222" s="240">
        <f t="shared" si="29"/>
        <v>0</v>
      </c>
      <c r="O222" s="42">
        <f t="shared" si="30"/>
        <v>-189952.48414353302</v>
      </c>
      <c r="P222" s="200"/>
      <c r="Q222" s="164"/>
      <c r="R222" s="164"/>
      <c r="S222" s="164"/>
      <c r="T222" s="164"/>
      <c r="U222" s="164"/>
      <c r="AF222" s="11"/>
      <c r="AG222" s="11"/>
      <c r="AH222" s="11"/>
      <c r="AI222" s="11"/>
      <c r="AJ222" s="11"/>
      <c r="AK222" s="11"/>
      <c r="AL222" s="11"/>
    </row>
    <row r="223" spans="1:38" x14ac:dyDescent="0.25">
      <c r="A223" s="38">
        <f>+Données!A223</f>
        <v>5762</v>
      </c>
      <c r="B223" s="184" t="str">
        <f>+Données!B223</f>
        <v>Sergey</v>
      </c>
      <c r="C223" s="173">
        <f>+Ecrêtage!C223</f>
        <v>3741.3970512820511</v>
      </c>
      <c r="D223" s="171"/>
      <c r="E223" s="173">
        <f>Données!AF223+Données!AG223+Données!AH223</f>
        <v>83807</v>
      </c>
      <c r="F223" s="171">
        <f t="shared" si="24"/>
        <v>29931.176410256408</v>
      </c>
      <c r="G223" s="8">
        <f t="shared" si="25"/>
        <v>53875.823589743595</v>
      </c>
      <c r="H223" s="240">
        <f t="shared" si="26"/>
        <v>-40135.558369421713</v>
      </c>
      <c r="J223" s="8">
        <f>Données!AN223</f>
        <v>5655</v>
      </c>
      <c r="K223" s="154">
        <f t="shared" si="27"/>
        <v>3741.3970512820511</v>
      </c>
      <c r="L223" s="12">
        <f t="shared" si="28"/>
        <v>1913.6029487179489</v>
      </c>
      <c r="M223" s="240">
        <f t="shared" si="29"/>
        <v>-1425.5656382910113</v>
      </c>
      <c r="O223" s="42">
        <f t="shared" si="30"/>
        <v>-41561.124007712722</v>
      </c>
      <c r="P223" s="200"/>
      <c r="Q223" s="164"/>
      <c r="R223" s="164"/>
      <c r="S223" s="164"/>
      <c r="T223" s="164"/>
      <c r="U223" s="164"/>
      <c r="AF223" s="11"/>
      <c r="AG223" s="11"/>
      <c r="AH223" s="11"/>
      <c r="AI223" s="11"/>
      <c r="AJ223" s="11"/>
      <c r="AK223" s="11"/>
      <c r="AL223" s="11"/>
    </row>
    <row r="224" spans="1:38" x14ac:dyDescent="0.25">
      <c r="A224" s="38">
        <f>+Données!A224</f>
        <v>5763</v>
      </c>
      <c r="B224" s="184" t="str">
        <f>+Données!B224</f>
        <v>Valeyres-sous-Rances</v>
      </c>
      <c r="C224" s="173">
        <f>+Ecrêtage!C224</f>
        <v>22296.785352112674</v>
      </c>
      <c r="D224" s="171"/>
      <c r="E224" s="173">
        <f>Données!AF224+Données!AG224+Données!AH224</f>
        <v>242138</v>
      </c>
      <c r="F224" s="171">
        <f t="shared" si="24"/>
        <v>178374.2828169014</v>
      </c>
      <c r="G224" s="8">
        <f t="shared" si="25"/>
        <v>63763.717183098604</v>
      </c>
      <c r="H224" s="240">
        <f t="shared" si="26"/>
        <v>-47501.684843677242</v>
      </c>
      <c r="J224" s="8">
        <f>Données!AN224</f>
        <v>52390</v>
      </c>
      <c r="K224" s="154">
        <f t="shared" si="27"/>
        <v>22296.785352112674</v>
      </c>
      <c r="L224" s="12">
        <f t="shared" si="28"/>
        <v>30093.214647887326</v>
      </c>
      <c r="M224" s="240">
        <f t="shared" si="29"/>
        <v>-22418.366765417766</v>
      </c>
      <c r="O224" s="42">
        <f t="shared" si="30"/>
        <v>-69920.051609095011</v>
      </c>
      <c r="P224" s="200"/>
      <c r="Q224" s="164"/>
      <c r="R224" s="164"/>
      <c r="S224" s="164"/>
      <c r="T224" s="164"/>
      <c r="U224" s="164"/>
      <c r="AF224" s="11"/>
      <c r="AG224" s="11"/>
      <c r="AH224" s="11"/>
      <c r="AI224" s="11"/>
      <c r="AJ224" s="11"/>
      <c r="AK224" s="11"/>
      <c r="AL224" s="11"/>
    </row>
    <row r="225" spans="1:38" x14ac:dyDescent="0.25">
      <c r="A225" s="38">
        <f>+Données!A225</f>
        <v>5764</v>
      </c>
      <c r="B225" s="184" t="str">
        <f>+Données!B225</f>
        <v>Vallorbe</v>
      </c>
      <c r="C225" s="173">
        <f>+Ecrêtage!C225</f>
        <v>83714.253286713283</v>
      </c>
      <c r="D225" s="171"/>
      <c r="E225" s="173">
        <f>Données!AF225+Données!AG225+Données!AH225</f>
        <v>3005874</v>
      </c>
      <c r="F225" s="171">
        <f t="shared" si="24"/>
        <v>669714.02629370627</v>
      </c>
      <c r="G225" s="8">
        <f t="shared" si="25"/>
        <v>2336159.9737062939</v>
      </c>
      <c r="H225" s="240">
        <f t="shared" si="26"/>
        <v>-1740355.4829896919</v>
      </c>
      <c r="J225" s="8">
        <f>Données!AN225</f>
        <v>667892</v>
      </c>
      <c r="K225" s="154">
        <f t="shared" si="27"/>
        <v>83714.253286713283</v>
      </c>
      <c r="L225" s="12">
        <f t="shared" si="28"/>
        <v>584177.74671328673</v>
      </c>
      <c r="M225" s="240">
        <f t="shared" si="29"/>
        <v>-435191.49201074807</v>
      </c>
      <c r="O225" s="42">
        <f t="shared" si="30"/>
        <v>-2175546.9750004401</v>
      </c>
      <c r="P225" s="200"/>
      <c r="Q225" s="164"/>
      <c r="R225" s="164"/>
      <c r="S225" s="164"/>
      <c r="T225" s="164"/>
      <c r="U225" s="164"/>
      <c r="AF225" s="11"/>
      <c r="AG225" s="11"/>
      <c r="AH225" s="11"/>
      <c r="AI225" s="11"/>
      <c r="AJ225" s="11"/>
      <c r="AK225" s="11"/>
      <c r="AL225" s="11"/>
    </row>
    <row r="226" spans="1:38" x14ac:dyDescent="0.25">
      <c r="A226" s="38">
        <f>+Données!A226</f>
        <v>5765</v>
      </c>
      <c r="B226" s="184" t="str">
        <f>+Données!B226</f>
        <v>Vaulion</v>
      </c>
      <c r="C226" s="173">
        <f>+Ecrêtage!C226</f>
        <v>9627.8182716049378</v>
      </c>
      <c r="D226" s="171"/>
      <c r="E226" s="173">
        <f>Données!AF226+Données!AG226+Données!AH226</f>
        <v>284160</v>
      </c>
      <c r="F226" s="171">
        <f t="shared" si="24"/>
        <v>77022.546172839502</v>
      </c>
      <c r="G226" s="8">
        <f t="shared" si="25"/>
        <v>207137.4538271605</v>
      </c>
      <c r="H226" s="240">
        <f t="shared" si="26"/>
        <v>-154309.98200380293</v>
      </c>
      <c r="J226" s="8">
        <f>Données!AN226</f>
        <v>33229</v>
      </c>
      <c r="K226" s="154">
        <f t="shared" si="27"/>
        <v>9627.8182716049378</v>
      </c>
      <c r="L226" s="12">
        <f t="shared" si="28"/>
        <v>23601.181728395062</v>
      </c>
      <c r="M226" s="240">
        <f t="shared" si="29"/>
        <v>-17582.034829954002</v>
      </c>
      <c r="O226" s="42">
        <f t="shared" si="30"/>
        <v>-171892.01683375693</v>
      </c>
      <c r="P226" s="200"/>
      <c r="Q226" s="164"/>
      <c r="R226" s="164"/>
      <c r="S226" s="164"/>
      <c r="T226" s="164"/>
      <c r="U226" s="164"/>
      <c r="AF226" s="11"/>
      <c r="AG226" s="11"/>
      <c r="AH226" s="11"/>
      <c r="AI226" s="11"/>
      <c r="AJ226" s="11"/>
      <c r="AK226" s="11"/>
      <c r="AL226" s="11"/>
    </row>
    <row r="227" spans="1:38" x14ac:dyDescent="0.25">
      <c r="A227" s="38">
        <f>+Données!A227</f>
        <v>5766</v>
      </c>
      <c r="B227" s="184" t="str">
        <f>+Données!B227</f>
        <v>Vuiteboeuf</v>
      </c>
      <c r="C227" s="173">
        <f>+Ecrêtage!C227</f>
        <v>15422.129161904764</v>
      </c>
      <c r="D227" s="171"/>
      <c r="E227" s="173">
        <f>Données!AF227+Données!AG227+Données!AH227</f>
        <v>185884</v>
      </c>
      <c r="F227" s="171">
        <f t="shared" si="24"/>
        <v>123377.03329523811</v>
      </c>
      <c r="G227" s="8">
        <f t="shared" si="25"/>
        <v>62506.966704761886</v>
      </c>
      <c r="H227" s="240">
        <f t="shared" si="26"/>
        <v>-46565.450762817934</v>
      </c>
      <c r="J227" s="8">
        <f>Données!AN227</f>
        <v>29268</v>
      </c>
      <c r="K227" s="154">
        <f t="shared" si="27"/>
        <v>15422.129161904764</v>
      </c>
      <c r="L227" s="12">
        <f t="shared" si="28"/>
        <v>13845.870838095236</v>
      </c>
      <c r="M227" s="240">
        <f t="shared" si="29"/>
        <v>-10314.6777194444</v>
      </c>
      <c r="O227" s="42">
        <f t="shared" si="30"/>
        <v>-56880.128482262335</v>
      </c>
      <c r="P227" s="200"/>
      <c r="Q227" s="164"/>
      <c r="R227" s="164"/>
      <c r="S227" s="164"/>
      <c r="T227" s="164"/>
      <c r="U227" s="164"/>
      <c r="AF227" s="11"/>
      <c r="AG227" s="11"/>
      <c r="AH227" s="11"/>
      <c r="AI227" s="11"/>
      <c r="AJ227" s="11"/>
      <c r="AK227" s="11"/>
      <c r="AL227" s="11"/>
    </row>
    <row r="228" spans="1:38" x14ac:dyDescent="0.25">
      <c r="A228" s="38">
        <f>+Données!A228</f>
        <v>5785</v>
      </c>
      <c r="B228" s="184" t="str">
        <f>+Données!B228</f>
        <v>Corcelles-le-Jorat</v>
      </c>
      <c r="C228" s="173">
        <f>+Ecrêtage!C228</f>
        <v>15461.79373333333</v>
      </c>
      <c r="D228" s="171"/>
      <c r="E228" s="173">
        <f>Données!AF228+Données!AG228+Données!AH228</f>
        <v>211151</v>
      </c>
      <c r="F228" s="171">
        <f t="shared" si="24"/>
        <v>123694.34986666664</v>
      </c>
      <c r="G228" s="8">
        <f t="shared" si="25"/>
        <v>87456.650133333358</v>
      </c>
      <c r="H228" s="240">
        <f t="shared" si="26"/>
        <v>-65152.071046737932</v>
      </c>
      <c r="J228" s="8">
        <f>Données!AN228</f>
        <v>34449</v>
      </c>
      <c r="K228" s="154">
        <f t="shared" si="27"/>
        <v>15461.79373333333</v>
      </c>
      <c r="L228" s="12">
        <f t="shared" si="28"/>
        <v>18987.206266666668</v>
      </c>
      <c r="M228" s="240">
        <f t="shared" si="29"/>
        <v>-14144.788415505995</v>
      </c>
      <c r="O228" s="42">
        <f t="shared" si="30"/>
        <v>-79296.859462243927</v>
      </c>
      <c r="P228" s="200"/>
      <c r="Q228" s="164"/>
      <c r="R228" s="164"/>
      <c r="S228" s="164"/>
      <c r="T228" s="164"/>
      <c r="U228" s="164"/>
      <c r="AF228" s="11"/>
      <c r="AG228" s="11"/>
      <c r="AH228" s="11"/>
      <c r="AI228" s="11"/>
      <c r="AJ228" s="11"/>
      <c r="AK228" s="11"/>
      <c r="AL228" s="11"/>
    </row>
    <row r="229" spans="1:38" x14ac:dyDescent="0.25">
      <c r="A229" s="38">
        <f>+Données!A229</f>
        <v>5790</v>
      </c>
      <c r="B229" s="184" t="str">
        <f>+Données!B229</f>
        <v>Maracon</v>
      </c>
      <c r="C229" s="173">
        <f>+Ecrêtage!C229</f>
        <v>16326.326308724832</v>
      </c>
      <c r="D229" s="171"/>
      <c r="E229" s="173">
        <f>Données!AF229+Données!AG229+Données!AH229</f>
        <v>204546</v>
      </c>
      <c r="F229" s="171">
        <f t="shared" si="24"/>
        <v>130610.61046979866</v>
      </c>
      <c r="G229" s="8">
        <f t="shared" si="25"/>
        <v>73935.389530201341</v>
      </c>
      <c r="H229" s="240">
        <f t="shared" si="26"/>
        <v>-55079.21632255552</v>
      </c>
      <c r="J229" s="8">
        <f>Données!AN229</f>
        <v>-3638</v>
      </c>
      <c r="K229" s="154">
        <f t="shared" si="27"/>
        <v>16326.326308724832</v>
      </c>
      <c r="L229" s="12">
        <f t="shared" si="28"/>
        <v>0</v>
      </c>
      <c r="M229" s="240">
        <f t="shared" si="29"/>
        <v>0</v>
      </c>
      <c r="O229" s="42">
        <f t="shared" si="30"/>
        <v>-55079.21632255552</v>
      </c>
      <c r="P229" s="200"/>
      <c r="Q229" s="164"/>
      <c r="R229" s="164"/>
      <c r="S229" s="164"/>
      <c r="T229" s="164"/>
      <c r="U229" s="164"/>
      <c r="AF229" s="11"/>
      <c r="AG229" s="11"/>
      <c r="AH229" s="11"/>
      <c r="AI229" s="11"/>
      <c r="AJ229" s="11"/>
      <c r="AK229" s="11"/>
      <c r="AL229" s="11"/>
    </row>
    <row r="230" spans="1:38" x14ac:dyDescent="0.25">
      <c r="A230" s="38">
        <f>+Données!A230</f>
        <v>5792</v>
      </c>
      <c r="B230" s="184" t="str">
        <f>+Données!B230</f>
        <v>Montpreveyres</v>
      </c>
      <c r="C230" s="173">
        <f>+Ecrêtage!C230</f>
        <v>19363.003178807943</v>
      </c>
      <c r="D230" s="171"/>
      <c r="E230" s="173">
        <f>Données!AF230+Données!AG230+Données!AH230</f>
        <v>369274</v>
      </c>
      <c r="F230" s="171">
        <f t="shared" si="24"/>
        <v>154904.02543046355</v>
      </c>
      <c r="G230" s="8">
        <f t="shared" si="25"/>
        <v>214369.97456953645</v>
      </c>
      <c r="H230" s="240">
        <f t="shared" si="26"/>
        <v>-159697.95083791547</v>
      </c>
      <c r="J230" s="8">
        <f>Données!AN230</f>
        <v>9894</v>
      </c>
      <c r="K230" s="154">
        <f t="shared" si="27"/>
        <v>19363.003178807943</v>
      </c>
      <c r="L230" s="12">
        <f t="shared" si="28"/>
        <v>0</v>
      </c>
      <c r="M230" s="240">
        <f t="shared" si="29"/>
        <v>0</v>
      </c>
      <c r="O230" s="42">
        <f t="shared" si="30"/>
        <v>-159697.95083791547</v>
      </c>
      <c r="P230" s="200"/>
      <c r="Q230" s="164"/>
      <c r="R230" s="164"/>
      <c r="S230" s="164"/>
      <c r="T230" s="164"/>
      <c r="U230" s="164"/>
      <c r="AF230" s="11"/>
      <c r="AG230" s="11"/>
      <c r="AH230" s="11"/>
      <c r="AI230" s="11"/>
      <c r="AJ230" s="11"/>
      <c r="AK230" s="11"/>
      <c r="AL230" s="11"/>
    </row>
    <row r="231" spans="1:38" x14ac:dyDescent="0.25">
      <c r="A231" s="38">
        <f>+Données!A231</f>
        <v>5798</v>
      </c>
      <c r="B231" s="184" t="str">
        <f>+Données!B231</f>
        <v>Ropraz</v>
      </c>
      <c r="C231" s="173">
        <f>+Ecrêtage!C231</f>
        <v>16208.095096774196</v>
      </c>
      <c r="D231" s="171"/>
      <c r="E231" s="173">
        <f>Données!AF231+Données!AG231+Données!AH231</f>
        <v>221635</v>
      </c>
      <c r="F231" s="171">
        <f t="shared" si="24"/>
        <v>129664.76077419356</v>
      </c>
      <c r="G231" s="8">
        <f t="shared" si="25"/>
        <v>91970.239225806436</v>
      </c>
      <c r="H231" s="240">
        <f t="shared" si="26"/>
        <v>-68514.533212625363</v>
      </c>
      <c r="J231" s="8">
        <f>Données!AN231</f>
        <v>40034</v>
      </c>
      <c r="K231" s="154">
        <f t="shared" si="27"/>
        <v>16208.095096774196</v>
      </c>
      <c r="L231" s="12">
        <f t="shared" si="28"/>
        <v>23825.904903225804</v>
      </c>
      <c r="M231" s="240">
        <f t="shared" si="29"/>
        <v>-17749.445544063215</v>
      </c>
      <c r="O231" s="42">
        <f t="shared" si="30"/>
        <v>-86263.978756688579</v>
      </c>
      <c r="P231" s="200"/>
      <c r="Q231" s="164"/>
      <c r="R231" s="164"/>
      <c r="S231" s="164"/>
      <c r="T231" s="164"/>
      <c r="U231" s="164"/>
      <c r="AF231" s="11"/>
      <c r="AG231" s="11"/>
      <c r="AH231" s="11"/>
      <c r="AI231" s="11"/>
      <c r="AJ231" s="11"/>
      <c r="AK231" s="11"/>
      <c r="AL231" s="11"/>
    </row>
    <row r="232" spans="1:38" x14ac:dyDescent="0.25">
      <c r="A232" s="38">
        <f>+Données!A232</f>
        <v>5799</v>
      </c>
      <c r="B232" s="184" t="str">
        <f>+Données!B232</f>
        <v>Servion</v>
      </c>
      <c r="C232" s="173">
        <f>+Ecrêtage!C232</f>
        <v>73170.005797101461</v>
      </c>
      <c r="D232" s="171"/>
      <c r="E232" s="173">
        <f>Données!AF232+Données!AG232+Données!AH232</f>
        <v>1079524</v>
      </c>
      <c r="F232" s="171">
        <f t="shared" si="24"/>
        <v>585360.04637681169</v>
      </c>
      <c r="G232" s="8">
        <f t="shared" si="25"/>
        <v>494163.95362318831</v>
      </c>
      <c r="H232" s="240">
        <f t="shared" si="26"/>
        <v>-368134.44107578183</v>
      </c>
      <c r="J232" s="8">
        <f>Données!AN232</f>
        <v>33199</v>
      </c>
      <c r="K232" s="154">
        <f t="shared" si="27"/>
        <v>73170.005797101461</v>
      </c>
      <c r="L232" s="12">
        <f t="shared" si="28"/>
        <v>0</v>
      </c>
      <c r="M232" s="240">
        <f t="shared" si="29"/>
        <v>0</v>
      </c>
      <c r="O232" s="42">
        <f t="shared" si="30"/>
        <v>-368134.44107578183</v>
      </c>
      <c r="P232" s="200"/>
      <c r="Q232" s="164"/>
      <c r="R232" s="164"/>
      <c r="S232" s="164"/>
      <c r="T232" s="164"/>
      <c r="U232" s="164"/>
      <c r="AF232" s="11"/>
      <c r="AG232" s="11"/>
      <c r="AH232" s="11"/>
      <c r="AI232" s="11"/>
      <c r="AJ232" s="11"/>
      <c r="AK232" s="11"/>
      <c r="AL232" s="11"/>
    </row>
    <row r="233" spans="1:38" x14ac:dyDescent="0.25">
      <c r="A233" s="38">
        <f>+Données!A233</f>
        <v>5803</v>
      </c>
      <c r="B233" s="184" t="str">
        <f>+Données!B233</f>
        <v>Vulliens</v>
      </c>
      <c r="C233" s="173">
        <f>+Ecrêtage!C233</f>
        <v>16577.495675675673</v>
      </c>
      <c r="D233" s="171"/>
      <c r="E233" s="173">
        <f>Données!AF233+Données!AG233+Données!AH233</f>
        <v>234210</v>
      </c>
      <c r="F233" s="171">
        <f t="shared" si="24"/>
        <v>132619.96540540538</v>
      </c>
      <c r="G233" s="8">
        <f t="shared" si="25"/>
        <v>101590.03459459462</v>
      </c>
      <c r="H233" s="240">
        <f t="shared" si="26"/>
        <v>-75680.936114712822</v>
      </c>
      <c r="J233" s="8">
        <f>Données!AN233</f>
        <v>50569</v>
      </c>
      <c r="K233" s="154">
        <f t="shared" si="27"/>
        <v>16577.495675675673</v>
      </c>
      <c r="L233" s="12">
        <f t="shared" si="28"/>
        <v>33991.504324324327</v>
      </c>
      <c r="M233" s="240">
        <f t="shared" si="29"/>
        <v>-25322.452910642594</v>
      </c>
      <c r="O233" s="42">
        <f t="shared" si="30"/>
        <v>-101003.38902535541</v>
      </c>
      <c r="P233" s="200"/>
      <c r="Q233" s="164"/>
      <c r="R233" s="164"/>
      <c r="S233" s="164"/>
      <c r="T233" s="164"/>
      <c r="U233" s="164"/>
      <c r="AF233" s="11"/>
      <c r="AG233" s="11"/>
      <c r="AH233" s="11"/>
      <c r="AI233" s="11"/>
      <c r="AJ233" s="11"/>
      <c r="AK233" s="11"/>
      <c r="AL233" s="11"/>
    </row>
    <row r="234" spans="1:38" x14ac:dyDescent="0.25">
      <c r="A234" s="38">
        <f>+Données!A234</f>
        <v>5804</v>
      </c>
      <c r="B234" s="184" t="str">
        <f>+Données!B234</f>
        <v>Jorat-Menthue</v>
      </c>
      <c r="C234" s="173">
        <f>+Ecrêtage!C234</f>
        <v>45125.096170212761</v>
      </c>
      <c r="D234" s="171"/>
      <c r="E234" s="173">
        <f>Données!AF234+Données!AG234+Données!AH234</f>
        <v>788534</v>
      </c>
      <c r="F234" s="171">
        <f t="shared" si="24"/>
        <v>361000.76936170209</v>
      </c>
      <c r="G234" s="8">
        <f t="shared" si="25"/>
        <v>427533.23063829791</v>
      </c>
      <c r="H234" s="240">
        <f t="shared" si="26"/>
        <v>-318496.93962576333</v>
      </c>
      <c r="J234" s="8">
        <f>Données!AN234</f>
        <v>181502</v>
      </c>
      <c r="K234" s="154">
        <f t="shared" si="27"/>
        <v>45125.096170212761</v>
      </c>
      <c r="L234" s="12">
        <f t="shared" si="28"/>
        <v>136376.90382978725</v>
      </c>
      <c r="M234" s="240">
        <f t="shared" si="29"/>
        <v>-101595.90738847556</v>
      </c>
      <c r="O234" s="42">
        <f t="shared" si="30"/>
        <v>-420092.84701423888</v>
      </c>
      <c r="P234" s="200"/>
      <c r="Q234" s="164"/>
      <c r="R234" s="164"/>
      <c r="S234" s="164"/>
      <c r="T234" s="164"/>
      <c r="U234" s="164"/>
      <c r="AF234" s="11"/>
      <c r="AG234" s="11"/>
      <c r="AH234" s="11"/>
      <c r="AI234" s="11"/>
      <c r="AJ234" s="11"/>
      <c r="AK234" s="11"/>
      <c r="AL234" s="11"/>
    </row>
    <row r="235" spans="1:38" x14ac:dyDescent="0.25">
      <c r="A235" s="38">
        <f>+Données!A235</f>
        <v>5805</v>
      </c>
      <c r="B235" s="184" t="str">
        <f>+Données!B235</f>
        <v>Oron</v>
      </c>
      <c r="C235" s="173">
        <f>+Ecrêtage!C235</f>
        <v>174503.6837022398</v>
      </c>
      <c r="D235" s="171"/>
      <c r="E235" s="173">
        <f>Données!AF235+Données!AG235+Données!AH235</f>
        <v>3021014</v>
      </c>
      <c r="F235" s="171">
        <f t="shared" si="24"/>
        <v>1396029.4696179184</v>
      </c>
      <c r="G235" s="8">
        <f t="shared" si="25"/>
        <v>1624984.5303820816</v>
      </c>
      <c r="H235" s="240">
        <f t="shared" si="26"/>
        <v>-1210555.2569403935</v>
      </c>
      <c r="J235" s="8">
        <f>Données!AN235</f>
        <v>62909</v>
      </c>
      <c r="K235" s="154">
        <f t="shared" si="27"/>
        <v>174503.6837022398</v>
      </c>
      <c r="L235" s="12">
        <f t="shared" si="28"/>
        <v>0</v>
      </c>
      <c r="M235" s="240">
        <f t="shared" si="29"/>
        <v>0</v>
      </c>
      <c r="O235" s="42">
        <f t="shared" si="30"/>
        <v>-1210555.2569403935</v>
      </c>
      <c r="P235" s="200"/>
      <c r="Q235" s="164"/>
      <c r="R235" s="164"/>
      <c r="S235" s="164"/>
      <c r="T235" s="164"/>
      <c r="U235" s="164"/>
      <c r="AF235" s="11"/>
      <c r="AG235" s="11"/>
      <c r="AH235" s="11"/>
      <c r="AI235" s="11"/>
      <c r="AJ235" s="11"/>
      <c r="AK235" s="11"/>
      <c r="AL235" s="11"/>
    </row>
    <row r="236" spans="1:38" x14ac:dyDescent="0.25">
      <c r="A236" s="38">
        <f>+Données!A236</f>
        <v>5806</v>
      </c>
      <c r="B236" s="184" t="str">
        <f>+Données!B236</f>
        <v>Jorat-Mézières</v>
      </c>
      <c r="C236" s="173">
        <f>+Ecrêtage!C236</f>
        <v>102976.58753424657</v>
      </c>
      <c r="D236" s="171"/>
      <c r="E236" s="173">
        <f>Données!AF236+Données!AG236+Données!AH236</f>
        <v>1501115</v>
      </c>
      <c r="F236" s="171">
        <f t="shared" si="24"/>
        <v>823812.70027397259</v>
      </c>
      <c r="G236" s="8">
        <f t="shared" si="25"/>
        <v>677302.29972602741</v>
      </c>
      <c r="H236" s="240">
        <f t="shared" si="26"/>
        <v>-504565.9476391293</v>
      </c>
      <c r="J236" s="8">
        <f>Données!AN236</f>
        <v>1699</v>
      </c>
      <c r="K236" s="154">
        <f t="shared" si="27"/>
        <v>102976.58753424657</v>
      </c>
      <c r="L236" s="12">
        <f t="shared" si="28"/>
        <v>0</v>
      </c>
      <c r="M236" s="240">
        <f t="shared" si="29"/>
        <v>0</v>
      </c>
      <c r="O236" s="42">
        <f t="shared" si="30"/>
        <v>-504565.9476391293</v>
      </c>
      <c r="P236" s="200"/>
      <c r="Q236" s="164"/>
      <c r="R236" s="164"/>
      <c r="S236" s="164"/>
      <c r="T236" s="164"/>
      <c r="U236" s="164"/>
      <c r="AF236" s="11"/>
      <c r="AG236" s="11"/>
      <c r="AH236" s="11"/>
      <c r="AI236" s="11"/>
      <c r="AJ236" s="11"/>
      <c r="AK236" s="11"/>
      <c r="AL236" s="11"/>
    </row>
    <row r="237" spans="1:38" x14ac:dyDescent="0.25">
      <c r="A237" s="38">
        <f>+Données!A237</f>
        <v>5812</v>
      </c>
      <c r="B237" s="184" t="str">
        <f>+Données!B237</f>
        <v>Champtauroz</v>
      </c>
      <c r="C237" s="173">
        <f>+Ecrêtage!C237</f>
        <v>3659.2728571428574</v>
      </c>
      <c r="D237" s="171"/>
      <c r="E237" s="173">
        <f>Données!AF237+Données!AG237+Données!AH237</f>
        <v>70800</v>
      </c>
      <c r="F237" s="171">
        <f t="shared" si="24"/>
        <v>29274.18285714286</v>
      </c>
      <c r="G237" s="8">
        <f t="shared" si="25"/>
        <v>41525.817142857137</v>
      </c>
      <c r="H237" s="240">
        <f t="shared" si="26"/>
        <v>-30935.246029210768</v>
      </c>
      <c r="J237" s="8">
        <f>Données!AN237</f>
        <v>14655</v>
      </c>
      <c r="K237" s="154">
        <f t="shared" si="27"/>
        <v>3659.2728571428574</v>
      </c>
      <c r="L237" s="12">
        <f t="shared" si="28"/>
        <v>10995.727142857142</v>
      </c>
      <c r="M237" s="240">
        <f t="shared" si="29"/>
        <v>-8191.4227783682927</v>
      </c>
      <c r="O237" s="42">
        <f t="shared" si="30"/>
        <v>-39126.668807579059</v>
      </c>
      <c r="P237" s="200"/>
      <c r="Q237" s="164"/>
      <c r="R237" s="164"/>
      <c r="S237" s="164"/>
      <c r="T237" s="164"/>
      <c r="U237" s="164"/>
      <c r="AF237" s="11"/>
      <c r="AG237" s="11"/>
      <c r="AH237" s="11"/>
      <c r="AI237" s="11"/>
      <c r="AJ237" s="11"/>
      <c r="AK237" s="11"/>
      <c r="AL237" s="11"/>
    </row>
    <row r="238" spans="1:38" x14ac:dyDescent="0.25">
      <c r="A238" s="38">
        <f>+Données!A238</f>
        <v>5813</v>
      </c>
      <c r="B238" s="184" t="str">
        <f>+Données!B238</f>
        <v>Chevroux</v>
      </c>
      <c r="C238" s="173">
        <f>+Ecrêtage!C238</f>
        <v>17497.520778588809</v>
      </c>
      <c r="D238" s="171"/>
      <c r="E238" s="173">
        <f>Données!AF238+Données!AG238+Données!AH238</f>
        <v>366467</v>
      </c>
      <c r="F238" s="171">
        <f t="shared" si="24"/>
        <v>139980.16622871047</v>
      </c>
      <c r="G238" s="8">
        <f t="shared" si="25"/>
        <v>226486.83377128953</v>
      </c>
      <c r="H238" s="240">
        <f t="shared" si="26"/>
        <v>-168724.57683345024</v>
      </c>
      <c r="J238" s="8">
        <f>Données!AN238</f>
        <v>5589</v>
      </c>
      <c r="K238" s="154">
        <f t="shared" si="27"/>
        <v>17497.520778588809</v>
      </c>
      <c r="L238" s="12">
        <f t="shared" si="28"/>
        <v>0</v>
      </c>
      <c r="M238" s="240">
        <f t="shared" si="29"/>
        <v>0</v>
      </c>
      <c r="O238" s="42">
        <f t="shared" si="30"/>
        <v>-168724.57683345024</v>
      </c>
      <c r="P238" s="200"/>
      <c r="Q238" s="164"/>
      <c r="R238" s="164"/>
      <c r="S238" s="164"/>
      <c r="T238" s="164"/>
      <c r="U238" s="164"/>
      <c r="AF238" s="11"/>
      <c r="AG238" s="11"/>
      <c r="AH238" s="11"/>
      <c r="AI238" s="11"/>
      <c r="AJ238" s="11"/>
      <c r="AK238" s="11"/>
      <c r="AL238" s="11"/>
    </row>
    <row r="239" spans="1:38" x14ac:dyDescent="0.25">
      <c r="A239" s="38">
        <f>+Données!A239</f>
        <v>5816</v>
      </c>
      <c r="B239" s="184" t="str">
        <f>+Données!B239</f>
        <v>Corcelles-près-Payerne</v>
      </c>
      <c r="C239" s="173">
        <f>+Ecrêtage!C239</f>
        <v>65699.549864442117</v>
      </c>
      <c r="D239" s="171"/>
      <c r="E239" s="173">
        <f>Données!AF239+Données!AG239+Données!AH239</f>
        <v>975826</v>
      </c>
      <c r="F239" s="171">
        <f t="shared" si="24"/>
        <v>525596.39891553693</v>
      </c>
      <c r="G239" s="8">
        <f t="shared" si="25"/>
        <v>450229.60108446307</v>
      </c>
      <c r="H239" s="240">
        <f t="shared" si="26"/>
        <v>-335404.9224670594</v>
      </c>
      <c r="J239" s="8">
        <f>Données!AN239</f>
        <v>15745</v>
      </c>
      <c r="K239" s="154">
        <f t="shared" si="27"/>
        <v>65699.549864442117</v>
      </c>
      <c r="L239" s="12">
        <f t="shared" si="28"/>
        <v>0</v>
      </c>
      <c r="M239" s="240">
        <f t="shared" si="29"/>
        <v>0</v>
      </c>
      <c r="O239" s="42">
        <f t="shared" si="30"/>
        <v>-335404.9224670594</v>
      </c>
      <c r="P239" s="200"/>
      <c r="Q239" s="164"/>
      <c r="R239" s="164"/>
      <c r="S239" s="164"/>
      <c r="T239" s="164"/>
      <c r="U239" s="164"/>
      <c r="AF239" s="11"/>
      <c r="AG239" s="11"/>
      <c r="AH239" s="11"/>
      <c r="AI239" s="11"/>
      <c r="AJ239" s="11"/>
      <c r="AK239" s="11"/>
      <c r="AL239" s="11"/>
    </row>
    <row r="240" spans="1:38" x14ac:dyDescent="0.25">
      <c r="A240" s="38">
        <f>+Données!A240</f>
        <v>5817</v>
      </c>
      <c r="B240" s="184" t="str">
        <f>+Données!B240</f>
        <v>Grandcour</v>
      </c>
      <c r="C240" s="173">
        <f>+Ecrêtage!C240</f>
        <v>25916.533605442175</v>
      </c>
      <c r="D240" s="171"/>
      <c r="E240" s="173">
        <f>Données!AF240+Données!AG240+Données!AH240</f>
        <v>320764</v>
      </c>
      <c r="F240" s="171">
        <f t="shared" si="24"/>
        <v>207332.2688435374</v>
      </c>
      <c r="G240" s="8">
        <f t="shared" si="25"/>
        <v>113431.7311564626</v>
      </c>
      <c r="H240" s="240">
        <f t="shared" si="26"/>
        <v>-84502.575801763684</v>
      </c>
      <c r="J240" s="8">
        <f>Données!AN240</f>
        <v>72484</v>
      </c>
      <c r="K240" s="154">
        <f t="shared" si="27"/>
        <v>25916.533605442175</v>
      </c>
      <c r="L240" s="12">
        <f t="shared" si="28"/>
        <v>46567.466394557821</v>
      </c>
      <c r="M240" s="240">
        <f t="shared" si="29"/>
        <v>-34691.094094952554</v>
      </c>
      <c r="O240" s="42">
        <f t="shared" si="30"/>
        <v>-119193.66989671624</v>
      </c>
      <c r="P240" s="200"/>
      <c r="Q240" s="164"/>
      <c r="R240" s="164"/>
      <c r="S240" s="164"/>
      <c r="T240" s="164"/>
      <c r="U240" s="164"/>
      <c r="AF240" s="11"/>
      <c r="AG240" s="11"/>
      <c r="AH240" s="11"/>
      <c r="AI240" s="11"/>
      <c r="AJ240" s="11"/>
      <c r="AK240" s="11"/>
      <c r="AL240" s="11"/>
    </row>
    <row r="241" spans="1:38" x14ac:dyDescent="0.25">
      <c r="A241" s="38">
        <f>+Données!A241</f>
        <v>5819</v>
      </c>
      <c r="B241" s="184" t="str">
        <f>+Données!B241</f>
        <v>Henniez</v>
      </c>
      <c r="C241" s="173">
        <f>+Ecrêtage!C241</f>
        <v>10275.484492753623</v>
      </c>
      <c r="D241" s="171"/>
      <c r="E241" s="173">
        <f>Données!AF241+Données!AG241+Données!AH241</f>
        <v>219507</v>
      </c>
      <c r="F241" s="171">
        <f t="shared" si="24"/>
        <v>82203.875942028986</v>
      </c>
      <c r="G241" s="8">
        <f t="shared" si="25"/>
        <v>137303.124057971</v>
      </c>
      <c r="H241" s="240">
        <f t="shared" si="26"/>
        <v>-102285.90827485245</v>
      </c>
      <c r="J241" s="8">
        <f>Données!AN241</f>
        <v>0</v>
      </c>
      <c r="K241" s="154">
        <f t="shared" si="27"/>
        <v>10275.484492753623</v>
      </c>
      <c r="L241" s="12">
        <f t="shared" si="28"/>
        <v>0</v>
      </c>
      <c r="M241" s="240">
        <f t="shared" si="29"/>
        <v>0</v>
      </c>
      <c r="O241" s="42">
        <f t="shared" si="30"/>
        <v>-102285.90827485245</v>
      </c>
      <c r="P241" s="200"/>
      <c r="Q241" s="164"/>
      <c r="R241" s="164"/>
      <c r="S241" s="164"/>
      <c r="T241" s="164"/>
      <c r="U241" s="164"/>
      <c r="AF241" s="11"/>
      <c r="AG241" s="11"/>
      <c r="AH241" s="11"/>
      <c r="AI241" s="11"/>
      <c r="AJ241" s="11"/>
      <c r="AK241" s="11"/>
      <c r="AL241" s="11"/>
    </row>
    <row r="242" spans="1:38" x14ac:dyDescent="0.25">
      <c r="A242" s="38">
        <f>+Données!A242</f>
        <v>5821</v>
      </c>
      <c r="B242" s="184" t="str">
        <f>+Données!B242</f>
        <v>Missy</v>
      </c>
      <c r="C242" s="173">
        <f>+Ecrêtage!C242</f>
        <v>8375.9038888888899</v>
      </c>
      <c r="D242" s="171"/>
      <c r="E242" s="173">
        <f>Données!AF242+Données!AG242+Données!AH242</f>
        <v>128578</v>
      </c>
      <c r="F242" s="171">
        <f t="shared" si="24"/>
        <v>67007.231111111119</v>
      </c>
      <c r="G242" s="8">
        <f t="shared" si="25"/>
        <v>61570.768888888881</v>
      </c>
      <c r="H242" s="240">
        <f t="shared" si="26"/>
        <v>-45868.016931078804</v>
      </c>
      <c r="J242" s="8">
        <f>Données!AN242</f>
        <v>0</v>
      </c>
      <c r="K242" s="154">
        <f t="shared" si="27"/>
        <v>8375.9038888888899</v>
      </c>
      <c r="L242" s="12">
        <f t="shared" si="28"/>
        <v>0</v>
      </c>
      <c r="M242" s="240">
        <f t="shared" si="29"/>
        <v>0</v>
      </c>
      <c r="O242" s="42">
        <f t="shared" si="30"/>
        <v>-45868.016931078804</v>
      </c>
      <c r="P242" s="200"/>
      <c r="Q242" s="164"/>
      <c r="R242" s="164"/>
      <c r="S242" s="164"/>
      <c r="T242" s="164"/>
      <c r="U242" s="164"/>
      <c r="AF242" s="11"/>
      <c r="AG242" s="11"/>
      <c r="AH242" s="11"/>
      <c r="AI242" s="11"/>
      <c r="AJ242" s="11"/>
      <c r="AK242" s="11"/>
      <c r="AL242" s="11"/>
    </row>
    <row r="243" spans="1:38" x14ac:dyDescent="0.25">
      <c r="A243" s="38">
        <f>+Données!A243</f>
        <v>5822</v>
      </c>
      <c r="B243" s="184" t="str">
        <f>+Données!B243</f>
        <v>Payerne</v>
      </c>
      <c r="C243" s="173">
        <f>+Ecrêtage!C243</f>
        <v>226829.36520547947</v>
      </c>
      <c r="D243" s="171"/>
      <c r="E243" s="173">
        <f>Données!AF243+Données!AG243+Données!AH243</f>
        <v>4071823</v>
      </c>
      <c r="F243" s="171">
        <f t="shared" si="24"/>
        <v>1814634.9216438357</v>
      </c>
      <c r="G243" s="8">
        <f t="shared" si="25"/>
        <v>2257188.0783561645</v>
      </c>
      <c r="H243" s="240">
        <f t="shared" si="26"/>
        <v>-1681524.2502737918</v>
      </c>
      <c r="J243" s="8">
        <f>Données!AN243</f>
        <v>144853</v>
      </c>
      <c r="K243" s="154">
        <f t="shared" si="27"/>
        <v>226829.36520547947</v>
      </c>
      <c r="L243" s="12">
        <f t="shared" si="28"/>
        <v>0</v>
      </c>
      <c r="M243" s="240">
        <f t="shared" si="29"/>
        <v>0</v>
      </c>
      <c r="O243" s="42">
        <f t="shared" si="30"/>
        <v>-1681524.2502737918</v>
      </c>
      <c r="P243" s="200"/>
      <c r="Q243" s="164"/>
      <c r="R243" s="164"/>
      <c r="S243" s="164"/>
      <c r="T243" s="164"/>
      <c r="U243" s="164"/>
      <c r="AF243" s="11"/>
      <c r="AG243" s="11"/>
      <c r="AH243" s="11"/>
      <c r="AI243" s="11"/>
      <c r="AJ243" s="11"/>
      <c r="AK243" s="11"/>
      <c r="AL243" s="11"/>
    </row>
    <row r="244" spans="1:38" x14ac:dyDescent="0.25">
      <c r="A244" s="38">
        <f>+Données!A244</f>
        <v>5827</v>
      </c>
      <c r="B244" s="184" t="str">
        <f>+Données!B244</f>
        <v>Trey</v>
      </c>
      <c r="C244" s="173">
        <f>+Ecrêtage!C244</f>
        <v>7714.9719230769242</v>
      </c>
      <c r="D244" s="171"/>
      <c r="E244" s="173">
        <f>Données!AF244+Données!AG244+Données!AH244</f>
        <v>103347</v>
      </c>
      <c r="F244" s="171">
        <f t="shared" si="24"/>
        <v>61719.775384615394</v>
      </c>
      <c r="G244" s="8">
        <f t="shared" si="25"/>
        <v>41627.224615384606</v>
      </c>
      <c r="H244" s="240">
        <f t="shared" si="26"/>
        <v>-31010.79096312611</v>
      </c>
      <c r="J244" s="8">
        <f>Données!AN244</f>
        <v>6917</v>
      </c>
      <c r="K244" s="154">
        <f t="shared" si="27"/>
        <v>7714.9719230769242</v>
      </c>
      <c r="L244" s="12">
        <f t="shared" si="28"/>
        <v>0</v>
      </c>
      <c r="M244" s="240">
        <f t="shared" si="29"/>
        <v>0</v>
      </c>
      <c r="O244" s="42">
        <f t="shared" si="30"/>
        <v>-31010.79096312611</v>
      </c>
      <c r="P244" s="200"/>
      <c r="Q244" s="164"/>
      <c r="R244" s="164"/>
      <c r="S244" s="164"/>
      <c r="T244" s="164"/>
      <c r="U244" s="164"/>
      <c r="AF244" s="11"/>
      <c r="AG244" s="11"/>
      <c r="AH244" s="11"/>
      <c r="AI244" s="11"/>
      <c r="AJ244" s="11"/>
      <c r="AK244" s="11"/>
      <c r="AL244" s="11"/>
    </row>
    <row r="245" spans="1:38" x14ac:dyDescent="0.25">
      <c r="A245" s="38">
        <f>+Données!A245</f>
        <v>5828</v>
      </c>
      <c r="B245" s="184" t="str">
        <f>+Données!B245</f>
        <v>Treytorrens (Payerne)</v>
      </c>
      <c r="C245" s="173">
        <f>+Ecrêtage!C245</f>
        <v>2864.8037627811859</v>
      </c>
      <c r="D245" s="171"/>
      <c r="E245" s="173">
        <f>Données!AF245+Données!AG245+Données!AH245</f>
        <v>75958</v>
      </c>
      <c r="F245" s="171">
        <f t="shared" si="24"/>
        <v>22918.430102249487</v>
      </c>
      <c r="G245" s="8">
        <f t="shared" si="25"/>
        <v>53039.569897750509</v>
      </c>
      <c r="H245" s="240">
        <f t="shared" si="26"/>
        <v>-39512.57932928278</v>
      </c>
      <c r="J245" s="8">
        <f>Données!AN245</f>
        <v>3250</v>
      </c>
      <c r="K245" s="154">
        <f t="shared" si="27"/>
        <v>2864.8037627811859</v>
      </c>
      <c r="L245" s="12">
        <f t="shared" si="28"/>
        <v>385.19623721881408</v>
      </c>
      <c r="M245" s="240">
        <f t="shared" si="29"/>
        <v>-286.95739633241499</v>
      </c>
      <c r="O245" s="42">
        <f t="shared" si="30"/>
        <v>-39799.536725615195</v>
      </c>
      <c r="P245" s="200"/>
      <c r="Q245" s="164"/>
      <c r="R245" s="164"/>
      <c r="S245" s="164"/>
      <c r="T245" s="164"/>
      <c r="U245" s="164"/>
      <c r="AF245" s="11"/>
      <c r="AG245" s="11"/>
      <c r="AH245" s="11"/>
      <c r="AI245" s="11"/>
      <c r="AJ245" s="11"/>
      <c r="AK245" s="11"/>
      <c r="AL245" s="11"/>
    </row>
    <row r="246" spans="1:38" x14ac:dyDescent="0.25">
      <c r="A246" s="38">
        <f>+Données!A246</f>
        <v>5830</v>
      </c>
      <c r="B246" s="184" t="str">
        <f>+Données!B246</f>
        <v>Villarzel</v>
      </c>
      <c r="C246" s="173">
        <f>+Ecrêtage!C246</f>
        <v>12474.066133333334</v>
      </c>
      <c r="D246" s="171"/>
      <c r="E246" s="173">
        <f>Données!AF246+Données!AG246+Données!AH246</f>
        <v>226785</v>
      </c>
      <c r="F246" s="171">
        <f t="shared" si="24"/>
        <v>99792.52906666667</v>
      </c>
      <c r="G246" s="8">
        <f t="shared" si="25"/>
        <v>126992.47093333333</v>
      </c>
      <c r="H246" s="240">
        <f t="shared" si="26"/>
        <v>-94604.841095964162</v>
      </c>
      <c r="J246" s="8">
        <f>Données!AN246</f>
        <v>25833</v>
      </c>
      <c r="K246" s="154">
        <f t="shared" si="27"/>
        <v>12474.066133333334</v>
      </c>
      <c r="L246" s="12">
        <f t="shared" si="28"/>
        <v>13358.933866666666</v>
      </c>
      <c r="M246" s="240">
        <f t="shared" si="29"/>
        <v>-9951.9271211830801</v>
      </c>
      <c r="O246" s="42">
        <f t="shared" si="30"/>
        <v>-104556.76821714724</v>
      </c>
      <c r="P246" s="200"/>
      <c r="Q246" s="164"/>
      <c r="R246" s="164"/>
      <c r="S246" s="164"/>
      <c r="T246" s="164"/>
      <c r="U246" s="164"/>
      <c r="AF246" s="11"/>
      <c r="AG246" s="11"/>
      <c r="AH246" s="11"/>
      <c r="AI246" s="11"/>
      <c r="AJ246" s="11"/>
      <c r="AK246" s="11"/>
      <c r="AL246" s="11"/>
    </row>
    <row r="247" spans="1:38" x14ac:dyDescent="0.25">
      <c r="A247" s="38">
        <f>+Données!A247</f>
        <v>5831</v>
      </c>
      <c r="B247" s="184" t="str">
        <f>+Données!B247</f>
        <v>Valbroye</v>
      </c>
      <c r="C247" s="173">
        <f>+Ecrêtage!C247</f>
        <v>87465.086477541365</v>
      </c>
      <c r="D247" s="171"/>
      <c r="E247" s="173">
        <f>Données!AF247+Données!AG247+Données!AH247</f>
        <v>1989792</v>
      </c>
      <c r="F247" s="171">
        <f t="shared" si="24"/>
        <v>699720.69182033092</v>
      </c>
      <c r="G247" s="8">
        <f t="shared" si="25"/>
        <v>1290071.3081796691</v>
      </c>
      <c r="H247" s="240">
        <f t="shared" si="26"/>
        <v>-961056.90530953335</v>
      </c>
      <c r="J247" s="8">
        <f>Données!AN247</f>
        <v>21150</v>
      </c>
      <c r="K247" s="154">
        <f t="shared" si="27"/>
        <v>87465.086477541365</v>
      </c>
      <c r="L247" s="12">
        <f t="shared" si="28"/>
        <v>0</v>
      </c>
      <c r="M247" s="240">
        <f t="shared" si="29"/>
        <v>0</v>
      </c>
      <c r="O247" s="42">
        <f t="shared" si="30"/>
        <v>-961056.90530953335</v>
      </c>
      <c r="P247" s="200"/>
      <c r="Q247" s="164"/>
      <c r="R247" s="164"/>
      <c r="S247" s="164"/>
      <c r="T247" s="164"/>
      <c r="U247" s="164"/>
      <c r="AF247" s="11"/>
      <c r="AG247" s="11"/>
      <c r="AH247" s="11"/>
      <c r="AI247" s="11"/>
      <c r="AJ247" s="11"/>
      <c r="AK247" s="11"/>
      <c r="AL247" s="11"/>
    </row>
    <row r="248" spans="1:38" x14ac:dyDescent="0.25">
      <c r="A248" s="38">
        <f>+Données!A248</f>
        <v>5841</v>
      </c>
      <c r="B248" s="184" t="str">
        <f>+Données!B248</f>
        <v>Château-d'Oex</v>
      </c>
      <c r="C248" s="173">
        <f>+Ecrêtage!C248</f>
        <v>123825.99529652353</v>
      </c>
      <c r="D248" s="171"/>
      <c r="E248" s="173">
        <f>Données!AF248+Données!AG248+Données!AH248</f>
        <v>3832146</v>
      </c>
      <c r="F248" s="171">
        <f t="shared" si="24"/>
        <v>990607.96237218822</v>
      </c>
      <c r="G248" s="8">
        <f t="shared" si="25"/>
        <v>2841538.0376278115</v>
      </c>
      <c r="H248" s="240">
        <f t="shared" si="26"/>
        <v>-2116844.0344706727</v>
      </c>
      <c r="J248" s="8">
        <f>Données!AN248</f>
        <v>62293</v>
      </c>
      <c r="K248" s="154">
        <f t="shared" si="27"/>
        <v>123825.99529652353</v>
      </c>
      <c r="L248" s="12">
        <f t="shared" si="28"/>
        <v>0</v>
      </c>
      <c r="M248" s="240">
        <f t="shared" si="29"/>
        <v>0</v>
      </c>
      <c r="O248" s="42">
        <f t="shared" si="30"/>
        <v>-2116844.0344706727</v>
      </c>
      <c r="P248" s="200"/>
      <c r="Q248" s="164"/>
      <c r="R248" s="164"/>
      <c r="S248" s="164"/>
      <c r="T248" s="164"/>
      <c r="U248" s="164"/>
      <c r="AF248" s="11"/>
      <c r="AG248" s="11"/>
      <c r="AH248" s="11"/>
      <c r="AI248" s="11"/>
      <c r="AJ248" s="11"/>
      <c r="AK248" s="11"/>
      <c r="AL248" s="11"/>
    </row>
    <row r="249" spans="1:38" x14ac:dyDescent="0.25">
      <c r="A249" s="38">
        <f>+Données!A249</f>
        <v>5842</v>
      </c>
      <c r="B249" s="184" t="str">
        <f>+Données!B249</f>
        <v>Rossinière</v>
      </c>
      <c r="C249" s="173">
        <f>+Ecrêtage!C249</f>
        <v>16473.108683127575</v>
      </c>
      <c r="D249" s="171"/>
      <c r="E249" s="173">
        <f>Données!AF249+Données!AG249+Données!AH249</f>
        <v>513747</v>
      </c>
      <c r="F249" s="171">
        <f t="shared" si="24"/>
        <v>131784.8694650206</v>
      </c>
      <c r="G249" s="8">
        <f t="shared" si="25"/>
        <v>381962.1305349794</v>
      </c>
      <c r="H249" s="240">
        <f t="shared" si="26"/>
        <v>-284548.10272104654</v>
      </c>
      <c r="J249" s="8">
        <f>Données!AN249</f>
        <v>60338</v>
      </c>
      <c r="K249" s="154">
        <f t="shared" si="27"/>
        <v>16473.108683127575</v>
      </c>
      <c r="L249" s="12">
        <f t="shared" si="28"/>
        <v>43864.891316872425</v>
      </c>
      <c r="M249" s="240">
        <f t="shared" si="29"/>
        <v>-32677.772487023834</v>
      </c>
      <c r="O249" s="42">
        <f t="shared" si="30"/>
        <v>-317225.87520807039</v>
      </c>
      <c r="P249" s="200"/>
      <c r="Q249" s="164"/>
      <c r="R249" s="164"/>
      <c r="S249" s="164"/>
      <c r="T249" s="164"/>
      <c r="U249" s="164"/>
      <c r="AF249" s="11"/>
      <c r="AG249" s="11"/>
      <c r="AH249" s="11"/>
      <c r="AI249" s="11"/>
      <c r="AJ249" s="11"/>
      <c r="AK249" s="11"/>
      <c r="AL249" s="11"/>
    </row>
    <row r="250" spans="1:38" x14ac:dyDescent="0.25">
      <c r="A250" s="38">
        <f>+Données!A250</f>
        <v>5843</v>
      </c>
      <c r="B250" s="184" t="str">
        <f>+Données!B250</f>
        <v>Rougemont</v>
      </c>
      <c r="C250" s="173">
        <f>+Ecrêtage!C250</f>
        <v>89735.240928270054</v>
      </c>
      <c r="D250" s="171"/>
      <c r="E250" s="173">
        <f>Données!AF250+Données!AG250+Données!AH250</f>
        <v>853027</v>
      </c>
      <c r="F250" s="171">
        <f t="shared" si="24"/>
        <v>717881.92742616043</v>
      </c>
      <c r="G250" s="8">
        <f t="shared" si="25"/>
        <v>135145.07257383957</v>
      </c>
      <c r="H250" s="240">
        <f t="shared" si="26"/>
        <v>-100678.23723551705</v>
      </c>
      <c r="J250" s="8">
        <f>Données!AN250</f>
        <v>33700</v>
      </c>
      <c r="K250" s="154">
        <f t="shared" si="27"/>
        <v>89735.240928270054</v>
      </c>
      <c r="L250" s="12">
        <f t="shared" si="28"/>
        <v>0</v>
      </c>
      <c r="M250" s="240">
        <f t="shared" si="29"/>
        <v>0</v>
      </c>
      <c r="O250" s="42">
        <f t="shared" si="30"/>
        <v>-100678.23723551705</v>
      </c>
      <c r="P250" s="200"/>
      <c r="Q250" s="164"/>
      <c r="R250" s="164"/>
      <c r="S250" s="164"/>
      <c r="T250" s="164"/>
      <c r="U250" s="164"/>
      <c r="AF250" s="11"/>
      <c r="AG250" s="11"/>
      <c r="AH250" s="11"/>
      <c r="AI250" s="11"/>
      <c r="AJ250" s="11"/>
      <c r="AK250" s="11"/>
      <c r="AL250" s="11"/>
    </row>
    <row r="251" spans="1:38" x14ac:dyDescent="0.25">
      <c r="A251" s="38">
        <f>+Données!A251</f>
        <v>5851</v>
      </c>
      <c r="B251" s="184" t="str">
        <f>+Données!B251</f>
        <v>Allaman</v>
      </c>
      <c r="C251" s="173">
        <f>+Ecrêtage!C251</f>
        <v>24650.249641025639</v>
      </c>
      <c r="D251" s="171"/>
      <c r="E251" s="173">
        <f>Données!AF251+Données!AG251+Données!AH251</f>
        <v>207154</v>
      </c>
      <c r="F251" s="171">
        <f t="shared" si="24"/>
        <v>197201.99712820511</v>
      </c>
      <c r="G251" s="8">
        <f t="shared" si="25"/>
        <v>9952.0028717948881</v>
      </c>
      <c r="H251" s="240">
        <f t="shared" si="26"/>
        <v>-7413.8855898551137</v>
      </c>
      <c r="J251" s="8">
        <f>Données!AN251</f>
        <v>14825</v>
      </c>
      <c r="K251" s="154">
        <f t="shared" si="27"/>
        <v>24650.249641025639</v>
      </c>
      <c r="L251" s="12">
        <f t="shared" si="28"/>
        <v>0</v>
      </c>
      <c r="M251" s="240">
        <f t="shared" si="29"/>
        <v>0</v>
      </c>
      <c r="O251" s="42">
        <f t="shared" si="30"/>
        <v>-7413.8855898551137</v>
      </c>
      <c r="P251" s="200"/>
      <c r="Q251" s="164"/>
      <c r="R251" s="164"/>
      <c r="S251" s="164"/>
      <c r="T251" s="164"/>
      <c r="U251" s="164"/>
      <c r="AF251" s="11"/>
      <c r="AG251" s="11"/>
      <c r="AH251" s="11"/>
      <c r="AI251" s="11"/>
      <c r="AJ251" s="11"/>
      <c r="AK251" s="11"/>
      <c r="AL251" s="11"/>
    </row>
    <row r="252" spans="1:38" x14ac:dyDescent="0.25">
      <c r="A252" s="38">
        <f>+Données!A252</f>
        <v>5852</v>
      </c>
      <c r="B252" s="184" t="str">
        <f>+Données!B252</f>
        <v>Bursinel</v>
      </c>
      <c r="C252" s="173">
        <f>+Ecrêtage!C252</f>
        <v>35648.966451612905</v>
      </c>
      <c r="D252" s="171"/>
      <c r="E252" s="173">
        <f>Données!AF252+Données!AG252+Données!AH252</f>
        <v>0</v>
      </c>
      <c r="F252" s="171">
        <f t="shared" si="24"/>
        <v>285191.73161290324</v>
      </c>
      <c r="G252" s="8">
        <f t="shared" si="25"/>
        <v>0</v>
      </c>
      <c r="H252" s="240">
        <f t="shared" si="26"/>
        <v>0</v>
      </c>
      <c r="J252" s="8">
        <f>Données!AN252</f>
        <v>0</v>
      </c>
      <c r="K252" s="154">
        <f t="shared" si="27"/>
        <v>35648.966451612905</v>
      </c>
      <c r="L252" s="12">
        <f t="shared" si="28"/>
        <v>0</v>
      </c>
      <c r="M252" s="240">
        <f t="shared" si="29"/>
        <v>0</v>
      </c>
      <c r="O252" s="42">
        <f t="shared" si="30"/>
        <v>0</v>
      </c>
      <c r="P252" s="200"/>
      <c r="Q252" s="164"/>
      <c r="R252" s="164"/>
      <c r="S252" s="164"/>
      <c r="T252" s="164"/>
      <c r="U252" s="164"/>
      <c r="AF252" s="11"/>
      <c r="AG252" s="11"/>
      <c r="AH252" s="11"/>
      <c r="AI252" s="11"/>
      <c r="AJ252" s="11"/>
      <c r="AK252" s="11"/>
      <c r="AL252" s="11"/>
    </row>
    <row r="253" spans="1:38" x14ac:dyDescent="0.25">
      <c r="A253" s="38">
        <f>+Données!A253</f>
        <v>5853</v>
      </c>
      <c r="B253" s="184" t="str">
        <f>+Données!B253</f>
        <v>Bursins</v>
      </c>
      <c r="C253" s="173">
        <f>+Ecrêtage!C253</f>
        <v>47535.713943661962</v>
      </c>
      <c r="D253" s="171"/>
      <c r="E253" s="173">
        <f>Données!AF253+Données!AG253+Données!AH253</f>
        <v>303113</v>
      </c>
      <c r="F253" s="171">
        <f t="shared" si="24"/>
        <v>380285.71154929569</v>
      </c>
      <c r="G253" s="8">
        <f t="shared" si="25"/>
        <v>0</v>
      </c>
      <c r="H253" s="240">
        <f t="shared" si="26"/>
        <v>0</v>
      </c>
      <c r="J253" s="8">
        <f>Données!AN253</f>
        <v>15102</v>
      </c>
      <c r="K253" s="154">
        <f t="shared" si="27"/>
        <v>47535.713943661962</v>
      </c>
      <c r="L253" s="12">
        <f t="shared" si="28"/>
        <v>0</v>
      </c>
      <c r="M253" s="240">
        <f t="shared" si="29"/>
        <v>0</v>
      </c>
      <c r="O253" s="42">
        <f t="shared" si="30"/>
        <v>0</v>
      </c>
      <c r="P253" s="200"/>
      <c r="Q253" s="164"/>
      <c r="R253" s="164"/>
      <c r="S253" s="164"/>
      <c r="T253" s="164"/>
      <c r="U253" s="164"/>
      <c r="AF253" s="11"/>
      <c r="AG253" s="11"/>
      <c r="AH253" s="11"/>
      <c r="AI253" s="11"/>
      <c r="AJ253" s="11"/>
      <c r="AK253" s="11"/>
      <c r="AL253" s="11"/>
    </row>
    <row r="254" spans="1:38" x14ac:dyDescent="0.25">
      <c r="A254" s="38">
        <f>+Données!A254</f>
        <v>5854</v>
      </c>
      <c r="B254" s="184" t="str">
        <f>+Données!B254</f>
        <v>Burtigny</v>
      </c>
      <c r="C254" s="173">
        <f>+Ecrêtage!C254</f>
        <v>15260.82696390658</v>
      </c>
      <c r="D254" s="171"/>
      <c r="E254" s="173">
        <f>Données!AF254+Données!AG254+Données!AH254</f>
        <v>157194</v>
      </c>
      <c r="F254" s="171">
        <f t="shared" si="24"/>
        <v>122086.61571125264</v>
      </c>
      <c r="G254" s="8">
        <f t="shared" si="25"/>
        <v>35107.384288747358</v>
      </c>
      <c r="H254" s="240">
        <f t="shared" si="26"/>
        <v>-26153.743505593142</v>
      </c>
      <c r="J254" s="8">
        <f>Données!AN254</f>
        <v>23868</v>
      </c>
      <c r="K254" s="154">
        <f t="shared" si="27"/>
        <v>15260.82696390658</v>
      </c>
      <c r="L254" s="12">
        <f t="shared" si="28"/>
        <v>8607.1730360934198</v>
      </c>
      <c r="M254" s="240">
        <f t="shared" si="29"/>
        <v>-6412.0355433713421</v>
      </c>
      <c r="O254" s="42">
        <f t="shared" si="30"/>
        <v>-32565.779048964483</v>
      </c>
      <c r="P254" s="200"/>
      <c r="Q254" s="164"/>
      <c r="R254" s="164"/>
      <c r="S254" s="164"/>
      <c r="T254" s="164"/>
      <c r="U254" s="164"/>
      <c r="AF254" s="11"/>
      <c r="AG254" s="11"/>
      <c r="AH254" s="11"/>
      <c r="AI254" s="11"/>
      <c r="AJ254" s="11"/>
      <c r="AK254" s="11"/>
      <c r="AL254" s="11"/>
    </row>
    <row r="255" spans="1:38" x14ac:dyDescent="0.25">
      <c r="A255" s="38">
        <f>+Données!A255</f>
        <v>5855</v>
      </c>
      <c r="B255" s="184" t="str">
        <f>+Données!B255</f>
        <v>Dully</v>
      </c>
      <c r="C255" s="173">
        <f>+Ecrêtage!C255</f>
        <v>82571.316415094334</v>
      </c>
      <c r="D255" s="171"/>
      <c r="E255" s="173">
        <f>Données!AF255+Données!AG255+Données!AH255</f>
        <v>0</v>
      </c>
      <c r="F255" s="171">
        <f t="shared" si="24"/>
        <v>660570.53132075467</v>
      </c>
      <c r="G255" s="8">
        <f t="shared" si="25"/>
        <v>0</v>
      </c>
      <c r="H255" s="240">
        <f t="shared" si="26"/>
        <v>0</v>
      </c>
      <c r="J255" s="8">
        <f>Données!AN255</f>
        <v>0</v>
      </c>
      <c r="K255" s="154">
        <f t="shared" si="27"/>
        <v>82571.316415094334</v>
      </c>
      <c r="L255" s="12">
        <f t="shared" si="28"/>
        <v>0</v>
      </c>
      <c r="M255" s="240">
        <f t="shared" si="29"/>
        <v>0</v>
      </c>
      <c r="O255" s="42">
        <f t="shared" si="30"/>
        <v>0</v>
      </c>
      <c r="P255" s="200"/>
      <c r="Q255" s="164"/>
      <c r="R255" s="164"/>
      <c r="S255" s="164"/>
      <c r="T255" s="164"/>
      <c r="U255" s="164"/>
      <c r="AF255" s="11"/>
      <c r="AG255" s="11"/>
      <c r="AH255" s="11"/>
      <c r="AI255" s="11"/>
      <c r="AJ255" s="11"/>
      <c r="AK255" s="11"/>
      <c r="AL255" s="11"/>
    </row>
    <row r="256" spans="1:38" x14ac:dyDescent="0.25">
      <c r="A256" s="38">
        <f>+Données!A256</f>
        <v>5856</v>
      </c>
      <c r="B256" s="184" t="str">
        <f>+Données!B256</f>
        <v>Essertines-sur-Rolle</v>
      </c>
      <c r="C256" s="173">
        <f>+Ecrêtage!C256</f>
        <v>36460.735639097751</v>
      </c>
      <c r="D256" s="171"/>
      <c r="E256" s="173">
        <f>Données!AF256+Données!AG256+Données!AH256</f>
        <v>264838</v>
      </c>
      <c r="F256" s="171">
        <f t="shared" si="24"/>
        <v>291685.88511278201</v>
      </c>
      <c r="G256" s="8">
        <f t="shared" si="25"/>
        <v>0</v>
      </c>
      <c r="H256" s="240">
        <f t="shared" si="26"/>
        <v>0</v>
      </c>
      <c r="J256" s="8">
        <f>Données!AN256</f>
        <v>15474</v>
      </c>
      <c r="K256" s="154">
        <f t="shared" si="27"/>
        <v>36460.735639097751</v>
      </c>
      <c r="L256" s="12">
        <f t="shared" si="28"/>
        <v>0</v>
      </c>
      <c r="M256" s="240">
        <f t="shared" si="29"/>
        <v>0</v>
      </c>
      <c r="O256" s="42">
        <f t="shared" si="30"/>
        <v>0</v>
      </c>
      <c r="P256" s="200"/>
      <c r="Q256" s="164"/>
      <c r="R256" s="164"/>
      <c r="S256" s="164"/>
      <c r="T256" s="164"/>
      <c r="U256" s="164"/>
      <c r="AF256" s="11"/>
      <c r="AG256" s="11"/>
      <c r="AH256" s="11"/>
      <c r="AI256" s="11"/>
      <c r="AJ256" s="11"/>
      <c r="AK256" s="11"/>
      <c r="AL256" s="11"/>
    </row>
    <row r="257" spans="1:38" x14ac:dyDescent="0.25">
      <c r="A257" s="38">
        <f>+Données!A257</f>
        <v>5857</v>
      </c>
      <c r="B257" s="184" t="str">
        <f>+Données!B257</f>
        <v>Gilly</v>
      </c>
      <c r="C257" s="173">
        <f>+Ecrêtage!C257</f>
        <v>87016.843255813976</v>
      </c>
      <c r="D257" s="171"/>
      <c r="E257" s="173">
        <f>Données!AF257+Données!AG257+Données!AH257</f>
        <v>0</v>
      </c>
      <c r="F257" s="171">
        <f t="shared" si="24"/>
        <v>696134.74604651181</v>
      </c>
      <c r="G257" s="8">
        <f t="shared" si="25"/>
        <v>0</v>
      </c>
      <c r="H257" s="240">
        <f t="shared" si="26"/>
        <v>0</v>
      </c>
      <c r="J257" s="8">
        <f>Données!AN257</f>
        <v>0</v>
      </c>
      <c r="K257" s="154">
        <f t="shared" si="27"/>
        <v>87016.843255813976</v>
      </c>
      <c r="L257" s="12">
        <f t="shared" si="28"/>
        <v>0</v>
      </c>
      <c r="M257" s="240">
        <f t="shared" si="29"/>
        <v>0</v>
      </c>
      <c r="O257" s="42">
        <f t="shared" si="30"/>
        <v>0</v>
      </c>
      <c r="P257" s="200"/>
      <c r="Q257" s="164"/>
      <c r="R257" s="164"/>
      <c r="S257" s="164"/>
      <c r="T257" s="164"/>
      <c r="U257" s="164"/>
      <c r="AF257" s="11"/>
      <c r="AG257" s="11"/>
      <c r="AH257" s="11"/>
      <c r="AI257" s="11"/>
      <c r="AJ257" s="11"/>
      <c r="AK257" s="11"/>
      <c r="AL257" s="11"/>
    </row>
    <row r="258" spans="1:38" x14ac:dyDescent="0.25">
      <c r="A258" s="38">
        <f>+Données!A258</f>
        <v>5858</v>
      </c>
      <c r="B258" s="184" t="str">
        <f>+Données!B258</f>
        <v>Luins</v>
      </c>
      <c r="C258" s="173">
        <f>+Ecrêtage!C258</f>
        <v>41161.497549857544</v>
      </c>
      <c r="D258" s="171"/>
      <c r="E258" s="173">
        <f>Données!AF258+Données!AG258+Données!AH258</f>
        <v>0</v>
      </c>
      <c r="F258" s="171">
        <f t="shared" si="24"/>
        <v>329291.98039886035</v>
      </c>
      <c r="G258" s="8">
        <f t="shared" si="25"/>
        <v>0</v>
      </c>
      <c r="H258" s="240">
        <f t="shared" si="26"/>
        <v>0</v>
      </c>
      <c r="J258" s="8">
        <f>Données!AN258</f>
        <v>0</v>
      </c>
      <c r="K258" s="154">
        <f t="shared" si="27"/>
        <v>41161.497549857544</v>
      </c>
      <c r="L258" s="12">
        <f t="shared" si="28"/>
        <v>0</v>
      </c>
      <c r="M258" s="240">
        <f t="shared" si="29"/>
        <v>0</v>
      </c>
      <c r="O258" s="42">
        <f t="shared" si="30"/>
        <v>0</v>
      </c>
      <c r="P258" s="200"/>
      <c r="Q258" s="164"/>
      <c r="R258" s="164"/>
      <c r="S258" s="164"/>
      <c r="T258" s="164"/>
      <c r="U258" s="164"/>
      <c r="AF258" s="11"/>
      <c r="AG258" s="11"/>
      <c r="AH258" s="11"/>
      <c r="AI258" s="11"/>
      <c r="AJ258" s="11"/>
      <c r="AK258" s="11"/>
      <c r="AL258" s="11"/>
    </row>
    <row r="259" spans="1:38" x14ac:dyDescent="0.25">
      <c r="A259" s="38">
        <f>+Données!A259</f>
        <v>5859</v>
      </c>
      <c r="B259" s="184" t="str">
        <f>+Données!B259</f>
        <v>Mont-sur-Rolle</v>
      </c>
      <c r="C259" s="173">
        <f>+Ecrêtage!C259</f>
        <v>158432.4612598425</v>
      </c>
      <c r="D259" s="171"/>
      <c r="E259" s="173">
        <f>Données!AF259+Données!AG259+Données!AH259</f>
        <v>1573829</v>
      </c>
      <c r="F259" s="171">
        <f t="shared" si="24"/>
        <v>1267459.69007874</v>
      </c>
      <c r="G259" s="8">
        <f t="shared" si="25"/>
        <v>306369.30992125999</v>
      </c>
      <c r="H259" s="240">
        <f t="shared" si="26"/>
        <v>-228234.15962192442</v>
      </c>
      <c r="J259" s="8">
        <f>Données!AN259</f>
        <v>0</v>
      </c>
      <c r="K259" s="154">
        <f t="shared" si="27"/>
        <v>158432.4612598425</v>
      </c>
      <c r="L259" s="12">
        <f t="shared" si="28"/>
        <v>0</v>
      </c>
      <c r="M259" s="240">
        <f t="shared" si="29"/>
        <v>0</v>
      </c>
      <c r="O259" s="42">
        <f t="shared" si="30"/>
        <v>-228234.15962192442</v>
      </c>
      <c r="P259" s="200"/>
      <c r="Q259" s="164"/>
      <c r="R259" s="164"/>
      <c r="S259" s="164"/>
      <c r="T259" s="164"/>
      <c r="U259" s="164"/>
      <c r="AF259" s="11"/>
      <c r="AG259" s="11"/>
      <c r="AH259" s="11"/>
      <c r="AI259" s="11"/>
      <c r="AJ259" s="11"/>
      <c r="AK259" s="11"/>
      <c r="AL259" s="11"/>
    </row>
    <row r="260" spans="1:38" x14ac:dyDescent="0.25">
      <c r="A260" s="38">
        <f>+Données!A260</f>
        <v>5860</v>
      </c>
      <c r="B260" s="184" t="str">
        <f>+Données!B260</f>
        <v>Perroy</v>
      </c>
      <c r="C260" s="173">
        <f>+Ecrêtage!C260</f>
        <v>132372.96084155163</v>
      </c>
      <c r="D260" s="171"/>
      <c r="E260" s="173">
        <f>Données!AF260+Données!AG260+Données!AH260</f>
        <v>0</v>
      </c>
      <c r="F260" s="171">
        <f t="shared" si="24"/>
        <v>1058983.686732413</v>
      </c>
      <c r="G260" s="8">
        <f t="shared" si="25"/>
        <v>0</v>
      </c>
      <c r="H260" s="240">
        <f t="shared" si="26"/>
        <v>0</v>
      </c>
      <c r="J260" s="8">
        <f>Données!AN260</f>
        <v>0</v>
      </c>
      <c r="K260" s="154">
        <f t="shared" si="27"/>
        <v>132372.96084155163</v>
      </c>
      <c r="L260" s="12">
        <f t="shared" si="28"/>
        <v>0</v>
      </c>
      <c r="M260" s="240">
        <f t="shared" si="29"/>
        <v>0</v>
      </c>
      <c r="O260" s="42">
        <f t="shared" si="30"/>
        <v>0</v>
      </c>
      <c r="P260" s="200"/>
      <c r="Q260" s="164"/>
      <c r="R260" s="164"/>
      <c r="S260" s="164"/>
      <c r="T260" s="164"/>
      <c r="U260" s="164"/>
      <c r="AF260" s="11"/>
      <c r="AG260" s="11"/>
      <c r="AH260" s="11"/>
      <c r="AI260" s="11"/>
      <c r="AJ260" s="11"/>
      <c r="AK260" s="11"/>
      <c r="AL260" s="11"/>
    </row>
    <row r="261" spans="1:38" x14ac:dyDescent="0.25">
      <c r="A261" s="38">
        <f>+Données!A261</f>
        <v>5861</v>
      </c>
      <c r="B261" s="184" t="str">
        <f>+Données!B261</f>
        <v>Rolle</v>
      </c>
      <c r="C261" s="173">
        <f>+Ecrêtage!C261</f>
        <v>796252.79529411776</v>
      </c>
      <c r="D261" s="171"/>
      <c r="E261" s="173">
        <f>Données!AF261+Données!AG261+Données!AH261</f>
        <v>0</v>
      </c>
      <c r="F261" s="171">
        <f t="shared" si="24"/>
        <v>6370022.3623529421</v>
      </c>
      <c r="G261" s="8">
        <f t="shared" si="25"/>
        <v>0</v>
      </c>
      <c r="H261" s="240">
        <f t="shared" si="26"/>
        <v>0</v>
      </c>
      <c r="J261" s="8">
        <f>Données!AN261</f>
        <v>0</v>
      </c>
      <c r="K261" s="154">
        <f t="shared" si="27"/>
        <v>796252.79529411776</v>
      </c>
      <c r="L261" s="12">
        <f t="shared" si="28"/>
        <v>0</v>
      </c>
      <c r="M261" s="240">
        <f t="shared" si="29"/>
        <v>0</v>
      </c>
      <c r="O261" s="42">
        <f t="shared" si="30"/>
        <v>0</v>
      </c>
      <c r="P261" s="200"/>
      <c r="Q261" s="164"/>
      <c r="R261" s="164"/>
      <c r="S261" s="164"/>
      <c r="T261" s="164"/>
      <c r="U261" s="164"/>
      <c r="AF261" s="11"/>
      <c r="AG261" s="11"/>
      <c r="AH261" s="11"/>
      <c r="AI261" s="11"/>
      <c r="AJ261" s="11"/>
      <c r="AK261" s="11"/>
      <c r="AL261" s="11"/>
    </row>
    <row r="262" spans="1:38" x14ac:dyDescent="0.25">
      <c r="A262" s="38">
        <f>+Données!A262</f>
        <v>5862</v>
      </c>
      <c r="B262" s="184" t="str">
        <f>+Données!B262</f>
        <v>Tartegnin</v>
      </c>
      <c r="C262" s="173">
        <f>+Ecrêtage!C262</f>
        <v>10371.38594936709</v>
      </c>
      <c r="D262" s="171"/>
      <c r="E262" s="173">
        <f>Données!AF262+Données!AG262+Données!AH262</f>
        <v>66309</v>
      </c>
      <c r="F262" s="171">
        <f t="shared" si="24"/>
        <v>82971.087594936718</v>
      </c>
      <c r="G262" s="8">
        <f t="shared" si="25"/>
        <v>0</v>
      </c>
      <c r="H262" s="240">
        <f t="shared" si="26"/>
        <v>0</v>
      </c>
      <c r="J262" s="8">
        <f>Données!AN262</f>
        <v>4418</v>
      </c>
      <c r="K262" s="154">
        <f t="shared" si="27"/>
        <v>10371.38594936709</v>
      </c>
      <c r="L262" s="12">
        <f t="shared" si="28"/>
        <v>0</v>
      </c>
      <c r="M262" s="240">
        <f t="shared" si="29"/>
        <v>0</v>
      </c>
      <c r="O262" s="42">
        <f t="shared" si="30"/>
        <v>0</v>
      </c>
      <c r="P262" s="200"/>
      <c r="Q262" s="164"/>
      <c r="R262" s="164"/>
      <c r="S262" s="164"/>
      <c r="T262" s="164"/>
      <c r="U262" s="164"/>
      <c r="AF262" s="11"/>
      <c r="AG262" s="11"/>
      <c r="AH262" s="11"/>
      <c r="AI262" s="11"/>
      <c r="AJ262" s="11"/>
      <c r="AK262" s="11"/>
      <c r="AL262" s="11"/>
    </row>
    <row r="263" spans="1:38" x14ac:dyDescent="0.25">
      <c r="A263" s="38">
        <f>+Données!A263</f>
        <v>5863</v>
      </c>
      <c r="B263" s="184" t="str">
        <f>+Données!B263</f>
        <v>Vinzel</v>
      </c>
      <c r="C263" s="173">
        <f>+Ecrêtage!C263</f>
        <v>23660.86104477612</v>
      </c>
      <c r="D263" s="171"/>
      <c r="E263" s="173">
        <f>Données!AF263+Données!AG263+Données!AH263</f>
        <v>0</v>
      </c>
      <c r="F263" s="171">
        <f t="shared" ref="F263:F305" si="31">+C263*$G$5</f>
        <v>189286.88835820896</v>
      </c>
      <c r="G263" s="8">
        <f t="shared" ref="G263:G305" si="32">IF(E263&gt;F263,E263-F263,0)</f>
        <v>0</v>
      </c>
      <c r="H263" s="240">
        <f t="shared" ref="H263:H305" si="33">-G263*H$5</f>
        <v>0</v>
      </c>
      <c r="J263" s="8">
        <f>Données!AN263</f>
        <v>0</v>
      </c>
      <c r="K263" s="154">
        <f t="shared" ref="K263:K305" si="34">C263*L$5</f>
        <v>23660.86104477612</v>
      </c>
      <c r="L263" s="12">
        <f t="shared" ref="L263:L305" si="35">IF(J263&gt;K263,J263-K263,0)</f>
        <v>0</v>
      </c>
      <c r="M263" s="240">
        <f t="shared" ref="M263:M305" si="36">-L263*M$5</f>
        <v>0</v>
      </c>
      <c r="O263" s="42">
        <f t="shared" ref="O263:O305" si="37">M263+H263</f>
        <v>0</v>
      </c>
      <c r="P263" s="200"/>
      <c r="Q263" s="164"/>
      <c r="R263" s="164"/>
      <c r="S263" s="164"/>
      <c r="T263" s="164"/>
      <c r="U263" s="164"/>
      <c r="AF263" s="11"/>
      <c r="AG263" s="11"/>
      <c r="AH263" s="11"/>
      <c r="AI263" s="11"/>
      <c r="AJ263" s="11"/>
      <c r="AK263" s="11"/>
      <c r="AL263" s="11"/>
    </row>
    <row r="264" spans="1:38" x14ac:dyDescent="0.25">
      <c r="A264" s="38">
        <f>+Données!A264</f>
        <v>5871</v>
      </c>
      <c r="B264" s="184" t="str">
        <f>+Données!B264</f>
        <v>L'Abbaye</v>
      </c>
      <c r="C264" s="173">
        <f>+Ecrêtage!C264</f>
        <v>50235.576326002578</v>
      </c>
      <c r="D264" s="171"/>
      <c r="E264" s="173">
        <f>Données!AF264+Données!AG264+Données!AH264</f>
        <v>973823</v>
      </c>
      <c r="F264" s="171">
        <f t="shared" si="31"/>
        <v>401884.61060802062</v>
      </c>
      <c r="G264" s="8">
        <f t="shared" si="32"/>
        <v>571938.38939197944</v>
      </c>
      <c r="H264" s="240">
        <f t="shared" si="33"/>
        <v>-426073.60930487601</v>
      </c>
      <c r="J264" s="8">
        <f>Données!AN264</f>
        <v>-50370</v>
      </c>
      <c r="K264" s="154">
        <f t="shared" si="34"/>
        <v>50235.576326002578</v>
      </c>
      <c r="L264" s="12">
        <f t="shared" si="35"/>
        <v>0</v>
      </c>
      <c r="M264" s="240">
        <f t="shared" si="36"/>
        <v>0</v>
      </c>
      <c r="O264" s="42">
        <f t="shared" si="37"/>
        <v>-426073.60930487601</v>
      </c>
      <c r="P264" s="200"/>
      <c r="Q264" s="164"/>
      <c r="R264" s="164"/>
      <c r="S264" s="164"/>
      <c r="T264" s="164"/>
      <c r="U264" s="164"/>
      <c r="AF264" s="11"/>
      <c r="AG264" s="11"/>
      <c r="AH264" s="11"/>
      <c r="AI264" s="11"/>
      <c r="AJ264" s="11"/>
      <c r="AK264" s="11"/>
      <c r="AL264" s="11"/>
    </row>
    <row r="265" spans="1:38" x14ac:dyDescent="0.25">
      <c r="A265" s="38">
        <f>+Données!A265</f>
        <v>5872</v>
      </c>
      <c r="B265" s="184" t="str">
        <f>+Données!B265</f>
        <v>Le Chenit</v>
      </c>
      <c r="C265" s="173">
        <f>+Ecrêtage!C265</f>
        <v>316919.42630555143</v>
      </c>
      <c r="D265" s="171"/>
      <c r="E265" s="173">
        <f>Données!AF265+Données!AG265+Données!AH265</f>
        <v>3912325</v>
      </c>
      <c r="F265" s="171">
        <f t="shared" si="31"/>
        <v>2535355.4104444114</v>
      </c>
      <c r="G265" s="8">
        <f t="shared" si="32"/>
        <v>1376969.5895555886</v>
      </c>
      <c r="H265" s="240">
        <f t="shared" si="33"/>
        <v>-1025793.011636632</v>
      </c>
      <c r="J265" s="8">
        <f>Données!AN265</f>
        <v>534298</v>
      </c>
      <c r="K265" s="154">
        <f t="shared" si="34"/>
        <v>316919.42630555143</v>
      </c>
      <c r="L265" s="12">
        <f t="shared" si="35"/>
        <v>217378.57369444857</v>
      </c>
      <c r="M265" s="240">
        <f t="shared" si="36"/>
        <v>-161939.24939712838</v>
      </c>
      <c r="O265" s="42">
        <f t="shared" si="37"/>
        <v>-1187732.2610337604</v>
      </c>
      <c r="P265" s="200"/>
      <c r="Q265" s="164"/>
      <c r="R265" s="164"/>
      <c r="S265" s="164"/>
      <c r="T265" s="164"/>
      <c r="U265" s="164"/>
      <c r="AF265" s="11"/>
      <c r="AG265" s="11"/>
      <c r="AH265" s="11"/>
      <c r="AI265" s="11"/>
      <c r="AJ265" s="11"/>
      <c r="AK265" s="11"/>
      <c r="AL265" s="11"/>
    </row>
    <row r="266" spans="1:38" x14ac:dyDescent="0.25">
      <c r="A266" s="38">
        <f>+Données!A266</f>
        <v>5873</v>
      </c>
      <c r="B266" s="184" t="str">
        <f>+Données!B266</f>
        <v>Le Lieu</v>
      </c>
      <c r="C266" s="173">
        <f>+Ecrêtage!C266</f>
        <v>35203.466500000002</v>
      </c>
      <c r="D266" s="171"/>
      <c r="E266" s="173">
        <f>Données!AF266+Données!AG266+Données!AH266</f>
        <v>1013573</v>
      </c>
      <c r="F266" s="171">
        <f t="shared" si="31"/>
        <v>281627.73200000002</v>
      </c>
      <c r="G266" s="8">
        <f t="shared" si="32"/>
        <v>731945.26799999992</v>
      </c>
      <c r="H266" s="240">
        <f t="shared" si="33"/>
        <v>-545273.00131386868</v>
      </c>
      <c r="J266" s="8">
        <f>Données!AN266</f>
        <v>186223</v>
      </c>
      <c r="K266" s="154">
        <f t="shared" si="34"/>
        <v>35203.466500000002</v>
      </c>
      <c r="L266" s="12">
        <f t="shared" si="35"/>
        <v>151019.53349999999</v>
      </c>
      <c r="M266" s="240">
        <f t="shared" si="36"/>
        <v>-112504.14189243087</v>
      </c>
      <c r="O266" s="42">
        <f t="shared" si="37"/>
        <v>-657777.14320629952</v>
      </c>
      <c r="P266" s="200"/>
      <c r="Q266" s="164"/>
      <c r="R266" s="164"/>
      <c r="S266" s="164"/>
      <c r="T266" s="164"/>
      <c r="U266" s="164"/>
      <c r="AF266" s="11"/>
      <c r="AG266" s="11"/>
      <c r="AH266" s="11"/>
      <c r="AI266" s="11"/>
      <c r="AJ266" s="11"/>
      <c r="AK266" s="11"/>
      <c r="AL266" s="11"/>
    </row>
    <row r="267" spans="1:38" x14ac:dyDescent="0.25">
      <c r="A267" s="38">
        <f>+Données!A267</f>
        <v>5882</v>
      </c>
      <c r="B267" s="184" t="str">
        <f>+Données!B267</f>
        <v>Chardonne</v>
      </c>
      <c r="C267" s="173">
        <f>+Ecrêtage!C267</f>
        <v>201755.16911764705</v>
      </c>
      <c r="D267" s="171"/>
      <c r="E267" s="173">
        <f>Données!AF267+Données!AG267+Données!AH267</f>
        <v>1975410</v>
      </c>
      <c r="F267" s="171">
        <f t="shared" si="31"/>
        <v>1614041.3529411764</v>
      </c>
      <c r="G267" s="8">
        <f t="shared" si="32"/>
        <v>361368.64705882361</v>
      </c>
      <c r="H267" s="240">
        <f t="shared" si="33"/>
        <v>-269206.69533243967</v>
      </c>
      <c r="J267" s="8">
        <f>Données!AN267</f>
        <v>1503</v>
      </c>
      <c r="K267" s="154">
        <f t="shared" si="34"/>
        <v>201755.16911764705</v>
      </c>
      <c r="L267" s="12">
        <f t="shared" si="35"/>
        <v>0</v>
      </c>
      <c r="M267" s="240">
        <f t="shared" si="36"/>
        <v>0</v>
      </c>
      <c r="O267" s="42">
        <f t="shared" si="37"/>
        <v>-269206.69533243967</v>
      </c>
      <c r="P267" s="200"/>
      <c r="Q267" s="164"/>
      <c r="R267" s="164"/>
      <c r="S267" s="164"/>
      <c r="T267" s="164"/>
      <c r="U267" s="164"/>
      <c r="AF267" s="11"/>
      <c r="AG267" s="11"/>
      <c r="AH267" s="11"/>
      <c r="AI267" s="11"/>
      <c r="AJ267" s="11"/>
      <c r="AK267" s="11"/>
      <c r="AL267" s="11"/>
    </row>
    <row r="268" spans="1:38" x14ac:dyDescent="0.25">
      <c r="A268" s="38">
        <f>+Données!A268</f>
        <v>5883</v>
      </c>
      <c r="B268" s="184" t="str">
        <f>+Données!B268</f>
        <v>Corseaux</v>
      </c>
      <c r="C268" s="173">
        <f>+Ecrêtage!C268</f>
        <v>180895.17037037041</v>
      </c>
      <c r="D268" s="171"/>
      <c r="E268" s="173">
        <f>Données!AF268+Données!AG268+Données!AH268</f>
        <v>1277807</v>
      </c>
      <c r="F268" s="171">
        <f t="shared" si="31"/>
        <v>1447161.3629629633</v>
      </c>
      <c r="G268" s="8">
        <f t="shared" si="32"/>
        <v>0</v>
      </c>
      <c r="H268" s="240">
        <f t="shared" si="33"/>
        <v>0</v>
      </c>
      <c r="J268" s="8">
        <f>Données!AN268</f>
        <v>2162</v>
      </c>
      <c r="K268" s="154">
        <f t="shared" si="34"/>
        <v>180895.17037037041</v>
      </c>
      <c r="L268" s="12">
        <f t="shared" si="35"/>
        <v>0</v>
      </c>
      <c r="M268" s="240">
        <f t="shared" si="36"/>
        <v>0</v>
      </c>
      <c r="O268" s="42">
        <f t="shared" si="37"/>
        <v>0</v>
      </c>
      <c r="P268" s="200"/>
      <c r="Q268" s="164"/>
      <c r="R268" s="164"/>
      <c r="S268" s="164"/>
      <c r="T268" s="164"/>
      <c r="U268" s="164"/>
      <c r="AF268" s="11"/>
      <c r="AG268" s="11"/>
      <c r="AH268" s="11"/>
      <c r="AI268" s="11"/>
      <c r="AJ268" s="11"/>
      <c r="AK268" s="11"/>
      <c r="AL268" s="11"/>
    </row>
    <row r="269" spans="1:38" x14ac:dyDescent="0.25">
      <c r="A269" s="38">
        <f>+Données!A269</f>
        <v>5884</v>
      </c>
      <c r="B269" s="184" t="str">
        <f>+Données!B269</f>
        <v>Corsier-sur-Vevey</v>
      </c>
      <c r="C269" s="173">
        <f>+Ecrêtage!C269</f>
        <v>128040.06408268733</v>
      </c>
      <c r="D269" s="171"/>
      <c r="E269" s="173">
        <f>Données!AF269+Données!AG269+Données!AH269</f>
        <v>2909178</v>
      </c>
      <c r="F269" s="171">
        <f t="shared" si="31"/>
        <v>1024320.5126614986</v>
      </c>
      <c r="G269" s="8">
        <f t="shared" si="32"/>
        <v>1884857.4873385015</v>
      </c>
      <c r="H269" s="240">
        <f t="shared" si="33"/>
        <v>-1404151.2994247298</v>
      </c>
      <c r="J269" s="8">
        <f>Données!AN269</f>
        <v>32204</v>
      </c>
      <c r="K269" s="154">
        <f t="shared" si="34"/>
        <v>128040.06408268733</v>
      </c>
      <c r="L269" s="12">
        <f t="shared" si="35"/>
        <v>0</v>
      </c>
      <c r="M269" s="240">
        <f t="shared" si="36"/>
        <v>0</v>
      </c>
      <c r="O269" s="42">
        <f t="shared" si="37"/>
        <v>-1404151.2994247298</v>
      </c>
      <c r="P269" s="200"/>
      <c r="Q269" s="164"/>
      <c r="R269" s="164"/>
      <c r="S269" s="164"/>
      <c r="T269" s="164"/>
      <c r="U269" s="164"/>
      <c r="AF269" s="11"/>
      <c r="AG269" s="11"/>
      <c r="AH269" s="11"/>
      <c r="AI269" s="11"/>
      <c r="AJ269" s="11"/>
      <c r="AK269" s="11"/>
      <c r="AL269" s="11"/>
    </row>
    <row r="270" spans="1:38" x14ac:dyDescent="0.25">
      <c r="A270" s="38">
        <f>+Données!A270</f>
        <v>5885</v>
      </c>
      <c r="B270" s="184" t="str">
        <f>+Données!B270</f>
        <v>Jongny</v>
      </c>
      <c r="C270" s="173">
        <f>+Ecrêtage!C270</f>
        <v>104088.6996882494</v>
      </c>
      <c r="D270" s="171"/>
      <c r="E270" s="173">
        <f>Données!AF270+Données!AG270+Données!AH270</f>
        <v>915101</v>
      </c>
      <c r="F270" s="171">
        <f t="shared" si="31"/>
        <v>832709.59750599519</v>
      </c>
      <c r="G270" s="8">
        <f t="shared" si="32"/>
        <v>82391.402494004811</v>
      </c>
      <c r="H270" s="240">
        <f t="shared" si="33"/>
        <v>-61378.643027670987</v>
      </c>
      <c r="J270" s="8">
        <f>Données!AN270</f>
        <v>-7847</v>
      </c>
      <c r="K270" s="154">
        <f t="shared" si="34"/>
        <v>104088.6996882494</v>
      </c>
      <c r="L270" s="12">
        <f t="shared" si="35"/>
        <v>0</v>
      </c>
      <c r="M270" s="240">
        <f t="shared" si="36"/>
        <v>0</v>
      </c>
      <c r="O270" s="42">
        <f t="shared" si="37"/>
        <v>-61378.643027670987</v>
      </c>
      <c r="P270" s="200"/>
      <c r="Q270" s="164"/>
      <c r="R270" s="164"/>
      <c r="S270" s="164"/>
      <c r="T270" s="164"/>
      <c r="U270" s="164"/>
      <c r="AF270" s="11"/>
      <c r="AG270" s="11"/>
      <c r="AH270" s="11"/>
      <c r="AI270" s="11"/>
      <c r="AJ270" s="11"/>
      <c r="AK270" s="11"/>
      <c r="AL270" s="11"/>
    </row>
    <row r="271" spans="1:38" x14ac:dyDescent="0.25">
      <c r="A271" s="38">
        <f>+Données!A271</f>
        <v>5886</v>
      </c>
      <c r="B271" s="184" t="str">
        <f>+Données!B271</f>
        <v>Montreux</v>
      </c>
      <c r="C271" s="173">
        <f>+Ecrêtage!C271</f>
        <v>1153058.3310769231</v>
      </c>
      <c r="D271" s="171"/>
      <c r="E271" s="173">
        <f>Données!AF271+Données!AG271+Données!AH271</f>
        <v>17270869</v>
      </c>
      <c r="F271" s="171">
        <f t="shared" si="31"/>
        <v>9224466.6486153845</v>
      </c>
      <c r="G271" s="8">
        <f t="shared" si="32"/>
        <v>8046402.3513846155</v>
      </c>
      <c r="H271" s="240">
        <f t="shared" si="33"/>
        <v>-5994281.4739509458</v>
      </c>
      <c r="J271" s="8">
        <f>Données!AN271</f>
        <v>1892914</v>
      </c>
      <c r="K271" s="154">
        <f t="shared" si="34"/>
        <v>1153058.3310769231</v>
      </c>
      <c r="L271" s="12">
        <f t="shared" si="35"/>
        <v>739855.66892307694</v>
      </c>
      <c r="M271" s="240">
        <f t="shared" si="36"/>
        <v>-551165.96659624309</v>
      </c>
      <c r="O271" s="42">
        <f t="shared" si="37"/>
        <v>-6545447.4405471887</v>
      </c>
      <c r="P271" s="200"/>
      <c r="Q271" s="164"/>
      <c r="R271" s="164"/>
      <c r="S271" s="164"/>
      <c r="T271" s="164"/>
      <c r="U271" s="164"/>
      <c r="AF271" s="11"/>
      <c r="AG271" s="11"/>
      <c r="AH271" s="11"/>
      <c r="AI271" s="11"/>
      <c r="AJ271" s="11"/>
      <c r="AK271" s="11"/>
      <c r="AL271" s="11"/>
    </row>
    <row r="272" spans="1:38" x14ac:dyDescent="0.25">
      <c r="A272" s="38">
        <f>+Données!A272</f>
        <v>5889</v>
      </c>
      <c r="B272" s="184" t="str">
        <f>+Données!B272</f>
        <v>La Tour-de-Peilz</v>
      </c>
      <c r="C272" s="173">
        <f>+Ecrêtage!C272</f>
        <v>709087.81846354157</v>
      </c>
      <c r="D272" s="171"/>
      <c r="E272" s="173">
        <f>Données!AF272+Données!AG272+Données!AH272</f>
        <v>6691667</v>
      </c>
      <c r="F272" s="171">
        <f t="shared" si="31"/>
        <v>5672702.5477083325</v>
      </c>
      <c r="G272" s="8">
        <f t="shared" si="32"/>
        <v>1018964.4522916675</v>
      </c>
      <c r="H272" s="240">
        <f t="shared" si="33"/>
        <v>-759092.01059719117</v>
      </c>
      <c r="J272" s="8">
        <f>Données!AN272</f>
        <v>59082</v>
      </c>
      <c r="K272" s="154">
        <f t="shared" si="34"/>
        <v>709087.81846354157</v>
      </c>
      <c r="L272" s="12">
        <f t="shared" si="35"/>
        <v>0</v>
      </c>
      <c r="M272" s="240">
        <f t="shared" si="36"/>
        <v>0</v>
      </c>
      <c r="O272" s="42">
        <f t="shared" si="37"/>
        <v>-759092.01059719117</v>
      </c>
      <c r="P272" s="200"/>
      <c r="Q272" s="164"/>
      <c r="R272" s="164"/>
      <c r="S272" s="164"/>
      <c r="T272" s="164"/>
      <c r="U272" s="164"/>
      <c r="AF272" s="11"/>
      <c r="AG272" s="11"/>
      <c r="AH272" s="11"/>
      <c r="AI272" s="11"/>
      <c r="AJ272" s="11"/>
      <c r="AK272" s="11"/>
      <c r="AL272" s="11"/>
    </row>
    <row r="273" spans="1:38" x14ac:dyDescent="0.25">
      <c r="A273" s="38">
        <f>+Données!A273</f>
        <v>5890</v>
      </c>
      <c r="B273" s="184" t="str">
        <f>+Données!B273</f>
        <v>Vevey</v>
      </c>
      <c r="C273" s="173">
        <f>+Ecrêtage!C273</f>
        <v>944872.98138702475</v>
      </c>
      <c r="D273" s="171"/>
      <c r="E273" s="173">
        <f>Données!AF273+Données!AG273+Données!AH273</f>
        <v>12468610</v>
      </c>
      <c r="F273" s="171">
        <f t="shared" si="31"/>
        <v>7558983.851096198</v>
      </c>
      <c r="G273" s="8">
        <f t="shared" si="32"/>
        <v>4909626.148903802</v>
      </c>
      <c r="H273" s="240">
        <f t="shared" si="33"/>
        <v>-3657495.5841395329</v>
      </c>
      <c r="J273" s="8">
        <f>Données!AN273</f>
        <v>100000</v>
      </c>
      <c r="K273" s="154">
        <f t="shared" si="34"/>
        <v>944872.98138702475</v>
      </c>
      <c r="L273" s="12">
        <f t="shared" si="35"/>
        <v>0</v>
      </c>
      <c r="M273" s="240">
        <f t="shared" si="36"/>
        <v>0</v>
      </c>
      <c r="O273" s="42">
        <f t="shared" si="37"/>
        <v>-3657495.5841395329</v>
      </c>
      <c r="P273" s="200"/>
      <c r="Q273" s="164"/>
      <c r="R273" s="164"/>
      <c r="S273" s="164"/>
      <c r="T273" s="164"/>
      <c r="U273" s="164"/>
      <c r="AF273" s="11"/>
      <c r="AG273" s="11"/>
      <c r="AH273" s="11"/>
      <c r="AI273" s="11"/>
      <c r="AJ273" s="11"/>
      <c r="AK273" s="11"/>
      <c r="AL273" s="11"/>
    </row>
    <row r="274" spans="1:38" x14ac:dyDescent="0.25">
      <c r="A274" s="38">
        <f>+Données!A274</f>
        <v>5891</v>
      </c>
      <c r="B274" s="184" t="str">
        <f>+Données!B274</f>
        <v>Veytaux</v>
      </c>
      <c r="C274" s="173">
        <f>+Ecrêtage!C274</f>
        <v>41112.713045563549</v>
      </c>
      <c r="D274" s="171"/>
      <c r="E274" s="173">
        <f>Données!AF274+Données!AG274+Données!AH274</f>
        <v>854139</v>
      </c>
      <c r="F274" s="171">
        <f t="shared" si="31"/>
        <v>328901.70436450839</v>
      </c>
      <c r="G274" s="8">
        <f t="shared" si="32"/>
        <v>525237.29563549161</v>
      </c>
      <c r="H274" s="240">
        <f t="shared" si="33"/>
        <v>-391282.96761274268</v>
      </c>
      <c r="J274" s="8">
        <f>Données!AN274</f>
        <v>449637</v>
      </c>
      <c r="K274" s="154">
        <f t="shared" si="34"/>
        <v>41112.713045563549</v>
      </c>
      <c r="L274" s="12">
        <f t="shared" si="35"/>
        <v>408524.28695443645</v>
      </c>
      <c r="M274" s="240">
        <f t="shared" si="36"/>
        <v>-304335.95761323196</v>
      </c>
      <c r="O274" s="42">
        <f t="shared" si="37"/>
        <v>-695618.92522597464</v>
      </c>
      <c r="P274" s="200"/>
      <c r="Q274" s="164"/>
      <c r="R274" s="164"/>
      <c r="S274" s="164"/>
      <c r="T274" s="164"/>
      <c r="U274" s="164"/>
      <c r="AF274" s="11"/>
      <c r="AG274" s="11"/>
      <c r="AH274" s="11"/>
      <c r="AI274" s="11"/>
      <c r="AJ274" s="11"/>
      <c r="AK274" s="11"/>
      <c r="AL274" s="11"/>
    </row>
    <row r="275" spans="1:38" s="158" customFormat="1" x14ac:dyDescent="0.25">
      <c r="A275" s="38">
        <f>+Données!A275</f>
        <v>5892</v>
      </c>
      <c r="B275" s="184" t="str">
        <f>+Données!B275</f>
        <v>Blonay-St-Légier</v>
      </c>
      <c r="C275" s="173">
        <f>+Ecrêtage!C275</f>
        <v>749721.2351824817</v>
      </c>
      <c r="D275" s="171"/>
      <c r="E275" s="173">
        <f>Données!AF275+Données!AG275+Données!AH275</f>
        <v>8187833</v>
      </c>
      <c r="F275" s="171">
        <f t="shared" si="31"/>
        <v>5997769.8814598536</v>
      </c>
      <c r="G275" s="8">
        <f t="shared" si="32"/>
        <v>2190063.1185401464</v>
      </c>
      <c r="H275" s="240">
        <f t="shared" si="33"/>
        <v>-1631518.5600915677</v>
      </c>
      <c r="I275" s="174"/>
      <c r="J275" s="8">
        <f>Données!AN275</f>
        <v>1297072</v>
      </c>
      <c r="K275" s="154">
        <f t="shared" si="34"/>
        <v>749721.2351824817</v>
      </c>
      <c r="L275" s="174">
        <f t="shared" si="35"/>
        <v>547350.7648175183</v>
      </c>
      <c r="M275" s="240">
        <f t="shared" si="36"/>
        <v>-407756.70989581384</v>
      </c>
      <c r="N275" s="174"/>
      <c r="O275" s="42">
        <f t="shared" si="37"/>
        <v>-2039275.2699873815</v>
      </c>
      <c r="P275" s="200"/>
      <c r="Q275" s="164"/>
      <c r="R275" s="164"/>
      <c r="S275" s="164"/>
      <c r="T275" s="164"/>
      <c r="U275" s="164"/>
    </row>
    <row r="276" spans="1:38" x14ac:dyDescent="0.25">
      <c r="A276" s="38">
        <f>+Données!A276</f>
        <v>5902</v>
      </c>
      <c r="B276" s="184" t="str">
        <f>+Données!B276</f>
        <v>Belmont-sur-Yverdon</v>
      </c>
      <c r="C276" s="173">
        <f>+Ecrêtage!C276</f>
        <v>11917.701714285715</v>
      </c>
      <c r="D276" s="171"/>
      <c r="E276" s="173">
        <f>Données!AF276+Données!AG276+Données!AH276</f>
        <v>70886</v>
      </c>
      <c r="F276" s="171">
        <f t="shared" si="31"/>
        <v>95341.613714285719</v>
      </c>
      <c r="G276" s="8">
        <f t="shared" si="32"/>
        <v>0</v>
      </c>
      <c r="H276" s="240">
        <f t="shared" si="33"/>
        <v>0</v>
      </c>
      <c r="J276" s="8">
        <f>Données!AN276</f>
        <v>20377</v>
      </c>
      <c r="K276" s="154">
        <f t="shared" si="34"/>
        <v>11917.701714285715</v>
      </c>
      <c r="L276" s="12">
        <f t="shared" si="35"/>
        <v>8459.2982857142852</v>
      </c>
      <c r="M276" s="240">
        <f t="shared" si="36"/>
        <v>-6301.874152236056</v>
      </c>
      <c r="O276" s="42">
        <f t="shared" si="37"/>
        <v>-6301.874152236056</v>
      </c>
      <c r="P276" s="200"/>
      <c r="Q276" s="164"/>
      <c r="R276" s="164"/>
      <c r="S276" s="164"/>
      <c r="T276" s="164"/>
      <c r="U276" s="164"/>
      <c r="AF276" s="11"/>
      <c r="AG276" s="11"/>
      <c r="AH276" s="11"/>
      <c r="AI276" s="11"/>
      <c r="AJ276" s="11"/>
      <c r="AK276" s="11"/>
      <c r="AL276" s="11"/>
    </row>
    <row r="277" spans="1:38" x14ac:dyDescent="0.25">
      <c r="A277" s="38">
        <f>+Données!A277</f>
        <v>5903</v>
      </c>
      <c r="B277" s="184" t="str">
        <f>+Données!B277</f>
        <v>Bioley-Magnoux</v>
      </c>
      <c r="C277" s="173">
        <f>+Ecrêtage!C277</f>
        <v>6275.3681349206354</v>
      </c>
      <c r="D277" s="171"/>
      <c r="E277" s="173">
        <f>Données!AF277+Données!AG277+Données!AH277</f>
        <v>220240</v>
      </c>
      <c r="F277" s="171">
        <f t="shared" si="31"/>
        <v>50202.945079365083</v>
      </c>
      <c r="G277" s="8">
        <f t="shared" si="32"/>
        <v>170037.05492063492</v>
      </c>
      <c r="H277" s="240">
        <f t="shared" si="33"/>
        <v>-126671.51401154455</v>
      </c>
      <c r="J277" s="8">
        <f>Données!AN277</f>
        <v>27357</v>
      </c>
      <c r="K277" s="154">
        <f t="shared" si="34"/>
        <v>6275.3681349206354</v>
      </c>
      <c r="L277" s="12">
        <f t="shared" si="35"/>
        <v>21081.631865079366</v>
      </c>
      <c r="M277" s="240">
        <f t="shared" si="36"/>
        <v>-15705.060449500601</v>
      </c>
      <c r="O277" s="42">
        <f t="shared" si="37"/>
        <v>-142376.57446104515</v>
      </c>
      <c r="P277" s="200"/>
      <c r="Q277" s="164"/>
      <c r="R277" s="164"/>
      <c r="S277" s="164"/>
      <c r="T277" s="164"/>
      <c r="U277" s="164"/>
      <c r="AF277" s="11"/>
      <c r="AG277" s="11"/>
      <c r="AH277" s="11"/>
      <c r="AI277" s="11"/>
      <c r="AJ277" s="11"/>
      <c r="AK277" s="11"/>
      <c r="AL277" s="11"/>
    </row>
    <row r="278" spans="1:38" x14ac:dyDescent="0.25">
      <c r="A278" s="38">
        <f>+Données!A278</f>
        <v>5904</v>
      </c>
      <c r="B278" s="184" t="str">
        <f>+Données!B278</f>
        <v>Chamblon</v>
      </c>
      <c r="C278" s="173">
        <f>+Ecrêtage!C278</f>
        <v>18889.911515151514</v>
      </c>
      <c r="D278" s="171"/>
      <c r="E278" s="173">
        <f>Données!AF278+Données!AG278+Données!AH278</f>
        <v>107227</v>
      </c>
      <c r="F278" s="171">
        <f t="shared" si="31"/>
        <v>151119.29212121211</v>
      </c>
      <c r="G278" s="8">
        <f t="shared" si="32"/>
        <v>0</v>
      </c>
      <c r="H278" s="240">
        <f t="shared" si="33"/>
        <v>0</v>
      </c>
      <c r="J278" s="8">
        <f>Données!AN278</f>
        <v>1940</v>
      </c>
      <c r="K278" s="154">
        <f t="shared" si="34"/>
        <v>18889.911515151514</v>
      </c>
      <c r="L278" s="12">
        <f t="shared" si="35"/>
        <v>0</v>
      </c>
      <c r="M278" s="240">
        <f t="shared" si="36"/>
        <v>0</v>
      </c>
      <c r="O278" s="42">
        <f t="shared" si="37"/>
        <v>0</v>
      </c>
      <c r="P278" s="200"/>
      <c r="Q278" s="164"/>
      <c r="R278" s="164"/>
      <c r="S278" s="164"/>
      <c r="T278" s="164"/>
      <c r="U278" s="164"/>
      <c r="AF278" s="11"/>
      <c r="AG278" s="11"/>
      <c r="AH278" s="11"/>
      <c r="AI278" s="11"/>
      <c r="AJ278" s="11"/>
      <c r="AK278" s="11"/>
      <c r="AL278" s="11"/>
    </row>
    <row r="279" spans="1:38" x14ac:dyDescent="0.25">
      <c r="A279" s="38">
        <f>+Données!A279</f>
        <v>5905</v>
      </c>
      <c r="B279" s="184" t="str">
        <f>+Données!B279</f>
        <v>Champvent</v>
      </c>
      <c r="C279" s="173">
        <f>+Ecrêtage!C279</f>
        <v>21532.633285714288</v>
      </c>
      <c r="D279" s="171"/>
      <c r="E279" s="173">
        <f>Données!AF279+Données!AG279+Données!AH279</f>
        <v>282318</v>
      </c>
      <c r="F279" s="171">
        <f t="shared" si="31"/>
        <v>172261.0662857143</v>
      </c>
      <c r="G279" s="8">
        <f t="shared" si="32"/>
        <v>110056.9337142857</v>
      </c>
      <c r="H279" s="240">
        <f t="shared" si="33"/>
        <v>-81988.472615947103</v>
      </c>
      <c r="J279" s="8">
        <f>Données!AN279</f>
        <v>-67192</v>
      </c>
      <c r="K279" s="154">
        <f t="shared" si="34"/>
        <v>21532.633285714288</v>
      </c>
      <c r="L279" s="12">
        <f t="shared" si="35"/>
        <v>0</v>
      </c>
      <c r="M279" s="240">
        <f t="shared" si="36"/>
        <v>0</v>
      </c>
      <c r="O279" s="42">
        <f t="shared" si="37"/>
        <v>-81988.472615947103</v>
      </c>
      <c r="P279" s="200"/>
      <c r="Q279" s="164"/>
      <c r="R279" s="164"/>
      <c r="S279" s="164"/>
      <c r="T279" s="164"/>
      <c r="U279" s="164"/>
      <c r="AF279" s="11"/>
      <c r="AG279" s="11"/>
      <c r="AH279" s="11"/>
      <c r="AI279" s="11"/>
      <c r="AJ279" s="11"/>
      <c r="AK279" s="11"/>
      <c r="AL279" s="11"/>
    </row>
    <row r="280" spans="1:38" x14ac:dyDescent="0.25">
      <c r="A280" s="38">
        <f>+Données!A280</f>
        <v>5907</v>
      </c>
      <c r="B280" s="184" t="str">
        <f>+Données!B280</f>
        <v>Chavannes-le-Chêne</v>
      </c>
      <c r="C280" s="173">
        <f>+Ecrêtage!C280</f>
        <v>8453.4518666666645</v>
      </c>
      <c r="D280" s="171"/>
      <c r="E280" s="173">
        <f>Données!AF280+Données!AG280+Données!AH280</f>
        <v>124439</v>
      </c>
      <c r="F280" s="171">
        <f t="shared" si="31"/>
        <v>67627.614933333316</v>
      </c>
      <c r="G280" s="8">
        <f t="shared" si="32"/>
        <v>56811.385066666684</v>
      </c>
      <c r="H280" s="240">
        <f t="shared" si="33"/>
        <v>-42322.446497596931</v>
      </c>
      <c r="J280" s="8">
        <f>Données!AN280</f>
        <v>12960</v>
      </c>
      <c r="K280" s="154">
        <f t="shared" si="34"/>
        <v>8453.4518666666645</v>
      </c>
      <c r="L280" s="12">
        <f t="shared" si="35"/>
        <v>4506.5481333333355</v>
      </c>
      <c r="M280" s="240">
        <f t="shared" si="36"/>
        <v>-3357.216903584218</v>
      </c>
      <c r="O280" s="42">
        <f t="shared" si="37"/>
        <v>-45679.663401181147</v>
      </c>
      <c r="P280" s="200"/>
      <c r="Q280" s="164"/>
      <c r="R280" s="164"/>
      <c r="S280" s="164"/>
      <c r="T280" s="164"/>
      <c r="U280" s="164"/>
      <c r="AF280" s="11"/>
      <c r="AG280" s="11"/>
      <c r="AH280" s="11"/>
      <c r="AI280" s="11"/>
      <c r="AJ280" s="11"/>
      <c r="AK280" s="11"/>
      <c r="AL280" s="11"/>
    </row>
    <row r="281" spans="1:38" x14ac:dyDescent="0.25">
      <c r="A281" s="38">
        <f>+Données!A281</f>
        <v>5908</v>
      </c>
      <c r="B281" s="184" t="str">
        <f>+Données!B281</f>
        <v>Chêne-Pâquier</v>
      </c>
      <c r="C281" s="173">
        <f>+Ecrêtage!C281</f>
        <v>4917.7774666666683</v>
      </c>
      <c r="D281" s="171"/>
      <c r="E281" s="173">
        <f>Données!AF281+Données!AG281+Données!AH281</f>
        <v>80171</v>
      </c>
      <c r="F281" s="171">
        <f t="shared" si="31"/>
        <v>39342.219733333346</v>
      </c>
      <c r="G281" s="8">
        <f t="shared" si="32"/>
        <v>40828.780266666654</v>
      </c>
      <c r="H281" s="240">
        <f t="shared" si="33"/>
        <v>-30415.978529134754</v>
      </c>
      <c r="J281" s="8">
        <f>Données!AN281</f>
        <v>16827</v>
      </c>
      <c r="K281" s="154">
        <f t="shared" si="34"/>
        <v>4917.7774666666683</v>
      </c>
      <c r="L281" s="12">
        <f t="shared" si="35"/>
        <v>11909.222533333332</v>
      </c>
      <c r="M281" s="240">
        <f t="shared" si="36"/>
        <v>-8871.9441165448188</v>
      </c>
      <c r="O281" s="42">
        <f t="shared" si="37"/>
        <v>-39287.922645679573</v>
      </c>
      <c r="P281" s="200"/>
      <c r="Q281" s="164"/>
      <c r="R281" s="164"/>
      <c r="S281" s="164"/>
      <c r="T281" s="164"/>
      <c r="U281" s="164"/>
      <c r="AF281" s="11"/>
      <c r="AG281" s="11"/>
      <c r="AH281" s="11"/>
      <c r="AI281" s="11"/>
      <c r="AJ281" s="11"/>
      <c r="AK281" s="11"/>
      <c r="AL281" s="11"/>
    </row>
    <row r="282" spans="1:38" x14ac:dyDescent="0.25">
      <c r="A282" s="38">
        <f>+Données!A282</f>
        <v>5909</v>
      </c>
      <c r="B282" s="184" t="str">
        <f>+Données!B282</f>
        <v>Cheseaux-Noréaz</v>
      </c>
      <c r="C282" s="173">
        <f>+Ecrêtage!C282</f>
        <v>34184.486119402987</v>
      </c>
      <c r="D282" s="171"/>
      <c r="E282" s="173">
        <f>Données!AF282+Données!AG282+Données!AH282</f>
        <v>342116</v>
      </c>
      <c r="F282" s="171">
        <f t="shared" si="31"/>
        <v>273475.8889552239</v>
      </c>
      <c r="G282" s="8">
        <f t="shared" si="32"/>
        <v>68640.111044776102</v>
      </c>
      <c r="H282" s="240">
        <f t="shared" si="33"/>
        <v>-51134.42356444375</v>
      </c>
      <c r="J282" s="8">
        <f>Données!AN282</f>
        <v>2141</v>
      </c>
      <c r="K282" s="154">
        <f t="shared" si="34"/>
        <v>34184.486119402987</v>
      </c>
      <c r="L282" s="12">
        <f t="shared" si="35"/>
        <v>0</v>
      </c>
      <c r="M282" s="240">
        <f t="shared" si="36"/>
        <v>0</v>
      </c>
      <c r="O282" s="42">
        <f t="shared" si="37"/>
        <v>-51134.42356444375</v>
      </c>
      <c r="P282" s="200"/>
      <c r="Q282" s="164"/>
      <c r="R282" s="164"/>
      <c r="S282" s="164"/>
      <c r="T282" s="164"/>
      <c r="U282" s="164"/>
      <c r="AF282" s="11"/>
      <c r="AG282" s="11"/>
      <c r="AH282" s="11"/>
      <c r="AI282" s="11"/>
      <c r="AJ282" s="11"/>
      <c r="AK282" s="11"/>
      <c r="AL282" s="11"/>
    </row>
    <row r="283" spans="1:38" x14ac:dyDescent="0.25">
      <c r="A283" s="38">
        <f>+Données!A283</f>
        <v>5910</v>
      </c>
      <c r="B283" s="184" t="str">
        <f>+Données!B283</f>
        <v>Cronay</v>
      </c>
      <c r="C283" s="173">
        <f>+Ecrêtage!C283</f>
        <v>10619.844545454544</v>
      </c>
      <c r="D283" s="171"/>
      <c r="E283" s="173">
        <f>Données!AF283+Données!AG283+Données!AH283</f>
        <v>109366</v>
      </c>
      <c r="F283" s="171">
        <f t="shared" si="31"/>
        <v>84958.756363636348</v>
      </c>
      <c r="G283" s="8">
        <f t="shared" si="32"/>
        <v>24407.243636363652</v>
      </c>
      <c r="H283" s="240">
        <f t="shared" si="33"/>
        <v>-18182.522072673379</v>
      </c>
      <c r="J283" s="8">
        <f>Données!AN283</f>
        <v>60087</v>
      </c>
      <c r="K283" s="154">
        <f t="shared" si="34"/>
        <v>10619.844545454544</v>
      </c>
      <c r="L283" s="12">
        <f t="shared" si="35"/>
        <v>49467.155454545456</v>
      </c>
      <c r="M283" s="240">
        <f t="shared" si="36"/>
        <v>-36851.258557709145</v>
      </c>
      <c r="O283" s="42">
        <f t="shared" si="37"/>
        <v>-55033.78063038252</v>
      </c>
      <c r="P283" s="200"/>
      <c r="Q283" s="164"/>
      <c r="R283" s="164"/>
      <c r="S283" s="164"/>
      <c r="T283" s="164"/>
      <c r="U283" s="164"/>
      <c r="AF283" s="11"/>
      <c r="AG283" s="11"/>
      <c r="AH283" s="11"/>
      <c r="AI283" s="11"/>
      <c r="AJ283" s="11"/>
      <c r="AK283" s="11"/>
      <c r="AL283" s="11"/>
    </row>
    <row r="284" spans="1:38" x14ac:dyDescent="0.25">
      <c r="A284" s="38">
        <f>+Données!A284</f>
        <v>5911</v>
      </c>
      <c r="B284" s="184" t="str">
        <f>+Données!B284</f>
        <v>Cuarny</v>
      </c>
      <c r="C284" s="173">
        <f>+Ecrêtage!C284</f>
        <v>7630.6846753246737</v>
      </c>
      <c r="D284" s="171"/>
      <c r="E284" s="173">
        <f>Données!AF284+Données!AG284+Données!AH284</f>
        <v>44546</v>
      </c>
      <c r="F284" s="171">
        <f t="shared" si="31"/>
        <v>61045.477402597389</v>
      </c>
      <c r="G284" s="8">
        <f t="shared" si="32"/>
        <v>0</v>
      </c>
      <c r="H284" s="240">
        <f t="shared" si="33"/>
        <v>0</v>
      </c>
      <c r="J284" s="8">
        <f>Données!AN284</f>
        <v>18605</v>
      </c>
      <c r="K284" s="154">
        <f t="shared" si="34"/>
        <v>7630.6846753246737</v>
      </c>
      <c r="L284" s="12">
        <f t="shared" si="35"/>
        <v>10974.315324675326</v>
      </c>
      <c r="M284" s="240">
        <f t="shared" si="36"/>
        <v>-8175.4717409423829</v>
      </c>
      <c r="O284" s="42">
        <f t="shared" si="37"/>
        <v>-8175.4717409423829</v>
      </c>
      <c r="P284" s="200"/>
      <c r="Q284" s="164"/>
      <c r="R284" s="164"/>
      <c r="S284" s="164"/>
      <c r="T284" s="164"/>
      <c r="U284" s="164"/>
      <c r="AF284" s="11"/>
      <c r="AG284" s="11"/>
      <c r="AH284" s="11"/>
      <c r="AI284" s="11"/>
      <c r="AJ284" s="11"/>
      <c r="AK284" s="11"/>
      <c r="AL284" s="11"/>
    </row>
    <row r="285" spans="1:38" x14ac:dyDescent="0.25">
      <c r="A285" s="38">
        <f>+Données!A285</f>
        <v>5912</v>
      </c>
      <c r="B285" s="184" t="str">
        <f>+Données!B285</f>
        <v>Démoret</v>
      </c>
      <c r="C285" s="173">
        <f>+Ecrêtage!C285</f>
        <v>3035.5676923076921</v>
      </c>
      <c r="D285" s="171"/>
      <c r="E285" s="173">
        <f>Données!AF285+Données!AG285+Données!AH285</f>
        <v>29762</v>
      </c>
      <c r="F285" s="171">
        <f t="shared" si="31"/>
        <v>24284.541538461537</v>
      </c>
      <c r="G285" s="8">
        <f t="shared" si="32"/>
        <v>5477.4584615384629</v>
      </c>
      <c r="H285" s="240">
        <f t="shared" si="33"/>
        <v>-4080.5103133682992</v>
      </c>
      <c r="J285" s="8">
        <f>Données!AN285</f>
        <v>17783</v>
      </c>
      <c r="K285" s="154">
        <f t="shared" si="34"/>
        <v>3035.5676923076921</v>
      </c>
      <c r="L285" s="12">
        <f t="shared" si="35"/>
        <v>14747.432307692308</v>
      </c>
      <c r="M285" s="240">
        <f t="shared" si="36"/>
        <v>-10986.308714121638</v>
      </c>
      <c r="O285" s="42">
        <f t="shared" si="37"/>
        <v>-15066.819027489937</v>
      </c>
      <c r="P285" s="200"/>
      <c r="Q285" s="164"/>
      <c r="R285" s="164"/>
      <c r="S285" s="164"/>
      <c r="T285" s="164"/>
      <c r="U285" s="164"/>
      <c r="AF285" s="11"/>
      <c r="AG285" s="11"/>
      <c r="AH285" s="11"/>
      <c r="AI285" s="11"/>
      <c r="AJ285" s="11"/>
      <c r="AK285" s="11"/>
      <c r="AL285" s="11"/>
    </row>
    <row r="286" spans="1:38" x14ac:dyDescent="0.25">
      <c r="A286" s="38">
        <f>+Données!A286</f>
        <v>5913</v>
      </c>
      <c r="B286" s="184" t="str">
        <f>+Données!B286</f>
        <v>Donneloye</v>
      </c>
      <c r="C286" s="173">
        <f>+Ecrêtage!C286</f>
        <v>21868.154383561647</v>
      </c>
      <c r="D286" s="171"/>
      <c r="E286" s="173">
        <f>Données!AF286+Données!AG286+Données!AH286</f>
        <v>266430</v>
      </c>
      <c r="F286" s="171">
        <f t="shared" si="31"/>
        <v>174945.23506849317</v>
      </c>
      <c r="G286" s="8">
        <f t="shared" si="32"/>
        <v>91484.764931506827</v>
      </c>
      <c r="H286" s="240">
        <f t="shared" si="33"/>
        <v>-68152.872256421906</v>
      </c>
      <c r="J286" s="8">
        <f>Données!AN286</f>
        <v>55501</v>
      </c>
      <c r="K286" s="154">
        <f t="shared" si="34"/>
        <v>21868.154383561647</v>
      </c>
      <c r="L286" s="12">
        <f t="shared" si="35"/>
        <v>33632.845616438353</v>
      </c>
      <c r="M286" s="240">
        <f t="shared" si="36"/>
        <v>-25055.265022905147</v>
      </c>
      <c r="O286" s="42">
        <f t="shared" si="37"/>
        <v>-93208.137279327057</v>
      </c>
      <c r="P286" s="200"/>
      <c r="Q286" s="164"/>
      <c r="R286" s="164"/>
      <c r="S286" s="164"/>
      <c r="T286" s="164"/>
      <c r="U286" s="164"/>
      <c r="AF286" s="11"/>
      <c r="AG286" s="11"/>
      <c r="AH286" s="11"/>
      <c r="AI286" s="11"/>
      <c r="AJ286" s="11"/>
      <c r="AK286" s="11"/>
      <c r="AL286" s="11"/>
    </row>
    <row r="287" spans="1:38" x14ac:dyDescent="0.25">
      <c r="A287" s="38">
        <f>+Données!A287</f>
        <v>5914</v>
      </c>
      <c r="B287" s="184" t="str">
        <f>+Données!B287</f>
        <v>Ependes</v>
      </c>
      <c r="C287" s="173">
        <f>+Ecrêtage!C287</f>
        <v>9825.9911564625836</v>
      </c>
      <c r="D287" s="171"/>
      <c r="E287" s="173">
        <f>Données!AF287+Données!AG287+Données!AH287</f>
        <v>170270</v>
      </c>
      <c r="F287" s="171">
        <f t="shared" si="31"/>
        <v>78607.929251700669</v>
      </c>
      <c r="G287" s="8">
        <f t="shared" si="32"/>
        <v>91662.070748299331</v>
      </c>
      <c r="H287" s="240">
        <f t="shared" si="33"/>
        <v>-68284.958737610621</v>
      </c>
      <c r="J287" s="8">
        <f>Données!AN287</f>
        <v>16155</v>
      </c>
      <c r="K287" s="154">
        <f t="shared" si="34"/>
        <v>9825.9911564625836</v>
      </c>
      <c r="L287" s="12">
        <f t="shared" si="35"/>
        <v>6329.0088435374164</v>
      </c>
      <c r="M287" s="240">
        <f t="shared" si="36"/>
        <v>-4714.8848395282803</v>
      </c>
      <c r="O287" s="42">
        <f t="shared" si="37"/>
        <v>-72999.843577138905</v>
      </c>
      <c r="P287" s="200"/>
      <c r="Q287" s="164"/>
      <c r="R287" s="164"/>
      <c r="S287" s="164"/>
      <c r="T287" s="164"/>
      <c r="U287" s="164"/>
      <c r="AF287" s="11"/>
      <c r="AG287" s="11"/>
      <c r="AH287" s="11"/>
      <c r="AI287" s="11"/>
      <c r="AJ287" s="11"/>
      <c r="AK287" s="11"/>
      <c r="AL287" s="11"/>
    </row>
    <row r="288" spans="1:38" x14ac:dyDescent="0.25">
      <c r="A288" s="38">
        <f>+Données!A288</f>
        <v>5919</v>
      </c>
      <c r="B288" s="184" t="str">
        <f>+Données!B288</f>
        <v>Mathod</v>
      </c>
      <c r="C288" s="173">
        <f>+Ecrêtage!C288</f>
        <v>20853.913634259261</v>
      </c>
      <c r="D288" s="171"/>
      <c r="E288" s="173">
        <f>Données!AF288+Données!AG288+Données!AH288</f>
        <v>298560</v>
      </c>
      <c r="F288" s="171">
        <f t="shared" si="31"/>
        <v>166831.30907407409</v>
      </c>
      <c r="G288" s="8">
        <f t="shared" si="32"/>
        <v>131728.69092592591</v>
      </c>
      <c r="H288" s="240">
        <f t="shared" si="33"/>
        <v>-98133.155306260698</v>
      </c>
      <c r="J288" s="8">
        <f>Données!AN288</f>
        <v>-52965</v>
      </c>
      <c r="K288" s="154">
        <f t="shared" si="34"/>
        <v>20853.913634259261</v>
      </c>
      <c r="L288" s="12">
        <f t="shared" si="35"/>
        <v>0</v>
      </c>
      <c r="M288" s="240">
        <f t="shared" si="36"/>
        <v>0</v>
      </c>
      <c r="O288" s="42">
        <f t="shared" si="37"/>
        <v>-98133.155306260698</v>
      </c>
      <c r="P288" s="200"/>
      <c r="Q288" s="164"/>
      <c r="R288" s="164"/>
      <c r="S288" s="164"/>
      <c r="T288" s="164"/>
      <c r="U288" s="164"/>
      <c r="AF288" s="11"/>
      <c r="AG288" s="11"/>
      <c r="AH288" s="11"/>
      <c r="AI288" s="11"/>
      <c r="AJ288" s="11"/>
      <c r="AK288" s="11"/>
      <c r="AL288" s="11"/>
    </row>
    <row r="289" spans="1:38" x14ac:dyDescent="0.25">
      <c r="A289" s="38">
        <f>+Données!A289</f>
        <v>5921</v>
      </c>
      <c r="B289" s="184" t="str">
        <f>+Données!B289</f>
        <v>Molondin</v>
      </c>
      <c r="C289" s="173">
        <f>+Ecrêtage!C289</f>
        <v>5090.9581481481491</v>
      </c>
      <c r="D289" s="171"/>
      <c r="E289" s="173">
        <f>Données!AF289+Données!AG289+Données!AH289</f>
        <v>47652</v>
      </c>
      <c r="F289" s="171">
        <f t="shared" si="31"/>
        <v>40727.665185185193</v>
      </c>
      <c r="G289" s="8">
        <f t="shared" si="32"/>
        <v>6924.334814814807</v>
      </c>
      <c r="H289" s="240">
        <f t="shared" si="33"/>
        <v>-5158.381359432713</v>
      </c>
      <c r="J289" s="8">
        <f>Données!AN289</f>
        <v>10787</v>
      </c>
      <c r="K289" s="154">
        <f t="shared" si="34"/>
        <v>5090.9581481481491</v>
      </c>
      <c r="L289" s="12">
        <f t="shared" si="35"/>
        <v>5696.0418518518509</v>
      </c>
      <c r="M289" s="240">
        <f t="shared" si="36"/>
        <v>-4243.3471079816663</v>
      </c>
      <c r="O289" s="42">
        <f t="shared" si="37"/>
        <v>-9401.7284674143793</v>
      </c>
      <c r="P289" s="200"/>
      <c r="Q289" s="164"/>
      <c r="R289" s="164"/>
      <c r="S289" s="164"/>
      <c r="T289" s="164"/>
      <c r="U289" s="164"/>
      <c r="AF289" s="11"/>
      <c r="AG289" s="11"/>
      <c r="AH289" s="11"/>
      <c r="AI289" s="11"/>
      <c r="AJ289" s="11"/>
      <c r="AK289" s="11"/>
      <c r="AL289" s="11"/>
    </row>
    <row r="290" spans="1:38" x14ac:dyDescent="0.25">
      <c r="A290" s="38">
        <f>+Données!A290</f>
        <v>5922</v>
      </c>
      <c r="B290" s="184" t="str">
        <f>+Données!B290</f>
        <v>Montagny-près-Yverdon</v>
      </c>
      <c r="C290" s="173">
        <f>+Ecrêtage!C290</f>
        <v>39793.407325581393</v>
      </c>
      <c r="D290" s="171"/>
      <c r="E290" s="173">
        <f>Données!AF290+Données!AG290+Données!AH290</f>
        <v>532717</v>
      </c>
      <c r="F290" s="171">
        <f t="shared" si="31"/>
        <v>318347.25860465114</v>
      </c>
      <c r="G290" s="8">
        <f t="shared" si="32"/>
        <v>214369.74139534886</v>
      </c>
      <c r="H290" s="240">
        <f t="shared" si="33"/>
        <v>-159697.77713149961</v>
      </c>
      <c r="J290" s="8">
        <f>Données!AN290</f>
        <v>2492</v>
      </c>
      <c r="K290" s="154">
        <f t="shared" si="34"/>
        <v>39793.407325581393</v>
      </c>
      <c r="L290" s="12">
        <f t="shared" si="35"/>
        <v>0</v>
      </c>
      <c r="M290" s="240">
        <f t="shared" si="36"/>
        <v>0</v>
      </c>
      <c r="O290" s="42">
        <f t="shared" si="37"/>
        <v>-159697.77713149961</v>
      </c>
      <c r="P290" s="200"/>
      <c r="Q290" s="164"/>
      <c r="R290" s="164"/>
      <c r="S290" s="164"/>
      <c r="T290" s="164"/>
      <c r="U290" s="164"/>
      <c r="AF290" s="11"/>
      <c r="AG290" s="11"/>
      <c r="AH290" s="11"/>
      <c r="AI290" s="11"/>
      <c r="AJ290" s="11"/>
      <c r="AK290" s="11"/>
      <c r="AL290" s="11"/>
    </row>
    <row r="291" spans="1:38" x14ac:dyDescent="0.25">
      <c r="A291" s="38">
        <f>+Données!A291</f>
        <v>5923</v>
      </c>
      <c r="B291" s="184" t="str">
        <f>+Données!B291</f>
        <v>Oppens</v>
      </c>
      <c r="C291" s="173">
        <f>+Ecrêtage!C291</f>
        <v>4459.1672839506173</v>
      </c>
      <c r="D291" s="171"/>
      <c r="E291" s="173">
        <f>Données!AF291+Données!AG291+Données!AH291</f>
        <v>65373</v>
      </c>
      <c r="F291" s="171">
        <f t="shared" si="31"/>
        <v>35673.338271604938</v>
      </c>
      <c r="G291" s="8">
        <f t="shared" si="32"/>
        <v>29699.661728395062</v>
      </c>
      <c r="H291" s="240">
        <f t="shared" si="33"/>
        <v>-22125.183940185834</v>
      </c>
      <c r="J291" s="8">
        <f>Données!AN291</f>
        <v>28692</v>
      </c>
      <c r="K291" s="154">
        <f t="shared" si="34"/>
        <v>4459.1672839506173</v>
      </c>
      <c r="L291" s="12">
        <f t="shared" si="35"/>
        <v>24232.832716049383</v>
      </c>
      <c r="M291" s="240">
        <f t="shared" si="36"/>
        <v>-18052.59218564571</v>
      </c>
      <c r="O291" s="42">
        <f t="shared" si="37"/>
        <v>-40177.776125831544</v>
      </c>
      <c r="P291" s="200"/>
      <c r="Q291" s="164"/>
      <c r="R291" s="164"/>
      <c r="S291" s="164"/>
      <c r="T291" s="164"/>
      <c r="U291" s="164"/>
      <c r="AF291" s="11"/>
      <c r="AG291" s="11"/>
      <c r="AH291" s="11"/>
      <c r="AI291" s="11"/>
      <c r="AJ291" s="11"/>
      <c r="AK291" s="11"/>
      <c r="AL291" s="11"/>
    </row>
    <row r="292" spans="1:38" x14ac:dyDescent="0.25">
      <c r="A292" s="38">
        <f>+Données!A292</f>
        <v>5924</v>
      </c>
      <c r="B292" s="184" t="str">
        <f>+Données!B292</f>
        <v>Orges</v>
      </c>
      <c r="C292" s="173">
        <f>+Ecrêtage!C292</f>
        <v>11637.444864864863</v>
      </c>
      <c r="D292" s="171"/>
      <c r="E292" s="173">
        <f>Données!AF292+Données!AG292+Données!AH292</f>
        <v>137837</v>
      </c>
      <c r="F292" s="171">
        <f t="shared" si="31"/>
        <v>93099.558918918905</v>
      </c>
      <c r="G292" s="8">
        <f t="shared" si="32"/>
        <v>44737.441081081095</v>
      </c>
      <c r="H292" s="240">
        <f t="shared" si="33"/>
        <v>-33327.790800586823</v>
      </c>
      <c r="J292" s="8">
        <f>Données!AN292</f>
        <v>7458</v>
      </c>
      <c r="K292" s="154">
        <f t="shared" si="34"/>
        <v>11637.444864864863</v>
      </c>
      <c r="L292" s="12">
        <f t="shared" si="35"/>
        <v>0</v>
      </c>
      <c r="M292" s="240">
        <f t="shared" si="36"/>
        <v>0</v>
      </c>
      <c r="O292" s="42">
        <f t="shared" si="37"/>
        <v>-33327.790800586823</v>
      </c>
      <c r="P292" s="200"/>
      <c r="Q292" s="164"/>
      <c r="R292" s="164"/>
      <c r="S292" s="164"/>
      <c r="T292" s="164"/>
      <c r="U292" s="164"/>
      <c r="AF292" s="11"/>
      <c r="AG292" s="11"/>
      <c r="AH292" s="11"/>
      <c r="AI292" s="11"/>
      <c r="AJ292" s="11"/>
      <c r="AK292" s="11"/>
      <c r="AL292" s="11"/>
    </row>
    <row r="293" spans="1:38" x14ac:dyDescent="0.25">
      <c r="A293" s="38">
        <f>+Données!A293</f>
        <v>5925</v>
      </c>
      <c r="B293" s="184" t="str">
        <f>+Données!B293</f>
        <v>Orzens</v>
      </c>
      <c r="C293" s="173">
        <f>+Ecrêtage!C293</f>
        <v>5255.7039240506319</v>
      </c>
      <c r="D293" s="171"/>
      <c r="E293" s="173">
        <f>Données!AF293+Données!AG293+Données!AH293</f>
        <v>105883</v>
      </c>
      <c r="F293" s="171">
        <f t="shared" si="31"/>
        <v>42045.631392405056</v>
      </c>
      <c r="G293" s="8">
        <f t="shared" si="32"/>
        <v>63837.368607594944</v>
      </c>
      <c r="H293" s="240">
        <f t="shared" si="33"/>
        <v>-47556.552516223164</v>
      </c>
      <c r="J293" s="8">
        <f>Données!AN293</f>
        <v>10619</v>
      </c>
      <c r="K293" s="154">
        <f t="shared" si="34"/>
        <v>5255.7039240506319</v>
      </c>
      <c r="L293" s="12">
        <f t="shared" si="35"/>
        <v>5363.2960759493681</v>
      </c>
      <c r="M293" s="240">
        <f t="shared" si="36"/>
        <v>-3995.4634261913238</v>
      </c>
      <c r="O293" s="42">
        <f t="shared" si="37"/>
        <v>-51552.015942414488</v>
      </c>
      <c r="P293" s="200"/>
      <c r="Q293" s="164"/>
      <c r="R293" s="164"/>
      <c r="S293" s="164"/>
      <c r="T293" s="164"/>
      <c r="U293" s="164"/>
      <c r="AF293" s="11"/>
      <c r="AG293" s="11"/>
      <c r="AH293" s="11"/>
      <c r="AI293" s="11"/>
      <c r="AJ293" s="11"/>
      <c r="AK293" s="11"/>
      <c r="AL293" s="11"/>
    </row>
    <row r="294" spans="1:38" x14ac:dyDescent="0.25">
      <c r="A294" s="38">
        <f>+Données!A294</f>
        <v>5926</v>
      </c>
      <c r="B294" s="184" t="str">
        <f>+Données!B294</f>
        <v>Pomy</v>
      </c>
      <c r="C294" s="173">
        <f>+Ecrêtage!C294</f>
        <v>26782.091549295772</v>
      </c>
      <c r="D294" s="171"/>
      <c r="E294" s="173">
        <f>Données!AF294+Données!AG294+Données!AH294</f>
        <v>273949</v>
      </c>
      <c r="F294" s="171">
        <f t="shared" si="31"/>
        <v>214256.73239436618</v>
      </c>
      <c r="G294" s="8">
        <f t="shared" si="32"/>
        <v>59692.267605633824</v>
      </c>
      <c r="H294" s="240">
        <f t="shared" si="33"/>
        <v>-44468.600775973013</v>
      </c>
      <c r="J294" s="8">
        <f>Données!AN294</f>
        <v>38901</v>
      </c>
      <c r="K294" s="154">
        <f t="shared" si="34"/>
        <v>26782.091549295772</v>
      </c>
      <c r="L294" s="12">
        <f t="shared" si="35"/>
        <v>12118.908450704228</v>
      </c>
      <c r="M294" s="240">
        <f t="shared" si="36"/>
        <v>-9028.1526125850996</v>
      </c>
      <c r="O294" s="42">
        <f t="shared" si="37"/>
        <v>-53496.753388558114</v>
      </c>
      <c r="P294" s="200"/>
      <c r="Q294" s="164"/>
      <c r="R294" s="164"/>
      <c r="S294" s="164"/>
      <c r="T294" s="164"/>
      <c r="U294" s="164"/>
      <c r="AF294" s="11"/>
      <c r="AG294" s="11"/>
      <c r="AH294" s="11"/>
      <c r="AI294" s="11"/>
      <c r="AJ294" s="11"/>
      <c r="AK294" s="11"/>
      <c r="AL294" s="11"/>
    </row>
    <row r="295" spans="1:38" x14ac:dyDescent="0.25">
      <c r="A295" s="38">
        <f>+Données!A295</f>
        <v>5928</v>
      </c>
      <c r="B295" s="184" t="str">
        <f>+Données!B295</f>
        <v>Rovray</v>
      </c>
      <c r="C295" s="173">
        <f>+Ecrêtage!C295</f>
        <v>5095.4959440559442</v>
      </c>
      <c r="D295" s="171"/>
      <c r="E295" s="173">
        <f>Données!AF295+Données!AG295+Données!AH295</f>
        <v>48321</v>
      </c>
      <c r="F295" s="171">
        <f t="shared" si="31"/>
        <v>40763.967552447553</v>
      </c>
      <c r="G295" s="8">
        <f t="shared" si="32"/>
        <v>7557.0324475524467</v>
      </c>
      <c r="H295" s="240">
        <f t="shared" si="33"/>
        <v>-5629.7184282134249</v>
      </c>
      <c r="J295" s="8">
        <f>Données!AN295</f>
        <v>-9633</v>
      </c>
      <c r="K295" s="154">
        <f t="shared" si="34"/>
        <v>5095.4959440559442</v>
      </c>
      <c r="L295" s="12">
        <f t="shared" si="35"/>
        <v>0</v>
      </c>
      <c r="M295" s="240">
        <f t="shared" si="36"/>
        <v>0</v>
      </c>
      <c r="O295" s="42">
        <f t="shared" si="37"/>
        <v>-5629.7184282134249</v>
      </c>
      <c r="P295" s="200"/>
      <c r="Q295" s="164"/>
      <c r="R295" s="164"/>
      <c r="S295" s="164"/>
      <c r="T295" s="164"/>
      <c r="U295" s="164"/>
      <c r="AF295" s="11"/>
      <c r="AG295" s="11"/>
      <c r="AH295" s="11"/>
      <c r="AI295" s="11"/>
      <c r="AJ295" s="11"/>
      <c r="AK295" s="11"/>
      <c r="AL295" s="11"/>
    </row>
    <row r="296" spans="1:38" x14ac:dyDescent="0.25">
      <c r="A296" s="38">
        <f>+Données!A296</f>
        <v>5929</v>
      </c>
      <c r="B296" s="184" t="str">
        <f>+Données!B296</f>
        <v>Suchy</v>
      </c>
      <c r="C296" s="173">
        <f>+Ecrêtage!C296</f>
        <v>21602.649857142853</v>
      </c>
      <c r="D296" s="171"/>
      <c r="E296" s="173">
        <f>Données!AF296+Données!AG296+Données!AH296</f>
        <v>162591</v>
      </c>
      <c r="F296" s="171">
        <f t="shared" si="31"/>
        <v>172821.19885714282</v>
      </c>
      <c r="G296" s="8">
        <f t="shared" si="32"/>
        <v>0</v>
      </c>
      <c r="H296" s="240">
        <f t="shared" si="33"/>
        <v>0</v>
      </c>
      <c r="J296" s="8">
        <f>Données!AN296</f>
        <v>37695</v>
      </c>
      <c r="K296" s="154">
        <f t="shared" si="34"/>
        <v>21602.649857142853</v>
      </c>
      <c r="L296" s="12">
        <f t="shared" si="35"/>
        <v>16092.350142857147</v>
      </c>
      <c r="M296" s="240">
        <f t="shared" si="36"/>
        <v>-11988.224317052871</v>
      </c>
      <c r="O296" s="42">
        <f t="shared" si="37"/>
        <v>-11988.224317052871</v>
      </c>
      <c r="P296" s="200"/>
      <c r="Q296" s="164"/>
      <c r="R296" s="164"/>
      <c r="S296" s="164"/>
      <c r="T296" s="164"/>
      <c r="U296" s="164"/>
      <c r="AF296" s="11"/>
      <c r="AG296" s="11"/>
      <c r="AH296" s="11"/>
      <c r="AI296" s="11"/>
      <c r="AJ296" s="11"/>
      <c r="AK296" s="11"/>
      <c r="AL296" s="11"/>
    </row>
    <row r="297" spans="1:38" x14ac:dyDescent="0.25">
      <c r="A297" s="38">
        <f>+Données!A297</f>
        <v>5930</v>
      </c>
      <c r="B297" s="184" t="str">
        <f>+Données!B297</f>
        <v>Suscévaz</v>
      </c>
      <c r="C297" s="173">
        <f>+Ecrêtage!C297</f>
        <v>5749.1573611111107</v>
      </c>
      <c r="D297" s="171"/>
      <c r="E297" s="173">
        <f>Données!AF297+Données!AG297+Données!AH297</f>
        <v>95852</v>
      </c>
      <c r="F297" s="171">
        <f t="shared" si="31"/>
        <v>45993.258888888886</v>
      </c>
      <c r="G297" s="8">
        <f t="shared" si="32"/>
        <v>49858.741111111114</v>
      </c>
      <c r="H297" s="240">
        <f t="shared" si="33"/>
        <v>-37142.975842541731</v>
      </c>
      <c r="J297" s="8">
        <f>Données!AN297</f>
        <v>5070</v>
      </c>
      <c r="K297" s="154">
        <f t="shared" si="34"/>
        <v>5749.1573611111107</v>
      </c>
      <c r="L297" s="12">
        <f t="shared" si="35"/>
        <v>0</v>
      </c>
      <c r="M297" s="240">
        <f t="shared" si="36"/>
        <v>0</v>
      </c>
      <c r="O297" s="42">
        <f t="shared" si="37"/>
        <v>-37142.975842541731</v>
      </c>
      <c r="P297" s="200"/>
      <c r="Q297" s="164"/>
      <c r="R297" s="164"/>
      <c r="S297" s="164"/>
      <c r="T297" s="164"/>
      <c r="U297" s="164"/>
      <c r="AF297" s="11"/>
      <c r="AG297" s="11"/>
      <c r="AH297" s="11"/>
      <c r="AI297" s="11"/>
      <c r="AJ297" s="11"/>
      <c r="AK297" s="11"/>
      <c r="AL297" s="11"/>
    </row>
    <row r="298" spans="1:38" x14ac:dyDescent="0.25">
      <c r="A298" s="38">
        <f>+Données!A298</f>
        <v>5931</v>
      </c>
      <c r="B298" s="184" t="str">
        <f>+Données!B298</f>
        <v>Treycovagnes</v>
      </c>
      <c r="C298" s="173">
        <f>+Ecrêtage!C298</f>
        <v>16306.589199999997</v>
      </c>
      <c r="D298" s="171"/>
      <c r="E298" s="173">
        <f>Données!AF298+Données!AG298+Données!AH298</f>
        <v>199809</v>
      </c>
      <c r="F298" s="171">
        <f t="shared" si="31"/>
        <v>130452.71359999997</v>
      </c>
      <c r="G298" s="8">
        <f t="shared" si="32"/>
        <v>69356.286400000026</v>
      </c>
      <c r="H298" s="240">
        <f t="shared" si="33"/>
        <v>-51667.948545726875</v>
      </c>
      <c r="J298" s="8">
        <f>Données!AN298</f>
        <v>1851</v>
      </c>
      <c r="K298" s="154">
        <f t="shared" si="34"/>
        <v>16306.589199999997</v>
      </c>
      <c r="L298" s="12">
        <f t="shared" si="35"/>
        <v>0</v>
      </c>
      <c r="M298" s="240">
        <f t="shared" si="36"/>
        <v>0</v>
      </c>
      <c r="O298" s="42">
        <f t="shared" si="37"/>
        <v>-51667.948545726875</v>
      </c>
      <c r="P298" s="200"/>
      <c r="Q298" s="164"/>
      <c r="R298" s="164"/>
      <c r="S298" s="164"/>
      <c r="T298" s="164"/>
      <c r="U298" s="164"/>
      <c r="AF298" s="11"/>
      <c r="AG298" s="11"/>
      <c r="AH298" s="11"/>
      <c r="AI298" s="11"/>
      <c r="AJ298" s="11"/>
      <c r="AK298" s="11"/>
      <c r="AL298" s="11"/>
    </row>
    <row r="299" spans="1:38" x14ac:dyDescent="0.25">
      <c r="A299" s="38">
        <f>+Données!A299</f>
        <v>5932</v>
      </c>
      <c r="B299" s="184" t="str">
        <f>+Données!B299</f>
        <v>Ursins</v>
      </c>
      <c r="C299" s="173">
        <f>+Ecrêtage!C299</f>
        <v>7945.6270666666669</v>
      </c>
      <c r="D299" s="171"/>
      <c r="E299" s="173">
        <f>Données!AF299+Données!AG299+Données!AH299</f>
        <v>35049</v>
      </c>
      <c r="F299" s="171">
        <f t="shared" si="31"/>
        <v>63565.016533333335</v>
      </c>
      <c r="G299" s="8">
        <f t="shared" si="32"/>
        <v>0</v>
      </c>
      <c r="H299" s="240">
        <f t="shared" si="33"/>
        <v>0</v>
      </c>
      <c r="J299" s="8">
        <f>Données!AN299</f>
        <v>18908</v>
      </c>
      <c r="K299" s="154">
        <f t="shared" si="34"/>
        <v>7945.6270666666669</v>
      </c>
      <c r="L299" s="12">
        <f t="shared" si="35"/>
        <v>10962.372933333332</v>
      </c>
      <c r="M299" s="240">
        <f t="shared" si="36"/>
        <v>-8166.5750872517219</v>
      </c>
      <c r="O299" s="42">
        <f t="shared" si="37"/>
        <v>-8166.5750872517219</v>
      </c>
      <c r="P299" s="200"/>
      <c r="Q299" s="164"/>
      <c r="R299" s="164"/>
      <c r="S299" s="164"/>
      <c r="T299" s="164"/>
      <c r="U299" s="164"/>
      <c r="AF299" s="11"/>
      <c r="AG299" s="11"/>
      <c r="AH299" s="11"/>
      <c r="AI299" s="11"/>
      <c r="AJ299" s="11"/>
      <c r="AK299" s="11"/>
      <c r="AL299" s="11"/>
    </row>
    <row r="300" spans="1:38" x14ac:dyDescent="0.25">
      <c r="A300" s="38">
        <f>+Données!A300</f>
        <v>5933</v>
      </c>
      <c r="B300" s="184" t="str">
        <f>+Données!B300</f>
        <v>Valeyres-sous-Montagny</v>
      </c>
      <c r="C300" s="173">
        <f>+Ecrêtage!C300</f>
        <v>23478.000425531918</v>
      </c>
      <c r="D300" s="171"/>
      <c r="E300" s="173">
        <f>Données!AF300+Données!AG300+Données!AH300</f>
        <v>640471</v>
      </c>
      <c r="F300" s="171">
        <f t="shared" si="31"/>
        <v>187824.00340425535</v>
      </c>
      <c r="G300" s="8">
        <f t="shared" si="32"/>
        <v>452646.99659574463</v>
      </c>
      <c r="H300" s="240">
        <f t="shared" si="33"/>
        <v>-337205.79551512341</v>
      </c>
      <c r="J300" s="8">
        <f>Données!AN300</f>
        <v>-25017</v>
      </c>
      <c r="K300" s="154">
        <f t="shared" si="34"/>
        <v>23478.000425531918</v>
      </c>
      <c r="L300" s="12">
        <f t="shared" si="35"/>
        <v>0</v>
      </c>
      <c r="M300" s="240">
        <f t="shared" si="36"/>
        <v>0</v>
      </c>
      <c r="O300" s="42">
        <f t="shared" si="37"/>
        <v>-337205.79551512341</v>
      </c>
      <c r="P300" s="200"/>
      <c r="Q300" s="164"/>
      <c r="R300" s="164"/>
      <c r="S300" s="164"/>
      <c r="T300" s="164"/>
      <c r="U300" s="164"/>
      <c r="AF300" s="11"/>
      <c r="AG300" s="11"/>
      <c r="AH300" s="11"/>
      <c r="AI300" s="11"/>
      <c r="AJ300" s="11"/>
      <c r="AK300" s="11"/>
      <c r="AL300" s="11"/>
    </row>
    <row r="301" spans="1:38" x14ac:dyDescent="0.25">
      <c r="A301" s="38">
        <f>+Données!A301</f>
        <v>5934</v>
      </c>
      <c r="B301" s="184" t="str">
        <f>+Données!B301</f>
        <v>Valeyres-sous-Ursins</v>
      </c>
      <c r="C301" s="173">
        <f>+Ecrêtage!C301</f>
        <v>6917.5551948051934</v>
      </c>
      <c r="D301" s="171"/>
      <c r="E301" s="173">
        <f>Données!AF301+Données!AG301+Données!AH301</f>
        <v>34434</v>
      </c>
      <c r="F301" s="171">
        <f t="shared" si="31"/>
        <v>55340.441558441547</v>
      </c>
      <c r="G301" s="8">
        <f t="shared" si="32"/>
        <v>0</v>
      </c>
      <c r="H301" s="240">
        <f t="shared" si="33"/>
        <v>0</v>
      </c>
      <c r="J301" s="8">
        <f>Données!AN301</f>
        <v>12495</v>
      </c>
      <c r="K301" s="154">
        <f t="shared" si="34"/>
        <v>6917.5551948051934</v>
      </c>
      <c r="L301" s="12">
        <f t="shared" si="35"/>
        <v>5577.4448051948066</v>
      </c>
      <c r="M301" s="240">
        <f t="shared" si="36"/>
        <v>-4154.9965571893254</v>
      </c>
      <c r="O301" s="42">
        <f t="shared" si="37"/>
        <v>-4154.9965571893254</v>
      </c>
      <c r="P301" s="200"/>
      <c r="Q301" s="164"/>
      <c r="R301" s="164"/>
      <c r="S301" s="164"/>
      <c r="T301" s="164"/>
      <c r="U301" s="164"/>
      <c r="AF301" s="11"/>
      <c r="AG301" s="11"/>
      <c r="AH301" s="11"/>
      <c r="AI301" s="11"/>
      <c r="AJ301" s="11"/>
      <c r="AK301" s="11"/>
      <c r="AL301" s="11"/>
    </row>
    <row r="302" spans="1:38" x14ac:dyDescent="0.25">
      <c r="A302" s="38">
        <f>+Données!A302</f>
        <v>5935</v>
      </c>
      <c r="B302" s="184" t="str">
        <f>+Données!B302</f>
        <v>Villars-Epeney</v>
      </c>
      <c r="C302" s="173">
        <f>+Ecrêtage!C302</f>
        <v>6724.3836764705884</v>
      </c>
      <c r="D302" s="171"/>
      <c r="E302" s="173">
        <f>Données!AF302+Données!AG302+Données!AH302</f>
        <v>23217</v>
      </c>
      <c r="F302" s="171">
        <f t="shared" si="31"/>
        <v>53795.069411764707</v>
      </c>
      <c r="G302" s="8">
        <f t="shared" si="32"/>
        <v>0</v>
      </c>
      <c r="H302" s="240">
        <f t="shared" si="33"/>
        <v>0</v>
      </c>
      <c r="J302" s="8">
        <f>Données!AN302</f>
        <v>11116</v>
      </c>
      <c r="K302" s="154">
        <f t="shared" si="34"/>
        <v>6724.3836764705884</v>
      </c>
      <c r="L302" s="12">
        <f t="shared" si="35"/>
        <v>4391.6163235294116</v>
      </c>
      <c r="M302" s="240">
        <f t="shared" si="36"/>
        <v>-3271.5968229332966</v>
      </c>
      <c r="O302" s="42">
        <f t="shared" si="37"/>
        <v>-3271.5968229332966</v>
      </c>
      <c r="P302" s="200"/>
      <c r="Q302" s="164"/>
      <c r="R302" s="164"/>
      <c r="S302" s="164"/>
      <c r="T302" s="164"/>
      <c r="U302" s="164"/>
      <c r="AF302" s="11"/>
      <c r="AG302" s="11"/>
      <c r="AH302" s="11"/>
      <c r="AI302" s="11"/>
      <c r="AJ302" s="11"/>
      <c r="AK302" s="11"/>
      <c r="AL302" s="11"/>
    </row>
    <row r="303" spans="1:38" x14ac:dyDescent="0.25">
      <c r="A303" s="38">
        <f>+Données!A303</f>
        <v>5937</v>
      </c>
      <c r="B303" s="184" t="str">
        <f>+Données!B303</f>
        <v>Vugelles-La Mothe</v>
      </c>
      <c r="C303" s="173">
        <f>+Ecrêtage!C303</f>
        <v>3343.8780000000002</v>
      </c>
      <c r="D303" s="171"/>
      <c r="E303" s="173">
        <f>Données!AF303+Données!AG303+Données!AH303</f>
        <v>49490</v>
      </c>
      <c r="F303" s="171">
        <f t="shared" si="31"/>
        <v>26751.024000000001</v>
      </c>
      <c r="G303" s="8">
        <f t="shared" si="32"/>
        <v>22738.975999999999</v>
      </c>
      <c r="H303" s="240">
        <f t="shared" si="33"/>
        <v>-16939.722452477181</v>
      </c>
      <c r="J303" s="8">
        <f>Données!AN303</f>
        <v>11587</v>
      </c>
      <c r="K303" s="154">
        <f t="shared" si="34"/>
        <v>3343.8780000000002</v>
      </c>
      <c r="L303" s="12">
        <f t="shared" si="35"/>
        <v>8243.1219999999994</v>
      </c>
      <c r="M303" s="240">
        <f t="shared" si="36"/>
        <v>-6140.8305643098711</v>
      </c>
      <c r="O303" s="42">
        <f t="shared" si="37"/>
        <v>-23080.553016787053</v>
      </c>
      <c r="P303" s="200"/>
      <c r="Q303" s="164"/>
      <c r="R303" s="164"/>
      <c r="S303" s="164"/>
      <c r="T303" s="164"/>
      <c r="U303" s="164"/>
      <c r="AF303" s="11"/>
      <c r="AG303" s="11"/>
      <c r="AH303" s="11"/>
      <c r="AI303" s="11"/>
      <c r="AJ303" s="11"/>
      <c r="AK303" s="11"/>
      <c r="AL303" s="11"/>
    </row>
    <row r="304" spans="1:38" x14ac:dyDescent="0.25">
      <c r="A304" s="38">
        <f>+Données!A304</f>
        <v>5938</v>
      </c>
      <c r="B304" s="184" t="str">
        <f>+Données!B304</f>
        <v>Yverdon-les-Bains</v>
      </c>
      <c r="C304" s="173">
        <f>+Ecrêtage!C304</f>
        <v>780545.69493333355</v>
      </c>
      <c r="D304" s="171"/>
      <c r="E304" s="173">
        <f>Données!AF304+Données!AG304+Données!AH304</f>
        <v>19763354</v>
      </c>
      <c r="F304" s="171">
        <f t="shared" si="31"/>
        <v>6244365.5594666684</v>
      </c>
      <c r="G304" s="8">
        <f t="shared" si="32"/>
        <v>13518988.440533333</v>
      </c>
      <c r="H304" s="240">
        <f t="shared" si="33"/>
        <v>-10071162.044450991</v>
      </c>
      <c r="J304" s="8">
        <f>Données!AN304</f>
        <v>210577</v>
      </c>
      <c r="K304" s="154">
        <f t="shared" si="34"/>
        <v>780545.69493333355</v>
      </c>
      <c r="L304" s="12">
        <f t="shared" si="35"/>
        <v>0</v>
      </c>
      <c r="M304" s="240">
        <f t="shared" si="36"/>
        <v>0</v>
      </c>
      <c r="O304" s="42">
        <f t="shared" si="37"/>
        <v>-10071162.044450991</v>
      </c>
      <c r="P304" s="200"/>
      <c r="Q304" s="164"/>
      <c r="R304" s="164"/>
      <c r="S304" s="164"/>
      <c r="T304" s="164"/>
      <c r="U304" s="164"/>
      <c r="AF304" s="11"/>
      <c r="AG304" s="11"/>
      <c r="AH304" s="11"/>
      <c r="AI304" s="11"/>
      <c r="AJ304" s="11"/>
      <c r="AK304" s="11"/>
      <c r="AL304" s="11"/>
    </row>
    <row r="305" spans="1:38" x14ac:dyDescent="0.25">
      <c r="A305" s="38">
        <f>+Données!A305</f>
        <v>5939</v>
      </c>
      <c r="B305" s="184" t="str">
        <f>+Données!B305</f>
        <v>Yvonand</v>
      </c>
      <c r="C305" s="173">
        <f>+Ecrêtage!C305</f>
        <v>97389.711048951052</v>
      </c>
      <c r="D305" s="171"/>
      <c r="E305" s="113">
        <f>Données!AF305+Données!AG305+Données!AH305</f>
        <v>1501995</v>
      </c>
      <c r="F305" s="171">
        <f t="shared" si="31"/>
        <v>779117.68839160842</v>
      </c>
      <c r="G305" s="8">
        <f t="shared" si="32"/>
        <v>722877.31160839158</v>
      </c>
      <c r="H305" s="240">
        <f t="shared" si="33"/>
        <v>-538517.69867908815</v>
      </c>
      <c r="J305" s="163">
        <f>Données!AN305</f>
        <v>112832</v>
      </c>
      <c r="K305" s="156">
        <f t="shared" si="34"/>
        <v>97389.711048951052</v>
      </c>
      <c r="L305" s="51">
        <f t="shared" si="35"/>
        <v>15442.288951048948</v>
      </c>
      <c r="M305" s="256">
        <f t="shared" si="36"/>
        <v>-11503.952018847471</v>
      </c>
      <c r="O305" s="64">
        <f t="shared" si="37"/>
        <v>-550021.65069793561</v>
      </c>
      <c r="P305" s="200"/>
      <c r="Q305" s="164"/>
      <c r="R305" s="164"/>
      <c r="S305" s="164"/>
      <c r="T305" s="164"/>
      <c r="U305" s="164"/>
      <c r="AF305" s="11"/>
      <c r="AG305" s="11"/>
      <c r="AH305" s="11"/>
      <c r="AI305" s="11"/>
      <c r="AJ305" s="11"/>
      <c r="AK305" s="11"/>
      <c r="AL305" s="11"/>
    </row>
    <row r="306" spans="1:38" x14ac:dyDescent="0.25">
      <c r="A306" s="56"/>
      <c r="B306" s="134">
        <f>COUNTA(B6:B305)</f>
        <v>300</v>
      </c>
      <c r="C306" s="9">
        <f t="shared" ref="C306:M306" si="38">SUM(C6:C305)</f>
        <v>39802348.273186527</v>
      </c>
      <c r="E306" s="163">
        <f t="shared" si="38"/>
        <v>497574044.31</v>
      </c>
      <c r="F306" s="135">
        <f t="shared" si="38"/>
        <v>318418786.18549222</v>
      </c>
      <c r="G306" s="9">
        <f t="shared" si="38"/>
        <v>232521141.71308705</v>
      </c>
      <c r="H306" s="241">
        <f t="shared" si="38"/>
        <v>-173219920.05940858</v>
      </c>
      <c r="J306" s="163">
        <f t="shared" si="38"/>
        <v>20318947.509999998</v>
      </c>
      <c r="K306" s="16">
        <f t="shared" si="38"/>
        <v>39802348.273186527</v>
      </c>
      <c r="L306" s="9">
        <f t="shared" si="38"/>
        <v>7907289.2131084753</v>
      </c>
      <c r="M306" s="256">
        <f t="shared" si="38"/>
        <v>-5890647.169930798</v>
      </c>
      <c r="O306" s="30">
        <f>SUM(O6:O305)</f>
        <v>-179110567.22933933</v>
      </c>
      <c r="P306" s="200"/>
      <c r="Q306" s="158"/>
      <c r="AF306" s="11"/>
      <c r="AG306" s="11"/>
      <c r="AH306" s="11"/>
      <c r="AI306" s="11"/>
      <c r="AJ306" s="11"/>
      <c r="AK306" s="11"/>
      <c r="AL306" s="11"/>
    </row>
    <row r="307" spans="1:38" x14ac:dyDescent="0.25">
      <c r="O307" s="534"/>
    </row>
  </sheetData>
  <sheetProtection sheet="1" objects="1" scenarios="1"/>
  <mergeCells count="9">
    <mergeCell ref="O4:O5"/>
    <mergeCell ref="I1:J1"/>
    <mergeCell ref="C4:C5"/>
    <mergeCell ref="B4:B5"/>
    <mergeCell ref="A4:A5"/>
    <mergeCell ref="K4:K5"/>
    <mergeCell ref="J4:J5"/>
    <mergeCell ref="F4:F5"/>
    <mergeCell ref="E4:E5"/>
  </mergeCells>
  <phoneticPr fontId="0" type="noConversion"/>
  <hyperlinks>
    <hyperlink ref="G1" location="Solidarité!A1" display="← Précédent" xr:uid="{5A8E4973-17D6-4687-9CE6-45B0575EDBAD}"/>
    <hyperlink ref="H1" location="'Table des matières'!A1" display="Table des             matières" xr:uid="{04BE0D59-7790-474E-8080-9D72D4E0F66D}"/>
    <hyperlink ref="I1" location="'6.4. Financement'!A1" display="Suivant →" xr:uid="{E345551C-124C-4CBD-9876-7C5AAF6D130D}"/>
    <hyperlink ref="I1:J1" location="Effort!A1" display="Suivant →" xr:uid="{309F21F1-9A18-4F3D-BDE2-8C55C3D34BC3}"/>
  </hyperlinks>
  <printOptions horizontalCentered="1"/>
  <pageMargins left="0" right="0" top="0" bottom="0" header="0.51181102362204722" footer="0.51181102362204722"/>
  <pageSetup paperSize="9" scale="64" orientation="landscape" horizontalDpi="1200" verticalDpi="120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theme="6" tint="0.39997558519241921"/>
  </sheetPr>
  <dimension ref="A1:X312"/>
  <sheetViews>
    <sheetView workbookViewId="0">
      <pane ySplit="5" topLeftCell="A6" activePane="bottomLeft" state="frozen"/>
      <selection activeCell="I306" sqref="I306"/>
      <selection pane="bottomLeft" activeCell="A6" sqref="A6"/>
    </sheetView>
  </sheetViews>
  <sheetFormatPr baseColWidth="10" defaultColWidth="10.75" defaultRowHeight="15" x14ac:dyDescent="0.25"/>
  <cols>
    <col min="1" max="1" width="7.25" style="11" customWidth="1"/>
    <col min="2" max="2" width="21.375" style="11" customWidth="1"/>
    <col min="3" max="3" width="12.625" style="11" bestFit="1" customWidth="1"/>
    <col min="4" max="4" width="13.25" style="11" customWidth="1"/>
    <col min="5" max="6" width="13.125" style="11" customWidth="1"/>
    <col min="7" max="7" width="13.125" style="158" customWidth="1"/>
    <col min="8" max="9" width="13.125" style="11" customWidth="1"/>
    <col min="10" max="10" width="9.125" style="13" customWidth="1"/>
    <col min="11" max="11" width="10.625" style="13" customWidth="1"/>
    <col min="12" max="13" width="12.125" style="11" customWidth="1"/>
    <col min="14" max="16" width="8.125" style="11" customWidth="1"/>
    <col min="17" max="16384" width="10.75" style="11"/>
  </cols>
  <sheetData>
    <row r="1" spans="1:24" s="220" customFormat="1" ht="26.25" x14ac:dyDescent="0.4">
      <c r="A1" s="207" t="s">
        <v>399</v>
      </c>
      <c r="B1" s="212"/>
      <c r="C1" s="314" t="s">
        <v>403</v>
      </c>
      <c r="D1" s="230" t="s">
        <v>395</v>
      </c>
      <c r="E1" s="389" t="s">
        <v>404</v>
      </c>
      <c r="H1" s="221"/>
      <c r="I1" s="222"/>
      <c r="J1" s="219"/>
      <c r="K1" s="223"/>
      <c r="L1" s="214"/>
      <c r="M1" s="214"/>
      <c r="N1" s="214"/>
      <c r="O1" s="214"/>
      <c r="P1" s="214"/>
      <c r="W1" s="214"/>
    </row>
    <row r="2" spans="1:24" s="33" customFormat="1" ht="15.75" x14ac:dyDescent="0.25">
      <c r="A2" s="278" t="str">
        <f>Paramètres!B4</f>
        <v>Acomptes 2024</v>
      </c>
      <c r="B2" s="32"/>
      <c r="C2" s="160"/>
      <c r="D2" s="160"/>
      <c r="E2" s="160"/>
      <c r="F2" s="160"/>
      <c r="G2" s="160"/>
      <c r="H2" s="160"/>
      <c r="I2" s="160"/>
      <c r="J2" s="78"/>
      <c r="K2" s="79"/>
      <c r="M2" s="158"/>
      <c r="N2" s="158"/>
      <c r="O2" s="158"/>
      <c r="P2" s="158"/>
      <c r="Q2" s="158"/>
      <c r="X2" s="158"/>
    </row>
    <row r="3" spans="1:24" ht="20.100000000000001" customHeight="1" x14ac:dyDescent="0.25"/>
    <row r="4" spans="1:24" s="237" customFormat="1" ht="43.5" customHeight="1" x14ac:dyDescent="0.2">
      <c r="A4" s="701" t="s">
        <v>44</v>
      </c>
      <c r="B4" s="701" t="s">
        <v>84</v>
      </c>
      <c r="C4" s="701" t="s">
        <v>492</v>
      </c>
      <c r="D4" s="701" t="s">
        <v>530</v>
      </c>
      <c r="E4" s="701" t="s">
        <v>499</v>
      </c>
      <c r="F4" s="701" t="s">
        <v>500</v>
      </c>
      <c r="G4" s="713" t="s">
        <v>501</v>
      </c>
      <c r="H4" s="701" t="s">
        <v>431</v>
      </c>
      <c r="I4" s="715" t="s">
        <v>432</v>
      </c>
      <c r="J4" s="403" t="s">
        <v>430</v>
      </c>
      <c r="K4" s="713" t="s">
        <v>434</v>
      </c>
      <c r="L4" s="79"/>
    </row>
    <row r="5" spans="1:24" x14ac:dyDescent="0.25">
      <c r="A5" s="703"/>
      <c r="B5" s="703"/>
      <c r="C5" s="703"/>
      <c r="D5" s="702"/>
      <c r="E5" s="703"/>
      <c r="F5" s="703"/>
      <c r="G5" s="714"/>
      <c r="H5" s="703"/>
      <c r="I5" s="716"/>
      <c r="J5" s="285">
        <f>Paramètres!B44</f>
        <v>48</v>
      </c>
      <c r="K5" s="714"/>
      <c r="L5" s="13"/>
    </row>
    <row r="6" spans="1:24" x14ac:dyDescent="0.25">
      <c r="A6" s="38">
        <f>Données!A6</f>
        <v>5401</v>
      </c>
      <c r="B6" s="130" t="str">
        <f>Données!B6</f>
        <v>Aigle</v>
      </c>
      <c r="C6" s="272">
        <f>VPI!R6</f>
        <v>294617.5415151515</v>
      </c>
      <c r="D6" s="151">
        <f>(PCS!I12-PCS!F12)/C6</f>
        <v>12.498350698816378</v>
      </c>
      <c r="E6" s="397">
        <f>'Péréquation directe'!E12/C6</f>
        <v>-20.911476093284474</v>
      </c>
      <c r="F6" s="151">
        <f>'Péréquation directe'!F12/Effort!C6</f>
        <v>-13.529967829003507</v>
      </c>
      <c r="G6" s="151">
        <f>'Péréquation directe'!G12/Effort!C6</f>
        <v>-12.796248629371171</v>
      </c>
      <c r="H6" s="151">
        <f>'Péréquation directe'!J12/Effort!C6</f>
        <v>19.603565040505057</v>
      </c>
      <c r="I6" s="327">
        <f>SUM(D6:H6)</f>
        <v>-15.135776812337713</v>
      </c>
      <c r="J6" s="161">
        <f>IF(I6&gt;J$5,I6-J$5,0)</f>
        <v>0</v>
      </c>
      <c r="K6" s="42">
        <f>-J6*C6</f>
        <v>0</v>
      </c>
      <c r="L6" s="13"/>
    </row>
    <row r="7" spans="1:24" x14ac:dyDescent="0.25">
      <c r="A7" s="38">
        <f>Données!A7</f>
        <v>5402</v>
      </c>
      <c r="B7" s="130" t="str">
        <f>Données!B7</f>
        <v>Bex</v>
      </c>
      <c r="C7" s="272">
        <f>VPI!R7</f>
        <v>191952.18042253522</v>
      </c>
      <c r="D7" s="150">
        <f>(PCS!I13-PCS!F13)/C7</f>
        <v>12.498350698816378</v>
      </c>
      <c r="E7" s="398">
        <f>'Péréquation directe'!E13/C7</f>
        <v>-20.311117965419964</v>
      </c>
      <c r="F7" s="150">
        <f>'Péréquation directe'!F13/Effort!C7</f>
        <v>-20.803973542043991</v>
      </c>
      <c r="G7" s="150">
        <f>'Péréquation directe'!G13/Effort!C7</f>
        <v>-15.012343512356098</v>
      </c>
      <c r="H7" s="150">
        <f>'Péréquation directe'!J13/Effort!C7</f>
        <v>19.603565040505057</v>
      </c>
      <c r="I7" s="285">
        <f t="shared" ref="I7:I70" si="0">SUM(D7:H7)</f>
        <v>-24.025519280498617</v>
      </c>
      <c r="J7" s="161">
        <f t="shared" ref="J7:J70" si="1">IF(I7&gt;J$5,I7-J$5,0)</f>
        <v>0</v>
      </c>
      <c r="K7" s="42">
        <f t="shared" ref="K7:K70" si="2">-J7*C7</f>
        <v>0</v>
      </c>
      <c r="L7" s="175"/>
    </row>
    <row r="8" spans="1:24" x14ac:dyDescent="0.25">
      <c r="A8" s="38">
        <f>Données!A8</f>
        <v>5403</v>
      </c>
      <c r="B8" s="130" t="str">
        <f>Données!B8</f>
        <v>Chessel</v>
      </c>
      <c r="C8" s="272">
        <f>VPI!R8</f>
        <v>13520.577538461539</v>
      </c>
      <c r="D8" s="150">
        <f>(PCS!I14-PCS!F14)/C8</f>
        <v>12.498350698816378</v>
      </c>
      <c r="E8" s="398">
        <f>'Péréquation directe'!E14/C8</f>
        <v>-5.1220830567153914</v>
      </c>
      <c r="F8" s="150">
        <f>'Péréquation directe'!F14/Effort!C8</f>
        <v>-14.680809199171858</v>
      </c>
      <c r="G8" s="150">
        <f>'Péréquation directe'!G14/Effort!C8</f>
        <v>-1.6906119857849957</v>
      </c>
      <c r="H8" s="150">
        <f>'Péréquation directe'!J14/Effort!C8</f>
        <v>19.603565040505057</v>
      </c>
      <c r="I8" s="285">
        <f t="shared" si="0"/>
        <v>10.60841149764919</v>
      </c>
      <c r="J8" s="161">
        <f t="shared" si="1"/>
        <v>0</v>
      </c>
      <c r="K8" s="42">
        <f t="shared" si="2"/>
        <v>0</v>
      </c>
      <c r="L8" s="175"/>
    </row>
    <row r="9" spans="1:24" x14ac:dyDescent="0.25">
      <c r="A9" s="38">
        <f>Données!A9</f>
        <v>5404</v>
      </c>
      <c r="B9" s="130" t="str">
        <f>Données!B9</f>
        <v>Corbeyrier</v>
      </c>
      <c r="C9" s="272">
        <f>VPI!R9</f>
        <v>11663.176261261262</v>
      </c>
      <c r="D9" s="150">
        <f>(PCS!I15-PCS!F15)/C9</f>
        <v>12.498350698816376</v>
      </c>
      <c r="E9" s="398">
        <f>'Péréquation directe'!E15/C9</f>
        <v>-4.9481604592840878</v>
      </c>
      <c r="F9" s="150">
        <f>'Péréquation directe'!F15/Effort!C9</f>
        <v>-17.639772393518836</v>
      </c>
      <c r="G9" s="150">
        <f>'Péréquation directe'!G15/Effort!C9</f>
        <v>-16.417797349495675</v>
      </c>
      <c r="H9" s="150">
        <f>'Péréquation directe'!J15/Effort!C9</f>
        <v>19.603565040505057</v>
      </c>
      <c r="I9" s="285">
        <f t="shared" si="0"/>
        <v>-6.9038144629771665</v>
      </c>
      <c r="J9" s="161">
        <f t="shared" si="1"/>
        <v>0</v>
      </c>
      <c r="K9" s="42">
        <f t="shared" si="2"/>
        <v>0</v>
      </c>
      <c r="L9" s="175"/>
    </row>
    <row r="10" spans="1:24" x14ac:dyDescent="0.25">
      <c r="A10" s="38">
        <f>Données!A10</f>
        <v>5405</v>
      </c>
      <c r="B10" s="130" t="str">
        <f>Données!B10</f>
        <v>Gryon</v>
      </c>
      <c r="C10" s="272">
        <f>VPI!R10</f>
        <v>73284.694739229046</v>
      </c>
      <c r="D10" s="150">
        <f>(PCS!I16-PCS!F16)/C10</f>
        <v>13.850135194296016</v>
      </c>
      <c r="E10" s="398">
        <f>'Péréquation directe'!E16/C10</f>
        <v>-3.7391653540259862</v>
      </c>
      <c r="F10" s="150">
        <f>'Péréquation directe'!F16/Effort!C10</f>
        <v>0</v>
      </c>
      <c r="G10" s="150">
        <f>'Péréquation directe'!G16/Effort!C10</f>
        <v>-8.173947890178356</v>
      </c>
      <c r="H10" s="150">
        <f>'Péréquation directe'!J16/Effort!C10</f>
        <v>19.603565040505057</v>
      </c>
      <c r="I10" s="285">
        <f t="shared" si="0"/>
        <v>21.540586990596729</v>
      </c>
      <c r="J10" s="161">
        <f t="shared" si="1"/>
        <v>0</v>
      </c>
      <c r="K10" s="42">
        <f t="shared" si="2"/>
        <v>0</v>
      </c>
      <c r="L10" s="175"/>
    </row>
    <row r="11" spans="1:24" x14ac:dyDescent="0.25">
      <c r="A11" s="38">
        <f>Données!A11</f>
        <v>5406</v>
      </c>
      <c r="B11" s="130" t="str">
        <f>Données!B11</f>
        <v>Lavey-Morcles</v>
      </c>
      <c r="C11" s="272">
        <f>VPI!R11</f>
        <v>22110.99022054868</v>
      </c>
      <c r="D11" s="150">
        <f>(PCS!I17-PCS!F17)/C11</f>
        <v>12.498350698816378</v>
      </c>
      <c r="E11" s="398">
        <f>'Péréquation directe'!E17/C11</f>
        <v>-5.8074093082995706</v>
      </c>
      <c r="F11" s="150">
        <f>'Péréquation directe'!F17/Effort!C11</f>
        <v>-22.869565507202296</v>
      </c>
      <c r="G11" s="150">
        <f>'Péréquation directe'!G17/Effort!C11</f>
        <v>-7.6808090173622769</v>
      </c>
      <c r="H11" s="150">
        <f>'Péréquation directe'!J17/Effort!C11</f>
        <v>19.603565040505057</v>
      </c>
      <c r="I11" s="285">
        <f t="shared" si="0"/>
        <v>-4.2558680935427127</v>
      </c>
      <c r="J11" s="161">
        <f t="shared" si="1"/>
        <v>0</v>
      </c>
      <c r="K11" s="42">
        <f t="shared" si="2"/>
        <v>0</v>
      </c>
      <c r="L11" s="175"/>
    </row>
    <row r="12" spans="1:24" x14ac:dyDescent="0.25">
      <c r="A12" s="38">
        <f>Données!A12</f>
        <v>5407</v>
      </c>
      <c r="B12" s="130" t="str">
        <f>Données!B12</f>
        <v>Leysin</v>
      </c>
      <c r="C12" s="272">
        <f>VPI!R12</f>
        <v>89840.418034188027</v>
      </c>
      <c r="D12" s="150">
        <f>(PCS!I18-PCS!F18)/C12</f>
        <v>12.498350698816378</v>
      </c>
      <c r="E12" s="398">
        <f>'Péréquation directe'!E18/C12</f>
        <v>-13.974583175786575</v>
      </c>
      <c r="F12" s="150">
        <f>'Péréquation directe'!F18/Effort!C12</f>
        <v>-24.176957765641038</v>
      </c>
      <c r="G12" s="150">
        <f>'Péréquation directe'!G18/Effort!C12</f>
        <v>-17.619686052440628</v>
      </c>
      <c r="H12" s="150">
        <f>'Péréquation directe'!J18/Effort!C12</f>
        <v>19.603565040505057</v>
      </c>
      <c r="I12" s="285">
        <f t="shared" si="0"/>
        <v>-23.669311254546809</v>
      </c>
      <c r="J12" s="161">
        <f t="shared" si="1"/>
        <v>0</v>
      </c>
      <c r="K12" s="42">
        <f t="shared" si="2"/>
        <v>0</v>
      </c>
      <c r="L12" s="175"/>
    </row>
    <row r="13" spans="1:24" x14ac:dyDescent="0.25">
      <c r="A13" s="38">
        <f>Données!A13</f>
        <v>5408</v>
      </c>
      <c r="B13" s="130" t="str">
        <f>Données!B13</f>
        <v>Noville</v>
      </c>
      <c r="C13" s="272">
        <f>VPI!R13</f>
        <v>41970.812088888903</v>
      </c>
      <c r="D13" s="150">
        <f>(PCS!I19-PCS!F19)/C13</f>
        <v>12.498350698816379</v>
      </c>
      <c r="E13" s="398">
        <f>'Péréquation directe'!E19/C13</f>
        <v>-4.6038617621259315</v>
      </c>
      <c r="F13" s="150">
        <f>'Péréquation directe'!F19/Effort!C13</f>
        <v>-7.5045576639413021</v>
      </c>
      <c r="G13" s="150">
        <f>'Péréquation directe'!G19/Effort!C13</f>
        <v>-3.0500818803706577</v>
      </c>
      <c r="H13" s="150">
        <f>'Péréquation directe'!J19/Effort!C13</f>
        <v>19.603565040505057</v>
      </c>
      <c r="I13" s="285">
        <f t="shared" si="0"/>
        <v>16.943414432883543</v>
      </c>
      <c r="J13" s="161">
        <f t="shared" si="1"/>
        <v>0</v>
      </c>
      <c r="K13" s="42">
        <f t="shared" si="2"/>
        <v>0</v>
      </c>
      <c r="L13" s="175"/>
    </row>
    <row r="14" spans="1:24" x14ac:dyDescent="0.25">
      <c r="A14" s="38">
        <f>Données!A14</f>
        <v>5409</v>
      </c>
      <c r="B14" s="130" t="str">
        <f>Données!B14</f>
        <v>Ollon</v>
      </c>
      <c r="C14" s="272">
        <f>VPI!R14</f>
        <v>405929.69030542986</v>
      </c>
      <c r="D14" s="150">
        <f>(PCS!I20-PCS!F20)/C14</f>
        <v>13.310433356536723</v>
      </c>
      <c r="E14" s="398">
        <f>'Péréquation directe'!E20/C14</f>
        <v>-9.3191535803015917</v>
      </c>
      <c r="F14" s="150">
        <f>'Péréquation directe'!F20/Effort!C14</f>
        <v>0</v>
      </c>
      <c r="G14" s="150">
        <f>'Péréquation directe'!G20/Effort!C14</f>
        <v>-8.6233508752991828</v>
      </c>
      <c r="H14" s="150">
        <f>'Péréquation directe'!J20/Effort!C14</f>
        <v>19.603565040505057</v>
      </c>
      <c r="I14" s="285">
        <f t="shared" si="0"/>
        <v>14.971493941441006</v>
      </c>
      <c r="J14" s="161">
        <f t="shared" si="1"/>
        <v>0</v>
      </c>
      <c r="K14" s="42">
        <f t="shared" si="2"/>
        <v>0</v>
      </c>
      <c r="L14" s="175"/>
    </row>
    <row r="15" spans="1:24" x14ac:dyDescent="0.25">
      <c r="A15" s="38">
        <f>Données!A15</f>
        <v>5410</v>
      </c>
      <c r="B15" s="130" t="str">
        <f>Données!B15</f>
        <v>Ormont-Dessous</v>
      </c>
      <c r="C15" s="272">
        <f>VPI!R15</f>
        <v>38412.928528138524</v>
      </c>
      <c r="D15" s="150">
        <f>(PCS!I21-PCS!F21)/C15</f>
        <v>12.498350698816378</v>
      </c>
      <c r="E15" s="398">
        <f>'Péréquation directe'!E21/C15</f>
        <v>-5.1163268754055915</v>
      </c>
      <c r="F15" s="150">
        <f>'Péréquation directe'!F21/Effort!C15</f>
        <v>-11.099304579754492</v>
      </c>
      <c r="G15" s="150">
        <f>'Péréquation directe'!G21/Effort!C15</f>
        <v>-23.441923801444322</v>
      </c>
      <c r="H15" s="150">
        <f>'Péréquation directe'!J21/Effort!C15</f>
        <v>19.603565040505057</v>
      </c>
      <c r="I15" s="285">
        <f t="shared" si="0"/>
        <v>-7.5556395172829696</v>
      </c>
      <c r="J15" s="161">
        <f t="shared" si="1"/>
        <v>0</v>
      </c>
      <c r="K15" s="42">
        <f t="shared" si="2"/>
        <v>0</v>
      </c>
      <c r="L15" s="175"/>
    </row>
    <row r="16" spans="1:24" x14ac:dyDescent="0.25">
      <c r="A16" s="38">
        <f>Données!A16</f>
        <v>5411</v>
      </c>
      <c r="B16" s="130" t="str">
        <f>Données!B16</f>
        <v>Ormont-Dessus</v>
      </c>
      <c r="C16" s="272">
        <f>VPI!R16</f>
        <v>76159.947763157907</v>
      </c>
      <c r="D16" s="150">
        <f>(PCS!I22-PCS!F22)/C16</f>
        <v>14.07296743875434</v>
      </c>
      <c r="E16" s="398">
        <f>'Péréquation directe'!E22/C16</f>
        <v>-3.7715981529180183</v>
      </c>
      <c r="F16" s="150">
        <f>'Péréquation directe'!F22/Effort!C16</f>
        <v>0</v>
      </c>
      <c r="G16" s="150">
        <f>'Péréquation directe'!G22/Effort!C16</f>
        <v>-9.010927608604625</v>
      </c>
      <c r="H16" s="150">
        <f>'Péréquation directe'!J22/Effort!C16</f>
        <v>19.603565040505057</v>
      </c>
      <c r="I16" s="285">
        <f t="shared" si="0"/>
        <v>20.894006717736751</v>
      </c>
      <c r="J16" s="161">
        <f t="shared" si="1"/>
        <v>0</v>
      </c>
      <c r="K16" s="42">
        <f t="shared" si="2"/>
        <v>0</v>
      </c>
      <c r="L16" s="175"/>
    </row>
    <row r="17" spans="1:12" x14ac:dyDescent="0.25">
      <c r="A17" s="38">
        <f>Données!A17</f>
        <v>5412</v>
      </c>
      <c r="B17" s="130" t="str">
        <f>Données!B17</f>
        <v>Rennaz</v>
      </c>
      <c r="C17" s="272">
        <f>VPI!R17</f>
        <v>32236.510434782613</v>
      </c>
      <c r="D17" s="150">
        <f>(PCS!I23-PCS!F23)/C17</f>
        <v>12.498350698816378</v>
      </c>
      <c r="E17" s="398">
        <f>'Péréquation directe'!E23/C17</f>
        <v>-3.779859239960182</v>
      </c>
      <c r="F17" s="150">
        <f>'Péréquation directe'!F23/Effort!C17</f>
        <v>-7.230559017101899</v>
      </c>
      <c r="G17" s="150">
        <f>'Péréquation directe'!G23/Effort!C17</f>
        <v>-1.8513209582784114</v>
      </c>
      <c r="H17" s="150">
        <f>'Péréquation directe'!J23/Effort!C17</f>
        <v>19.603565040505057</v>
      </c>
      <c r="I17" s="285">
        <f t="shared" si="0"/>
        <v>19.240176523980942</v>
      </c>
      <c r="J17" s="161">
        <f t="shared" si="1"/>
        <v>0</v>
      </c>
      <c r="K17" s="42">
        <f t="shared" si="2"/>
        <v>0</v>
      </c>
      <c r="L17" s="175"/>
    </row>
    <row r="18" spans="1:12" x14ac:dyDescent="0.25">
      <c r="A18" s="38">
        <f>Données!A18</f>
        <v>5413</v>
      </c>
      <c r="B18" s="130" t="str">
        <f>Données!B18</f>
        <v>Roche</v>
      </c>
      <c r="C18" s="272">
        <f>VPI!R18</f>
        <v>42591.589534313724</v>
      </c>
      <c r="D18" s="150">
        <f>(PCS!I24-PCS!F24)/C18</f>
        <v>12.498350698816378</v>
      </c>
      <c r="E18" s="398">
        <f>'Péréquation directe'!E24/C18</f>
        <v>-11.184843930427792</v>
      </c>
      <c r="F18" s="150">
        <f>'Péréquation directe'!F24/Effort!C18</f>
        <v>-21.809888296913524</v>
      </c>
      <c r="G18" s="150">
        <f>'Péréquation directe'!G24/Effort!C18</f>
        <v>-2.2586016649453184</v>
      </c>
      <c r="H18" s="150">
        <f>'Péréquation directe'!J24/Effort!C18</f>
        <v>19.603565040505057</v>
      </c>
      <c r="I18" s="285">
        <f t="shared" si="0"/>
        <v>-3.1514181529651992</v>
      </c>
      <c r="J18" s="161">
        <f t="shared" si="1"/>
        <v>0</v>
      </c>
      <c r="K18" s="42">
        <f t="shared" si="2"/>
        <v>0</v>
      </c>
      <c r="L18" s="175"/>
    </row>
    <row r="19" spans="1:12" x14ac:dyDescent="0.25">
      <c r="A19" s="38">
        <f>Données!A19</f>
        <v>5414</v>
      </c>
      <c r="B19" s="130" t="str">
        <f>Données!B19</f>
        <v>Villeneuve</v>
      </c>
      <c r="C19" s="272">
        <f>VPI!R19</f>
        <v>165869.64903703702</v>
      </c>
      <c r="D19" s="150">
        <f>(PCS!I25-PCS!F25)/C19</f>
        <v>12.498350698816379</v>
      </c>
      <c r="E19" s="398">
        <f>'Péréquation directe'!E25/C19</f>
        <v>-15.260906027451378</v>
      </c>
      <c r="F19" s="150">
        <f>'Péréquation directe'!F25/Effort!C19</f>
        <v>-13.21458086447425</v>
      </c>
      <c r="G19" s="150">
        <f>'Péréquation directe'!G25/Effort!C19</f>
        <v>-11.470670679900159</v>
      </c>
      <c r="H19" s="150">
        <f>'Péréquation directe'!J25/Effort!C19</f>
        <v>19.603565040505057</v>
      </c>
      <c r="I19" s="285">
        <f t="shared" si="0"/>
        <v>-7.8442418325043519</v>
      </c>
      <c r="J19" s="161">
        <f t="shared" si="1"/>
        <v>0</v>
      </c>
      <c r="K19" s="42">
        <f t="shared" si="2"/>
        <v>0</v>
      </c>
      <c r="L19" s="175"/>
    </row>
    <row r="20" spans="1:12" x14ac:dyDescent="0.25">
      <c r="A20" s="38">
        <f>Données!A20</f>
        <v>5415</v>
      </c>
      <c r="B20" s="130" t="str">
        <f>Données!B20</f>
        <v>Yvorne</v>
      </c>
      <c r="C20" s="272">
        <f>VPI!R20</f>
        <v>33673.599766899759</v>
      </c>
      <c r="D20" s="150">
        <f>(PCS!I26-PCS!F26)/C20</f>
        <v>12.498350698816378</v>
      </c>
      <c r="E20" s="398">
        <f>'Péréquation directe'!E26/C20</f>
        <v>-4.8548501740772458</v>
      </c>
      <c r="F20" s="150">
        <f>'Péréquation directe'!F26/Effort!C20</f>
        <v>-11.176230375133324</v>
      </c>
      <c r="G20" s="150">
        <f>'Péréquation directe'!G26/Effort!C20</f>
        <v>-10.735443216863862</v>
      </c>
      <c r="H20" s="150">
        <f>'Péréquation directe'!J26/Effort!C20</f>
        <v>19.603565040505057</v>
      </c>
      <c r="I20" s="285">
        <f t="shared" si="0"/>
        <v>5.3353919732470025</v>
      </c>
      <c r="J20" s="161">
        <f t="shared" si="1"/>
        <v>0</v>
      </c>
      <c r="K20" s="42">
        <f t="shared" si="2"/>
        <v>0</v>
      </c>
      <c r="L20" s="175"/>
    </row>
    <row r="21" spans="1:12" x14ac:dyDescent="0.25">
      <c r="A21" s="38">
        <f>Données!A21</f>
        <v>5422</v>
      </c>
      <c r="B21" s="130" t="str">
        <f>Données!B21</f>
        <v>Aubonne</v>
      </c>
      <c r="C21" s="272">
        <f>VPI!R21</f>
        <v>297528.5668571429</v>
      </c>
      <c r="D21" s="150">
        <f>(PCS!I27-PCS!F27)/C21</f>
        <v>20.409621305490951</v>
      </c>
      <c r="E21" s="398">
        <f>'Péréquation directe'!E27/C21</f>
        <v>-4.3061079962121021</v>
      </c>
      <c r="F21" s="150">
        <f>'Péréquation directe'!F27/Effort!C21</f>
        <v>0</v>
      </c>
      <c r="G21" s="150">
        <f>'Péréquation directe'!G27/Effort!C21</f>
        <v>0</v>
      </c>
      <c r="H21" s="150">
        <f>'Péréquation directe'!J27/Effort!C21</f>
        <v>19.603565040505057</v>
      </c>
      <c r="I21" s="285">
        <f t="shared" si="0"/>
        <v>35.707078349783906</v>
      </c>
      <c r="J21" s="161">
        <f t="shared" si="1"/>
        <v>0</v>
      </c>
      <c r="K21" s="42">
        <f t="shared" si="2"/>
        <v>0</v>
      </c>
      <c r="L21" s="175"/>
    </row>
    <row r="22" spans="1:12" x14ac:dyDescent="0.25">
      <c r="A22" s="38">
        <f>Données!A22</f>
        <v>5423</v>
      </c>
      <c r="B22" s="130" t="str">
        <f>Données!B22</f>
        <v>Ballens</v>
      </c>
      <c r="C22" s="272">
        <f>VPI!R22</f>
        <v>17345.56260273973</v>
      </c>
      <c r="D22" s="150">
        <f>(PCS!I28-PCS!F28)/C22</f>
        <v>12.498350698816378</v>
      </c>
      <c r="E22" s="398">
        <f>'Péréquation directe'!E28/C22</f>
        <v>-4.4614040577766341</v>
      </c>
      <c r="F22" s="150">
        <f>'Péréquation directe'!F28/Effort!C22</f>
        <v>-13.386079608243694</v>
      </c>
      <c r="G22" s="150">
        <f>'Péréquation directe'!G28/Effort!C22</f>
        <v>-4.2557972500528969</v>
      </c>
      <c r="H22" s="150">
        <f>'Péréquation directe'!J28/Effort!C22</f>
        <v>19.603565040505057</v>
      </c>
      <c r="I22" s="285">
        <f t="shared" si="0"/>
        <v>9.9986348232482101</v>
      </c>
      <c r="J22" s="161">
        <f t="shared" si="1"/>
        <v>0</v>
      </c>
      <c r="K22" s="42">
        <f t="shared" si="2"/>
        <v>0</v>
      </c>
      <c r="L22" s="175"/>
    </row>
    <row r="23" spans="1:12" x14ac:dyDescent="0.25">
      <c r="A23" s="38">
        <f>Données!A23</f>
        <v>5424</v>
      </c>
      <c r="B23" s="130" t="str">
        <f>Données!B23</f>
        <v>Berolle</v>
      </c>
      <c r="C23" s="272">
        <f>VPI!R23</f>
        <v>10263.233774834438</v>
      </c>
      <c r="D23" s="150">
        <f>(PCS!I29-PCS!F29)/C23</f>
        <v>12.498350698816378</v>
      </c>
      <c r="E23" s="398">
        <f>'Péréquation directe'!E29/C23</f>
        <v>-3.8722763542848195</v>
      </c>
      <c r="F23" s="150">
        <f>'Péréquation directe'!F29/Effort!C23</f>
        <v>-9.4247176408213846</v>
      </c>
      <c r="G23" s="150">
        <f>'Péréquation directe'!G29/Effort!C23</f>
        <v>-8.1668291288942143</v>
      </c>
      <c r="H23" s="150">
        <f>'Péréquation directe'!J29/Effort!C23</f>
        <v>19.603565040505057</v>
      </c>
      <c r="I23" s="285">
        <f t="shared" si="0"/>
        <v>10.638092615321016</v>
      </c>
      <c r="J23" s="161">
        <f t="shared" si="1"/>
        <v>0</v>
      </c>
      <c r="K23" s="42">
        <f t="shared" si="2"/>
        <v>0</v>
      </c>
      <c r="L23" s="175"/>
    </row>
    <row r="24" spans="1:12" x14ac:dyDescent="0.25">
      <c r="A24" s="38">
        <f>Données!A24</f>
        <v>5425</v>
      </c>
      <c r="B24" s="130" t="str">
        <f>Données!B24</f>
        <v>Bière</v>
      </c>
      <c r="C24" s="272">
        <f>VPI!R24</f>
        <v>42246.57887556222</v>
      </c>
      <c r="D24" s="150">
        <f>(PCS!I30-PCS!F30)/C24</f>
        <v>12.498350698816378</v>
      </c>
      <c r="E24" s="398">
        <f>'Péréquation directe'!E30/C24</f>
        <v>-9.0420606100611671</v>
      </c>
      <c r="F24" s="150">
        <f>'Péréquation directe'!F30/Effort!C24</f>
        <v>-17.258526225637834</v>
      </c>
      <c r="G24" s="150">
        <f>'Péréquation directe'!G30/Effort!C24</f>
        <v>-12.708615406836053</v>
      </c>
      <c r="H24" s="150">
        <f>'Péréquation directe'!J30/Effort!C24</f>
        <v>19.603565040505057</v>
      </c>
      <c r="I24" s="285">
        <f t="shared" si="0"/>
        <v>-6.9072865032136193</v>
      </c>
      <c r="J24" s="161">
        <f t="shared" si="1"/>
        <v>0</v>
      </c>
      <c r="K24" s="42">
        <f t="shared" si="2"/>
        <v>0</v>
      </c>
      <c r="L24" s="175"/>
    </row>
    <row r="25" spans="1:12" x14ac:dyDescent="0.25">
      <c r="A25" s="38">
        <f>Données!A25</f>
        <v>5426</v>
      </c>
      <c r="B25" s="130" t="str">
        <f>Données!B25</f>
        <v>Bougy-Villars</v>
      </c>
      <c r="C25" s="272">
        <f>VPI!R25</f>
        <v>61944.740516795857</v>
      </c>
      <c r="D25" s="150">
        <f>(PCS!I31-PCS!F31)/C25</f>
        <v>27.836251845997484</v>
      </c>
      <c r="E25" s="398">
        <f>'Péréquation directe'!E31/C25</f>
        <v>-1.0714058561353352</v>
      </c>
      <c r="F25" s="150">
        <f>'Péréquation directe'!F31/Effort!C25</f>
        <v>0</v>
      </c>
      <c r="G25" s="150">
        <f>'Péréquation directe'!G31/Effort!C25</f>
        <v>0</v>
      </c>
      <c r="H25" s="150">
        <f>'Péréquation directe'!J31/Effort!C25</f>
        <v>19.603565040505057</v>
      </c>
      <c r="I25" s="285">
        <f t="shared" si="0"/>
        <v>46.368411030367206</v>
      </c>
      <c r="J25" s="161">
        <f t="shared" si="1"/>
        <v>0</v>
      </c>
      <c r="K25" s="42">
        <f t="shared" si="2"/>
        <v>0</v>
      </c>
      <c r="L25" s="175"/>
    </row>
    <row r="26" spans="1:12" x14ac:dyDescent="0.25">
      <c r="A26" s="38">
        <f>Données!A26</f>
        <v>5427</v>
      </c>
      <c r="B26" s="130" t="str">
        <f>Données!B26</f>
        <v>Féchy</v>
      </c>
      <c r="C26" s="272">
        <f>VPI!R26</f>
        <v>86921.388449519218</v>
      </c>
      <c r="D26" s="150">
        <f>(PCS!I32-PCS!F32)/C26</f>
        <v>23.53461605167973</v>
      </c>
      <c r="E26" s="398">
        <f>'Péréquation directe'!E32/C26</f>
        <v>-1.3384584748281019</v>
      </c>
      <c r="F26" s="150">
        <f>'Péréquation directe'!F32/Effort!C26</f>
        <v>0</v>
      </c>
      <c r="G26" s="150">
        <f>'Péréquation directe'!G32/Effort!C26</f>
        <v>0</v>
      </c>
      <c r="H26" s="150">
        <f>'Péréquation directe'!J32/Effort!C26</f>
        <v>19.603565040505057</v>
      </c>
      <c r="I26" s="285">
        <f t="shared" si="0"/>
        <v>41.799722617356686</v>
      </c>
      <c r="J26" s="161">
        <f t="shared" si="1"/>
        <v>0</v>
      </c>
      <c r="K26" s="42">
        <f t="shared" si="2"/>
        <v>0</v>
      </c>
      <c r="L26" s="175"/>
    </row>
    <row r="27" spans="1:12" x14ac:dyDescent="0.25">
      <c r="A27" s="38">
        <f>Données!A27</f>
        <v>5428</v>
      </c>
      <c r="B27" s="130" t="str">
        <f>Données!B27</f>
        <v>Gimel</v>
      </c>
      <c r="C27" s="272">
        <f>VPI!R27</f>
        <v>71357.07080536912</v>
      </c>
      <c r="D27" s="150">
        <f>(PCS!I33-PCS!F33)/C27</f>
        <v>12.498350698816378</v>
      </c>
      <c r="E27" s="398">
        <f>'Péréquation directe'!E33/C27</f>
        <v>-9.1155430479817667</v>
      </c>
      <c r="F27" s="150">
        <f>'Péréquation directe'!F33/Effort!C27</f>
        <v>-13.746003412323569</v>
      </c>
      <c r="G27" s="150">
        <f>'Péréquation directe'!G33/Effort!C27</f>
        <v>-7.4830049417416875</v>
      </c>
      <c r="H27" s="150">
        <f>'Péréquation directe'!J33/Effort!C27</f>
        <v>19.603565040505057</v>
      </c>
      <c r="I27" s="285">
        <f t="shared" si="0"/>
        <v>1.7573643372744101</v>
      </c>
      <c r="J27" s="161">
        <f t="shared" si="1"/>
        <v>0</v>
      </c>
      <c r="K27" s="42">
        <f t="shared" si="2"/>
        <v>0</v>
      </c>
      <c r="L27" s="175"/>
    </row>
    <row r="28" spans="1:12" x14ac:dyDescent="0.25">
      <c r="A28" s="38">
        <f>Données!A28</f>
        <v>5429</v>
      </c>
      <c r="B28" s="130" t="str">
        <f>Données!B28</f>
        <v>Longirod</v>
      </c>
      <c r="C28" s="272">
        <f>VPI!R28</f>
        <v>17141.954451612906</v>
      </c>
      <c r="D28" s="150">
        <f>(PCS!I34-PCS!F34)/C28</f>
        <v>12.498350698816379</v>
      </c>
      <c r="E28" s="398">
        <f>'Péréquation directe'!E34/C28</f>
        <v>-4.1394711997899858</v>
      </c>
      <c r="F28" s="150">
        <f>'Péréquation directe'!F34/Effort!C28</f>
        <v>-12.269408656453527</v>
      </c>
      <c r="G28" s="150">
        <f>'Péréquation directe'!G34/Effort!C28</f>
        <v>-3.8950321885403345</v>
      </c>
      <c r="H28" s="150">
        <f>'Péréquation directe'!J34/Effort!C28</f>
        <v>19.603565040505057</v>
      </c>
      <c r="I28" s="285">
        <f t="shared" si="0"/>
        <v>11.79800369453759</v>
      </c>
      <c r="J28" s="161">
        <f t="shared" si="1"/>
        <v>0</v>
      </c>
      <c r="K28" s="42">
        <f t="shared" si="2"/>
        <v>0</v>
      </c>
      <c r="L28" s="175"/>
    </row>
    <row r="29" spans="1:12" x14ac:dyDescent="0.25">
      <c r="A29" s="38">
        <f>Données!A29</f>
        <v>5430</v>
      </c>
      <c r="B29" s="130" t="str">
        <f>Données!B29</f>
        <v>Marchissy</v>
      </c>
      <c r="C29" s="272">
        <f>VPI!R29</f>
        <v>17121.702064516132</v>
      </c>
      <c r="D29" s="150">
        <f>(PCS!I35-PCS!F35)/C29</f>
        <v>12.498350698816378</v>
      </c>
      <c r="E29" s="398">
        <f>'Péréquation directe'!E35/C29</f>
        <v>-3.8226236910933893</v>
      </c>
      <c r="F29" s="150">
        <f>'Péréquation directe'!F35/Effort!C29</f>
        <v>-9.4960445507229831</v>
      </c>
      <c r="G29" s="150">
        <f>'Péréquation directe'!G35/Effort!C29</f>
        <v>-3.4593177128822195</v>
      </c>
      <c r="H29" s="150">
        <f>'Péréquation directe'!J35/Effort!C29</f>
        <v>19.603565040505057</v>
      </c>
      <c r="I29" s="285">
        <f t="shared" si="0"/>
        <v>15.323929784622843</v>
      </c>
      <c r="J29" s="161">
        <f t="shared" si="1"/>
        <v>0</v>
      </c>
      <c r="K29" s="42">
        <f t="shared" si="2"/>
        <v>0</v>
      </c>
      <c r="L29" s="175"/>
    </row>
    <row r="30" spans="1:12" x14ac:dyDescent="0.25">
      <c r="A30" s="38">
        <f>Données!A30</f>
        <v>5431</v>
      </c>
      <c r="B30" s="130" t="str">
        <f>Données!B30</f>
        <v>Mollens</v>
      </c>
      <c r="C30" s="272">
        <f>VPI!R30</f>
        <v>9475.2202702702707</v>
      </c>
      <c r="D30" s="150">
        <f>(PCS!I36-PCS!F36)/C30</f>
        <v>12.498350698816379</v>
      </c>
      <c r="E30" s="398">
        <f>'Péréquation directe'!E36/C30</f>
        <v>-4.4850122383516116</v>
      </c>
      <c r="F30" s="150">
        <f>'Péréquation directe'!F36/Effort!C30</f>
        <v>-13.943732686172581</v>
      </c>
      <c r="G30" s="150">
        <f>'Péréquation directe'!G36/Effort!C30</f>
        <v>-5.9977866871272889</v>
      </c>
      <c r="H30" s="150">
        <f>'Péréquation directe'!J36/Effort!C30</f>
        <v>19.603565040505057</v>
      </c>
      <c r="I30" s="285">
        <f t="shared" si="0"/>
        <v>7.6753841276699539</v>
      </c>
      <c r="J30" s="161">
        <f t="shared" si="1"/>
        <v>0</v>
      </c>
      <c r="K30" s="42">
        <f t="shared" si="2"/>
        <v>0</v>
      </c>
      <c r="L30" s="175"/>
    </row>
    <row r="31" spans="1:12" x14ac:dyDescent="0.25">
      <c r="A31" s="38">
        <f>Données!A31</f>
        <v>5434</v>
      </c>
      <c r="B31" s="130" t="str">
        <f>Données!B31</f>
        <v>Saint-George</v>
      </c>
      <c r="C31" s="272">
        <f>VPI!R31</f>
        <v>40910.420311750597</v>
      </c>
      <c r="D31" s="150">
        <f>(PCS!I37-PCS!F37)/C31</f>
        <v>12.498350698816378</v>
      </c>
      <c r="E31" s="398">
        <f>'Péréquation directe'!E37/C31</f>
        <v>-3.8254914908263737</v>
      </c>
      <c r="F31" s="150">
        <f>'Péréquation directe'!F37/Effort!C31</f>
        <v>-4.853973958412265</v>
      </c>
      <c r="G31" s="150">
        <f>'Péréquation directe'!G37/Effort!C31</f>
        <v>-3.8093415807082329</v>
      </c>
      <c r="H31" s="150">
        <f>'Péréquation directe'!J37/Effort!C31</f>
        <v>19.603565040505057</v>
      </c>
      <c r="I31" s="285">
        <f t="shared" si="0"/>
        <v>19.613108709374565</v>
      </c>
      <c r="J31" s="161">
        <f t="shared" si="1"/>
        <v>0</v>
      </c>
      <c r="K31" s="42">
        <f t="shared" si="2"/>
        <v>0</v>
      </c>
      <c r="L31" s="175"/>
    </row>
    <row r="32" spans="1:12" x14ac:dyDescent="0.25">
      <c r="A32" s="38">
        <f>Données!A32</f>
        <v>5435</v>
      </c>
      <c r="B32" s="130" t="str">
        <f>Données!B32</f>
        <v>Saint-Livres</v>
      </c>
      <c r="C32" s="272">
        <f>VPI!R32</f>
        <v>25462.062463768114</v>
      </c>
      <c r="D32" s="150">
        <f>(PCS!I38-PCS!F38)/C32</f>
        <v>12.498350698816379</v>
      </c>
      <c r="E32" s="398">
        <f>'Péréquation directe'!E38/C32</f>
        <v>-3.5904355547114624</v>
      </c>
      <c r="F32" s="150">
        <f>'Péréquation directe'!F38/Effort!C32</f>
        <v>-5.9162858181421303</v>
      </c>
      <c r="G32" s="150">
        <f>'Péréquation directe'!G38/Effort!C32</f>
        <v>-1.3198636818032494</v>
      </c>
      <c r="H32" s="150">
        <f>'Péréquation directe'!J38/Effort!C32</f>
        <v>19.603565040505057</v>
      </c>
      <c r="I32" s="285">
        <f t="shared" si="0"/>
        <v>21.275330684664596</v>
      </c>
      <c r="J32" s="161">
        <f t="shared" si="1"/>
        <v>0</v>
      </c>
      <c r="K32" s="42">
        <f t="shared" si="2"/>
        <v>0</v>
      </c>
      <c r="L32" s="175"/>
    </row>
    <row r="33" spans="1:12" x14ac:dyDescent="0.25">
      <c r="A33" s="38">
        <f>Données!A33</f>
        <v>5436</v>
      </c>
      <c r="B33" s="130" t="str">
        <f>Données!B33</f>
        <v>Saint-Oyens</v>
      </c>
      <c r="C33" s="272">
        <f>VPI!R33</f>
        <v>16425.302151898733</v>
      </c>
      <c r="D33" s="150">
        <f>(PCS!I39-PCS!F39)/C33</f>
        <v>12.498350698816378</v>
      </c>
      <c r="E33" s="398">
        <f>'Péréquation directe'!E39/C33</f>
        <v>-3.6413247440940171</v>
      </c>
      <c r="F33" s="150">
        <f>'Péréquation directe'!F39/Effort!C33</f>
        <v>-8.2182590374188962</v>
      </c>
      <c r="G33" s="150">
        <f>'Péréquation directe'!G39/Effort!C33</f>
        <v>0</v>
      </c>
      <c r="H33" s="150">
        <f>'Péréquation directe'!J39/Effort!C33</f>
        <v>19.603565040505057</v>
      </c>
      <c r="I33" s="285">
        <f t="shared" si="0"/>
        <v>20.242331957808521</v>
      </c>
      <c r="J33" s="161">
        <f t="shared" si="1"/>
        <v>0</v>
      </c>
      <c r="K33" s="42">
        <f t="shared" si="2"/>
        <v>0</v>
      </c>
      <c r="L33" s="175"/>
    </row>
    <row r="34" spans="1:12" x14ac:dyDescent="0.25">
      <c r="A34" s="38">
        <f>Données!A34</f>
        <v>5437</v>
      </c>
      <c r="B34" s="130" t="str">
        <f>Données!B34</f>
        <v>Saubraz</v>
      </c>
      <c r="C34" s="272">
        <f>VPI!R34</f>
        <v>12131.165499999999</v>
      </c>
      <c r="D34" s="150">
        <f>(PCS!I40-PCS!F40)/C34</f>
        <v>12.498350698816378</v>
      </c>
      <c r="E34" s="398">
        <f>'Péréquation directe'!E40/C34</f>
        <v>-4.8545809841694654</v>
      </c>
      <c r="F34" s="150">
        <f>'Péréquation directe'!F40/Effort!C34</f>
        <v>-19.743444337757932</v>
      </c>
      <c r="G34" s="150">
        <f>'Péréquation directe'!G40/Effort!C34</f>
        <v>-0.29560359726398261</v>
      </c>
      <c r="H34" s="150">
        <f>'Péréquation directe'!J40/Effort!C34</f>
        <v>19.603565040505057</v>
      </c>
      <c r="I34" s="285">
        <f t="shared" si="0"/>
        <v>7.2082868201300538</v>
      </c>
      <c r="J34" s="161">
        <f t="shared" si="1"/>
        <v>0</v>
      </c>
      <c r="K34" s="42">
        <f t="shared" si="2"/>
        <v>0</v>
      </c>
      <c r="L34" s="175"/>
    </row>
    <row r="35" spans="1:12" x14ac:dyDescent="0.25">
      <c r="A35" s="38">
        <f>Données!A35</f>
        <v>5451</v>
      </c>
      <c r="B35" s="130" t="str">
        <f>Données!B35</f>
        <v>Avenches</v>
      </c>
      <c r="C35" s="272">
        <f>VPI!R35</f>
        <v>142603.64295739346</v>
      </c>
      <c r="D35" s="150">
        <f>(PCS!I41-PCS!F41)/C35</f>
        <v>12.498350698816378</v>
      </c>
      <c r="E35" s="398">
        <f>'Péréquation directe'!E41/C35</f>
        <v>-12.310147164405947</v>
      </c>
      <c r="F35" s="150">
        <f>'Péréquation directe'!F41/Effort!C35</f>
        <v>-10.19207093787135</v>
      </c>
      <c r="G35" s="150">
        <f>'Péréquation directe'!G41/Effort!C35</f>
        <v>-8.7187045037232132</v>
      </c>
      <c r="H35" s="150">
        <f>'Péréquation directe'!J41/Effort!C35</f>
        <v>19.603565040505057</v>
      </c>
      <c r="I35" s="285">
        <f t="shared" si="0"/>
        <v>0.88099313332092422</v>
      </c>
      <c r="J35" s="161">
        <f t="shared" si="1"/>
        <v>0</v>
      </c>
      <c r="K35" s="42">
        <f t="shared" si="2"/>
        <v>0</v>
      </c>
      <c r="L35" s="175"/>
    </row>
    <row r="36" spans="1:12" x14ac:dyDescent="0.25">
      <c r="A36" s="38">
        <f>Données!A36</f>
        <v>5456</v>
      </c>
      <c r="B36" s="130" t="str">
        <f>Données!B36</f>
        <v>Cudrefin</v>
      </c>
      <c r="C36" s="272">
        <f>VPI!R36</f>
        <v>64059.429152542369</v>
      </c>
      <c r="D36" s="150">
        <f>(PCS!I42-PCS!F42)/C36</f>
        <v>12.498350698816378</v>
      </c>
      <c r="E36" s="398">
        <f>'Péréquation directe'!E42/C36</f>
        <v>-7.069623665543614</v>
      </c>
      <c r="F36" s="150">
        <f>'Péréquation directe'!F42/Effort!C36</f>
        <v>-5.5973782142935917</v>
      </c>
      <c r="G36" s="150">
        <f>'Péréquation directe'!G42/Effort!C36</f>
        <v>-2.3767263017065532</v>
      </c>
      <c r="H36" s="150">
        <f>'Péréquation directe'!J42/Effort!C36</f>
        <v>19.603565040505057</v>
      </c>
      <c r="I36" s="285">
        <f t="shared" si="0"/>
        <v>17.058187557777675</v>
      </c>
      <c r="J36" s="161">
        <f t="shared" si="1"/>
        <v>0</v>
      </c>
      <c r="K36" s="42">
        <f t="shared" si="2"/>
        <v>0</v>
      </c>
      <c r="L36" s="175"/>
    </row>
    <row r="37" spans="1:12" x14ac:dyDescent="0.25">
      <c r="A37" s="38">
        <f>Données!A37</f>
        <v>5458</v>
      </c>
      <c r="B37" s="130" t="str">
        <f>Données!B37</f>
        <v>Faoug</v>
      </c>
      <c r="C37" s="272">
        <f>VPI!R37</f>
        <v>32630.608820512818</v>
      </c>
      <c r="D37" s="150">
        <f>(PCS!I43-PCS!F43)/C37</f>
        <v>12.498350698816378</v>
      </c>
      <c r="E37" s="398">
        <f>'Péréquation directe'!E43/C37</f>
        <v>-3.6296981528865904</v>
      </c>
      <c r="F37" s="150">
        <f>'Péréquation directe'!F43/Effort!C37</f>
        <v>-5.4919679342160963</v>
      </c>
      <c r="G37" s="150">
        <f>'Péréquation directe'!G43/Effort!C37</f>
        <v>-3.3874377341083228</v>
      </c>
      <c r="H37" s="150">
        <f>'Péréquation directe'!J43/Effort!C37</f>
        <v>19.603565040505057</v>
      </c>
      <c r="I37" s="285">
        <f t="shared" si="0"/>
        <v>19.592811918110424</v>
      </c>
      <c r="J37" s="161">
        <f t="shared" si="1"/>
        <v>0</v>
      </c>
      <c r="K37" s="42">
        <f t="shared" si="2"/>
        <v>0</v>
      </c>
      <c r="L37" s="175"/>
    </row>
    <row r="38" spans="1:12" x14ac:dyDescent="0.25">
      <c r="A38" s="38">
        <f>Données!A38</f>
        <v>5464</v>
      </c>
      <c r="B38" s="130" t="str">
        <f>Données!B38</f>
        <v>Vully-les-Lacs</v>
      </c>
      <c r="C38" s="272">
        <f>VPI!R38</f>
        <v>117932.28119402986</v>
      </c>
      <c r="D38" s="150">
        <f>(PCS!I44-PCS!F44)/C38</f>
        <v>12.498350698816378</v>
      </c>
      <c r="E38" s="398">
        <f>'Péréquation directe'!E44/C38</f>
        <v>-9.7427003158623009</v>
      </c>
      <c r="F38" s="150">
        <f>'Péréquation directe'!F44/Effort!C38</f>
        <v>-7.8462435202401881</v>
      </c>
      <c r="G38" s="150">
        <f>'Péréquation directe'!G44/Effort!C38</f>
        <v>-3.2859514248827848</v>
      </c>
      <c r="H38" s="150">
        <f>'Péréquation directe'!J44/Effort!C38</f>
        <v>19.603565040505057</v>
      </c>
      <c r="I38" s="285">
        <f t="shared" si="0"/>
        <v>11.227020478336161</v>
      </c>
      <c r="J38" s="161">
        <f t="shared" si="1"/>
        <v>0</v>
      </c>
      <c r="K38" s="42">
        <f t="shared" si="2"/>
        <v>0</v>
      </c>
      <c r="L38" s="175"/>
    </row>
    <row r="39" spans="1:12" x14ac:dyDescent="0.25">
      <c r="A39" s="38">
        <f>Données!A39</f>
        <v>5471</v>
      </c>
      <c r="B39" s="130" t="str">
        <f>Données!B39</f>
        <v>Bettens</v>
      </c>
      <c r="C39" s="272">
        <f>VPI!R39</f>
        <v>22692.008412698411</v>
      </c>
      <c r="D39" s="150">
        <f>(PCS!I45-PCS!F45)/C39</f>
        <v>12.498350698816378</v>
      </c>
      <c r="E39" s="398">
        <f>'Péréquation directe'!E45/C39</f>
        <v>-3.7570619638247669</v>
      </c>
      <c r="F39" s="150">
        <f>'Péréquation directe'!F45/Effort!C39</f>
        <v>-7.2788674550879948</v>
      </c>
      <c r="G39" s="150">
        <f>'Péréquation directe'!G45/Effort!C39</f>
        <v>0</v>
      </c>
      <c r="H39" s="150">
        <f>'Péréquation directe'!J45/Effort!C39</f>
        <v>19.603565040505057</v>
      </c>
      <c r="I39" s="285">
        <f t="shared" si="0"/>
        <v>21.065986320408673</v>
      </c>
      <c r="J39" s="161">
        <f t="shared" si="1"/>
        <v>0</v>
      </c>
      <c r="K39" s="42">
        <f t="shared" si="2"/>
        <v>0</v>
      </c>
      <c r="L39" s="175"/>
    </row>
    <row r="40" spans="1:12" x14ac:dyDescent="0.25">
      <c r="A40" s="38">
        <f>Données!A40</f>
        <v>5472</v>
      </c>
      <c r="B40" s="130" t="str">
        <f>Données!B40</f>
        <v>Bournens</v>
      </c>
      <c r="C40" s="272">
        <f>VPI!R40</f>
        <v>19974.815147058827</v>
      </c>
      <c r="D40" s="150">
        <f>(PCS!I46-PCS!F46)/C40</f>
        <v>12.498350698816378</v>
      </c>
      <c r="E40" s="398">
        <f>'Péréquation directe'!E46/C40</f>
        <v>-3.3751127619848607</v>
      </c>
      <c r="F40" s="150">
        <f>'Péréquation directe'!F46/Effort!C40</f>
        <v>-4.2950632926525643</v>
      </c>
      <c r="G40" s="150">
        <f>'Péréquation directe'!G46/Effort!C40</f>
        <v>-0.3819094587345383</v>
      </c>
      <c r="H40" s="150">
        <f>'Péréquation directe'!J46/Effort!C40</f>
        <v>19.603565040505057</v>
      </c>
      <c r="I40" s="285">
        <f t="shared" si="0"/>
        <v>24.049830225949471</v>
      </c>
      <c r="J40" s="161">
        <f t="shared" si="1"/>
        <v>0</v>
      </c>
      <c r="K40" s="42">
        <f t="shared" si="2"/>
        <v>0</v>
      </c>
      <c r="L40" s="175"/>
    </row>
    <row r="41" spans="1:12" x14ac:dyDescent="0.25">
      <c r="A41" s="38">
        <f>Données!A41</f>
        <v>5473</v>
      </c>
      <c r="B41" s="130" t="str">
        <f>Données!B41</f>
        <v>Boussens</v>
      </c>
      <c r="C41" s="272">
        <f>VPI!R41</f>
        <v>40042.684696969693</v>
      </c>
      <c r="D41" s="150">
        <f>(PCS!I47-PCS!F47)/C41</f>
        <v>12.498350698816379</v>
      </c>
      <c r="E41" s="398">
        <f>'Péréquation directe'!E47/C41</f>
        <v>-3.3580978532966044</v>
      </c>
      <c r="F41" s="150">
        <f>'Péréquation directe'!F47/Effort!C41</f>
        <v>-3.6012629793480926</v>
      </c>
      <c r="G41" s="150">
        <f>'Péréquation directe'!G47/Effort!C41</f>
        <v>0</v>
      </c>
      <c r="H41" s="150">
        <f>'Péréquation directe'!J47/Effort!C41</f>
        <v>19.603565040505057</v>
      </c>
      <c r="I41" s="285">
        <f t="shared" si="0"/>
        <v>25.14255490667674</v>
      </c>
      <c r="J41" s="161">
        <f t="shared" si="1"/>
        <v>0</v>
      </c>
      <c r="K41" s="42">
        <f t="shared" si="2"/>
        <v>0</v>
      </c>
      <c r="L41" s="175"/>
    </row>
    <row r="42" spans="1:12" x14ac:dyDescent="0.25">
      <c r="A42" s="38">
        <f>Données!A42</f>
        <v>5474</v>
      </c>
      <c r="B42" s="130" t="str">
        <f>Données!B42</f>
        <v>La Chaux (Cossonay)</v>
      </c>
      <c r="C42" s="272">
        <f>VPI!R42</f>
        <v>13862.371951754385</v>
      </c>
      <c r="D42" s="150">
        <f>(PCS!I48-PCS!F48)/C42</f>
        <v>12.498350698816378</v>
      </c>
      <c r="E42" s="398">
        <f>'Péréquation directe'!E48/C42</f>
        <v>-3.8982313115272595</v>
      </c>
      <c r="F42" s="150">
        <f>'Péréquation directe'!F48/Effort!C42</f>
        <v>-9.7684361529913986</v>
      </c>
      <c r="G42" s="150">
        <f>'Péréquation directe'!G48/Effort!C42</f>
        <v>-12.513795343608512</v>
      </c>
      <c r="H42" s="150">
        <f>'Péréquation directe'!J48/Effort!C42</f>
        <v>19.603565040505057</v>
      </c>
      <c r="I42" s="285">
        <f t="shared" si="0"/>
        <v>5.9214529311942634</v>
      </c>
      <c r="J42" s="161">
        <f t="shared" si="1"/>
        <v>0</v>
      </c>
      <c r="K42" s="42">
        <f t="shared" si="2"/>
        <v>0</v>
      </c>
      <c r="L42" s="175"/>
    </row>
    <row r="43" spans="1:12" x14ac:dyDescent="0.25">
      <c r="A43" s="38">
        <f>Données!A43</f>
        <v>5475</v>
      </c>
      <c r="B43" s="130" t="str">
        <f>Données!B43</f>
        <v>Chavannes-le-Veyron</v>
      </c>
      <c r="C43" s="272">
        <f>VPI!R43</f>
        <v>4297.1488000000008</v>
      </c>
      <c r="D43" s="150">
        <f>(PCS!I49-PCS!F49)/C43</f>
        <v>12.498350698816378</v>
      </c>
      <c r="E43" s="398">
        <f>'Péréquation directe'!E49/C43</f>
        <v>-4.975252755606391</v>
      </c>
      <c r="F43" s="150">
        <f>'Péréquation directe'!F49/Effort!C43</f>
        <v>-18.341830465827634</v>
      </c>
      <c r="G43" s="150">
        <f>'Péréquation directe'!G49/Effort!C43</f>
        <v>-11.52386223748098</v>
      </c>
      <c r="H43" s="150">
        <f>'Péréquation directe'!J49/Effort!C43</f>
        <v>19.603565040505057</v>
      </c>
      <c r="I43" s="285">
        <f t="shared" si="0"/>
        <v>-2.7390297195935709</v>
      </c>
      <c r="J43" s="161">
        <f t="shared" si="1"/>
        <v>0</v>
      </c>
      <c r="K43" s="42">
        <f t="shared" si="2"/>
        <v>0</v>
      </c>
      <c r="L43" s="175"/>
    </row>
    <row r="44" spans="1:12" x14ac:dyDescent="0.25">
      <c r="A44" s="38">
        <f>Données!A44</f>
        <v>5476</v>
      </c>
      <c r="B44" s="130" t="str">
        <f>Données!B44</f>
        <v>Chevilly</v>
      </c>
      <c r="C44" s="272">
        <f>VPI!R44</f>
        <v>13558.448137931036</v>
      </c>
      <c r="D44" s="150">
        <f>(PCS!I50-PCS!F50)/C44</f>
        <v>12.498350698816378</v>
      </c>
      <c r="E44" s="398">
        <f>'Péréquation directe'!E50/C44</f>
        <v>-3.2020340554019495</v>
      </c>
      <c r="F44" s="150">
        <f>'Péréquation directe'!F50/Effort!C44</f>
        <v>-3.556552819383938</v>
      </c>
      <c r="G44" s="150">
        <f>'Péréquation directe'!G50/Effort!C44</f>
        <v>0</v>
      </c>
      <c r="H44" s="150">
        <f>'Péréquation directe'!J50/Effort!C44</f>
        <v>19.603565040505057</v>
      </c>
      <c r="I44" s="285">
        <f t="shared" si="0"/>
        <v>25.343328864535547</v>
      </c>
      <c r="J44" s="161">
        <f t="shared" si="1"/>
        <v>0</v>
      </c>
      <c r="K44" s="42">
        <f t="shared" si="2"/>
        <v>0</v>
      </c>
      <c r="L44" s="175"/>
    </row>
    <row r="45" spans="1:12" x14ac:dyDescent="0.25">
      <c r="A45" s="38">
        <f>Données!A45</f>
        <v>5477</v>
      </c>
      <c r="B45" s="130" t="str">
        <f>Données!B45</f>
        <v>Cossonay</v>
      </c>
      <c r="C45" s="272">
        <f>VPI!R45</f>
        <v>151484.78088235293</v>
      </c>
      <c r="D45" s="150">
        <f>(PCS!I51-PCS!F51)/C45</f>
        <v>12.498350698816379</v>
      </c>
      <c r="E45" s="398">
        <f>'Péréquation directe'!E51/C45</f>
        <v>-10.525182267753493</v>
      </c>
      <c r="F45" s="150">
        <f>'Péréquation directe'!F51/Effort!C45</f>
        <v>-7.1594506488081393</v>
      </c>
      <c r="G45" s="150">
        <f>'Péréquation directe'!G51/Effort!C45</f>
        <v>-6.1537014107749828</v>
      </c>
      <c r="H45" s="150">
        <f>'Péréquation directe'!J51/Effort!C45</f>
        <v>19.603565040505057</v>
      </c>
      <c r="I45" s="285">
        <f t="shared" si="0"/>
        <v>8.2635814119848199</v>
      </c>
      <c r="J45" s="161">
        <f t="shared" si="1"/>
        <v>0</v>
      </c>
      <c r="K45" s="42">
        <f t="shared" si="2"/>
        <v>0</v>
      </c>
      <c r="L45" s="175"/>
    </row>
    <row r="46" spans="1:12" x14ac:dyDescent="0.25">
      <c r="A46" s="38">
        <f>Données!A46</f>
        <v>5479</v>
      </c>
      <c r="B46" s="130" t="str">
        <f>Données!B46</f>
        <v>Cuarnens</v>
      </c>
      <c r="C46" s="272">
        <f>VPI!R46</f>
        <v>14331.03077922078</v>
      </c>
      <c r="D46" s="150">
        <f>(PCS!I52-PCS!F52)/C46</f>
        <v>12.498350698816378</v>
      </c>
      <c r="E46" s="398">
        <f>'Péréquation directe'!E52/C46</f>
        <v>-4.9880064978671452</v>
      </c>
      <c r="F46" s="150">
        <f>'Péréquation directe'!F52/Effort!C46</f>
        <v>-19.44330213872863</v>
      </c>
      <c r="G46" s="150">
        <f>'Péréquation directe'!G52/Effort!C46</f>
        <v>-16.994395565171562</v>
      </c>
      <c r="H46" s="150">
        <f>'Péréquation directe'!J52/Effort!C46</f>
        <v>19.603565040505057</v>
      </c>
      <c r="I46" s="285">
        <f t="shared" si="0"/>
        <v>-9.3237884624459006</v>
      </c>
      <c r="J46" s="161">
        <f t="shared" si="1"/>
        <v>0</v>
      </c>
      <c r="K46" s="42">
        <f t="shared" si="2"/>
        <v>0</v>
      </c>
      <c r="L46" s="175"/>
    </row>
    <row r="47" spans="1:12" x14ac:dyDescent="0.25">
      <c r="A47" s="38">
        <f>Données!A47</f>
        <v>5480</v>
      </c>
      <c r="B47" s="130" t="str">
        <f>Données!B47</f>
        <v>Daillens</v>
      </c>
      <c r="C47" s="272">
        <f>VPI!R47</f>
        <v>42741.079141414142</v>
      </c>
      <c r="D47" s="150">
        <f>(PCS!I53-PCS!F53)/C47</f>
        <v>12.498350698816378</v>
      </c>
      <c r="E47" s="398">
        <f>'Péréquation directe'!E53/C47</f>
        <v>-3.5585302381342485</v>
      </c>
      <c r="F47" s="150">
        <f>'Péréquation directe'!F53/Effort!C47</f>
        <v>-3.211758193801785</v>
      </c>
      <c r="G47" s="150">
        <f>'Péréquation directe'!G53/Effort!C47</f>
        <v>-2.266022839613874</v>
      </c>
      <c r="H47" s="150">
        <f>'Péréquation directe'!J53/Effort!C47</f>
        <v>19.603565040505057</v>
      </c>
      <c r="I47" s="285">
        <f t="shared" si="0"/>
        <v>23.065604467771525</v>
      </c>
      <c r="J47" s="161">
        <f t="shared" si="1"/>
        <v>0</v>
      </c>
      <c r="K47" s="42">
        <f t="shared" si="2"/>
        <v>0</v>
      </c>
      <c r="L47" s="175"/>
    </row>
    <row r="48" spans="1:12" x14ac:dyDescent="0.25">
      <c r="A48" s="38">
        <f>Données!A48</f>
        <v>5481</v>
      </c>
      <c r="B48" s="130" t="str">
        <f>Données!B48</f>
        <v>Dizy</v>
      </c>
      <c r="C48" s="272">
        <f>VPI!R48</f>
        <v>8551.9890666666652</v>
      </c>
      <c r="D48" s="150">
        <f>(PCS!I54-PCS!F54)/C48</f>
        <v>12.498350698816378</v>
      </c>
      <c r="E48" s="398">
        <f>'Péréquation directe'!E54/C48</f>
        <v>-3.5581871337271664</v>
      </c>
      <c r="F48" s="150">
        <f>'Péréquation directe'!F54/Effort!C48</f>
        <v>-6.7255877559994834</v>
      </c>
      <c r="G48" s="150">
        <f>'Péréquation directe'!G54/Effort!C48</f>
        <v>-3.6972193616005722</v>
      </c>
      <c r="H48" s="150">
        <f>'Péréquation directe'!J54/Effort!C48</f>
        <v>19.603565040505057</v>
      </c>
      <c r="I48" s="285">
        <f t="shared" si="0"/>
        <v>18.120921487994213</v>
      </c>
      <c r="J48" s="161">
        <f t="shared" si="1"/>
        <v>0</v>
      </c>
      <c r="K48" s="42">
        <f t="shared" si="2"/>
        <v>0</v>
      </c>
      <c r="L48" s="175"/>
    </row>
    <row r="49" spans="1:12" x14ac:dyDescent="0.25">
      <c r="A49" s="38">
        <f>Données!A49</f>
        <v>5482</v>
      </c>
      <c r="B49" s="130" t="str">
        <f>Données!B49</f>
        <v>Eclépens</v>
      </c>
      <c r="C49" s="272">
        <f>VPI!R49</f>
        <v>48311.561086956521</v>
      </c>
      <c r="D49" s="150">
        <f>(PCS!I55-PCS!F55)/C49</f>
        <v>12.498350698816379</v>
      </c>
      <c r="E49" s="398">
        <f>'Péréquation directe'!E55/C49</f>
        <v>-4.2276717609598169</v>
      </c>
      <c r="F49" s="150">
        <f>'Péréquation directe'!F55/Effort!C49</f>
        <v>-1.5956646418467952</v>
      </c>
      <c r="G49" s="150">
        <f>'Péréquation directe'!G55/Effort!C49</f>
        <v>-2.9572155998253855</v>
      </c>
      <c r="H49" s="150">
        <f>'Péréquation directe'!J55/Effort!C49</f>
        <v>19.603565040505057</v>
      </c>
      <c r="I49" s="285">
        <f t="shared" si="0"/>
        <v>23.321363736689438</v>
      </c>
      <c r="J49" s="161">
        <f t="shared" si="1"/>
        <v>0</v>
      </c>
      <c r="K49" s="42">
        <f t="shared" si="2"/>
        <v>0</v>
      </c>
      <c r="L49" s="175"/>
    </row>
    <row r="50" spans="1:12" x14ac:dyDescent="0.25">
      <c r="A50" s="38">
        <f>Données!A50</f>
        <v>5483</v>
      </c>
      <c r="B50" s="130" t="str">
        <f>Données!B50</f>
        <v>Ferreyres</v>
      </c>
      <c r="C50" s="272">
        <f>VPI!R50</f>
        <v>10284.191184210527</v>
      </c>
      <c r="D50" s="150">
        <f>(PCS!I56-PCS!F56)/C50</f>
        <v>12.498350698816378</v>
      </c>
      <c r="E50" s="398">
        <f>'Péréquation directe'!E56/C50</f>
        <v>-3.928154057070345</v>
      </c>
      <c r="F50" s="150">
        <f>'Péréquation directe'!F56/Effort!C50</f>
        <v>-10.020309267648129</v>
      </c>
      <c r="G50" s="150">
        <f>'Péréquation directe'!G56/Effort!C50</f>
        <v>-4.371407664065171E-2</v>
      </c>
      <c r="H50" s="150">
        <f>'Péréquation directe'!J56/Effort!C50</f>
        <v>19.603565040505057</v>
      </c>
      <c r="I50" s="285">
        <f t="shared" si="0"/>
        <v>18.109738337962309</v>
      </c>
      <c r="J50" s="161">
        <f t="shared" si="1"/>
        <v>0</v>
      </c>
      <c r="K50" s="42">
        <f t="shared" si="2"/>
        <v>0</v>
      </c>
      <c r="L50" s="175"/>
    </row>
    <row r="51" spans="1:12" x14ac:dyDescent="0.25">
      <c r="A51" s="38">
        <f>Données!A51</f>
        <v>5484</v>
      </c>
      <c r="B51" s="130" t="str">
        <f>Données!B51</f>
        <v>Gollion</v>
      </c>
      <c r="C51" s="272">
        <f>VPI!R51</f>
        <v>32601.092837837834</v>
      </c>
      <c r="D51" s="150">
        <f>(PCS!I57-PCS!F57)/C51</f>
        <v>12.498350698816378</v>
      </c>
      <c r="E51" s="398">
        <f>'Péréquation directe'!E57/C51</f>
        <v>-4.3949857368545704</v>
      </c>
      <c r="F51" s="150">
        <f>'Péréquation directe'!F57/Effort!C51</f>
        <v>-11.318174831222354</v>
      </c>
      <c r="G51" s="150">
        <f>'Péréquation directe'!G57/Effort!C51</f>
        <v>-8.5042845160076439</v>
      </c>
      <c r="H51" s="150">
        <f>'Péréquation directe'!J57/Effort!C51</f>
        <v>19.603565040505057</v>
      </c>
      <c r="I51" s="285">
        <f t="shared" si="0"/>
        <v>7.884470655236866</v>
      </c>
      <c r="J51" s="324">
        <f t="shared" si="1"/>
        <v>0</v>
      </c>
      <c r="K51" s="42">
        <f t="shared" si="2"/>
        <v>0</v>
      </c>
      <c r="L51" s="175"/>
    </row>
    <row r="52" spans="1:12" x14ac:dyDescent="0.25">
      <c r="A52" s="38">
        <f>Données!A52</f>
        <v>5485</v>
      </c>
      <c r="B52" s="130" t="str">
        <f>Données!B52</f>
        <v>Grancy</v>
      </c>
      <c r="C52" s="272">
        <f>VPI!R52</f>
        <v>18961.04185714286</v>
      </c>
      <c r="D52" s="150">
        <f>(PCS!I58-PCS!F58)/C52</f>
        <v>12.498350698816378</v>
      </c>
      <c r="E52" s="398">
        <f>'Péréquation directe'!E58/C52</f>
        <v>-3.3826308020722204</v>
      </c>
      <c r="F52" s="150">
        <f>'Péréquation directe'!F58/Effort!C52</f>
        <v>-4.605114644480186</v>
      </c>
      <c r="G52" s="150">
        <f>'Péréquation directe'!G58/Effort!C52</f>
        <v>-3.8838012358853735</v>
      </c>
      <c r="H52" s="150">
        <f>'Péréquation directe'!J58/Effort!C52</f>
        <v>19.603565040505057</v>
      </c>
      <c r="I52" s="285">
        <f t="shared" si="0"/>
        <v>20.230369056883653</v>
      </c>
      <c r="J52" s="161">
        <f t="shared" si="1"/>
        <v>0</v>
      </c>
      <c r="K52" s="42">
        <f t="shared" si="2"/>
        <v>0</v>
      </c>
      <c r="L52" s="175"/>
    </row>
    <row r="53" spans="1:12" x14ac:dyDescent="0.25">
      <c r="A53" s="38">
        <f>Données!A53</f>
        <v>5486</v>
      </c>
      <c r="B53" s="130" t="str">
        <f>Données!B53</f>
        <v>L'Isle</v>
      </c>
      <c r="C53" s="31">
        <f>VPI!R53</f>
        <v>34755.462666666674</v>
      </c>
      <c r="D53" s="176">
        <f>(PCS!I59-PCS!F59)/C53</f>
        <v>12.498350698816378</v>
      </c>
      <c r="E53" s="320">
        <f>'Péréquation directe'!E59/C53</f>
        <v>-4.7776966150787183</v>
      </c>
      <c r="F53" s="176">
        <f>'Péréquation directe'!F59/Effort!C53</f>
        <v>-11.432372912591624</v>
      </c>
      <c r="G53" s="176">
        <f>'Péréquation directe'!G59/Effort!C53</f>
        <v>-10.171092400331894</v>
      </c>
      <c r="H53" s="176">
        <f>'Péréquation directe'!J59/Effort!C53</f>
        <v>19.603565040505057</v>
      </c>
      <c r="I53" s="416">
        <f t="shared" si="0"/>
        <v>5.7207538113191987</v>
      </c>
      <c r="J53" s="178">
        <f t="shared" si="1"/>
        <v>0</v>
      </c>
      <c r="K53" s="42">
        <f t="shared" si="2"/>
        <v>0</v>
      </c>
      <c r="L53" s="417"/>
    </row>
    <row r="54" spans="1:12" x14ac:dyDescent="0.25">
      <c r="A54" s="38">
        <f>Données!A54</f>
        <v>5487</v>
      </c>
      <c r="B54" s="130" t="str">
        <f>Données!B54</f>
        <v>Lussery-Villars</v>
      </c>
      <c r="C54" s="272">
        <f>VPI!R54</f>
        <v>12042.578266666667</v>
      </c>
      <c r="D54" s="150">
        <f>(PCS!I60-PCS!F60)/C54</f>
        <v>12.498350698816378</v>
      </c>
      <c r="E54" s="398">
        <f>'Péréquation directe'!E60/C54</f>
        <v>-5.24971223126908</v>
      </c>
      <c r="F54" s="150">
        <f>'Péréquation directe'!F60/Effort!C54</f>
        <v>-20.591682437454747</v>
      </c>
      <c r="G54" s="150">
        <f>'Péréquation directe'!G60/Effort!C54</f>
        <v>-0.37861155273775771</v>
      </c>
      <c r="H54" s="150">
        <f>'Péréquation directe'!J60/Effort!C54</f>
        <v>19.603565040505057</v>
      </c>
      <c r="I54" s="285">
        <f t="shared" si="0"/>
        <v>5.8819095178598513</v>
      </c>
      <c r="J54" s="161">
        <f t="shared" si="1"/>
        <v>0</v>
      </c>
      <c r="K54" s="42">
        <f t="shared" si="2"/>
        <v>0</v>
      </c>
      <c r="L54" s="175"/>
    </row>
    <row r="55" spans="1:12" x14ac:dyDescent="0.25">
      <c r="A55" s="38">
        <f>Données!A55</f>
        <v>5488</v>
      </c>
      <c r="B55" s="130" t="str">
        <f>Données!B55</f>
        <v>Mauraz</v>
      </c>
      <c r="C55" s="272">
        <f>VPI!R55</f>
        <v>2131.605194805195</v>
      </c>
      <c r="D55" s="150">
        <f>(PCS!I61-PCS!F61)/C55</f>
        <v>12.498350698816379</v>
      </c>
      <c r="E55" s="398">
        <f>'Péréquation directe'!E61/C55</f>
        <v>-3.9995812497507175</v>
      </c>
      <c r="F55" s="150">
        <f>'Péréquation directe'!F61/Effort!C55</f>
        <v>-10.902897074264338</v>
      </c>
      <c r="G55" s="150">
        <f>'Péréquation directe'!G61/Effort!C55</f>
        <v>0</v>
      </c>
      <c r="H55" s="150">
        <f>'Péréquation directe'!J61/Effort!C55</f>
        <v>19.603565040505057</v>
      </c>
      <c r="I55" s="285">
        <f t="shared" si="0"/>
        <v>17.199437415306381</v>
      </c>
      <c r="J55" s="161">
        <f t="shared" si="1"/>
        <v>0</v>
      </c>
      <c r="K55" s="42">
        <f t="shared" si="2"/>
        <v>0</v>
      </c>
      <c r="L55" s="175"/>
    </row>
    <row r="56" spans="1:12" x14ac:dyDescent="0.25">
      <c r="A56" s="38">
        <f>Données!A56</f>
        <v>5489</v>
      </c>
      <c r="B56" s="130" t="str">
        <f>Données!B56</f>
        <v>Mex</v>
      </c>
      <c r="C56" s="272">
        <f>VPI!R56</f>
        <v>60289.963529411769</v>
      </c>
      <c r="D56" s="150">
        <f>(PCS!I62-PCS!F62)/C56</f>
        <v>18.142827390410226</v>
      </c>
      <c r="E56" s="398">
        <f>'Péréquation directe'!E62/C56</f>
        <v>-1.7773991675022165</v>
      </c>
      <c r="F56" s="150">
        <f>'Péréquation directe'!F62/Effort!C56</f>
        <v>0</v>
      </c>
      <c r="G56" s="150">
        <f>'Péréquation directe'!G62/Effort!C56</f>
        <v>0</v>
      </c>
      <c r="H56" s="150">
        <f>'Péréquation directe'!J62/Effort!C56</f>
        <v>19.603565040505057</v>
      </c>
      <c r="I56" s="285">
        <f t="shared" si="0"/>
        <v>35.968993263413068</v>
      </c>
      <c r="J56" s="161">
        <f t="shared" si="1"/>
        <v>0</v>
      </c>
      <c r="K56" s="42">
        <f t="shared" si="2"/>
        <v>0</v>
      </c>
      <c r="L56" s="175"/>
    </row>
    <row r="57" spans="1:12" x14ac:dyDescent="0.25">
      <c r="A57" s="38">
        <f>Données!A57</f>
        <v>5490</v>
      </c>
      <c r="B57" s="130" t="str">
        <f>Données!B57</f>
        <v>Moiry</v>
      </c>
      <c r="C57" s="272">
        <f>VPI!R57</f>
        <v>8460.9402597402623</v>
      </c>
      <c r="D57" s="150">
        <f>(PCS!I63-PCS!F63)/C57</f>
        <v>12.498350698816378</v>
      </c>
      <c r="E57" s="398">
        <f>'Péréquation directe'!E63/C57</f>
        <v>-4.5886086498811496</v>
      </c>
      <c r="F57" s="150">
        <f>'Péréquation directe'!F63/Effort!C57</f>
        <v>-15.992338689367255</v>
      </c>
      <c r="G57" s="150">
        <f>'Péréquation directe'!G63/Effort!C57</f>
        <v>-4.3967792987092098</v>
      </c>
      <c r="H57" s="150">
        <f>'Péréquation directe'!J63/Effort!C57</f>
        <v>19.603565040505057</v>
      </c>
      <c r="I57" s="285">
        <f t="shared" si="0"/>
        <v>7.1241891013638217</v>
      </c>
      <c r="J57" s="161">
        <f t="shared" si="1"/>
        <v>0</v>
      </c>
      <c r="K57" s="42">
        <f t="shared" si="2"/>
        <v>0</v>
      </c>
      <c r="L57" s="175"/>
    </row>
    <row r="58" spans="1:12" x14ac:dyDescent="0.25">
      <c r="A58" s="38">
        <f>Données!A58</f>
        <v>5491</v>
      </c>
      <c r="B58" s="130" t="str">
        <f>Données!B58</f>
        <v>Mont-la-Ville</v>
      </c>
      <c r="C58" s="272">
        <f>VPI!R58</f>
        <v>13841.869078947369</v>
      </c>
      <c r="D58" s="150">
        <f>(PCS!I64-PCS!F64)/C58</f>
        <v>12.498350698816378</v>
      </c>
      <c r="E58" s="398">
        <f>'Péréquation directe'!E64/C58</f>
        <v>-4.756822180849734</v>
      </c>
      <c r="F58" s="150">
        <f>'Péréquation directe'!F64/Effort!C58</f>
        <v>-16.995579001922149</v>
      </c>
      <c r="G58" s="150">
        <f>'Péréquation directe'!G64/Effort!C58</f>
        <v>-49.315945520430738</v>
      </c>
      <c r="H58" s="150">
        <f>'Péréquation directe'!J64/Effort!C58</f>
        <v>19.603565040505057</v>
      </c>
      <c r="I58" s="285">
        <f t="shared" si="0"/>
        <v>-38.96643096388118</v>
      </c>
      <c r="J58" s="161">
        <f t="shared" si="1"/>
        <v>0</v>
      </c>
      <c r="K58" s="42">
        <f t="shared" si="2"/>
        <v>0</v>
      </c>
      <c r="L58" s="175"/>
    </row>
    <row r="59" spans="1:12" x14ac:dyDescent="0.25">
      <c r="A59" s="38">
        <f>Données!A59</f>
        <v>5492</v>
      </c>
      <c r="B59" s="130" t="str">
        <f>Données!B59</f>
        <v>Montricher</v>
      </c>
      <c r="C59" s="272">
        <f>VPI!R59</f>
        <v>149906.53015624997</v>
      </c>
      <c r="D59" s="150">
        <f>(PCS!I65-PCS!F65)/C59</f>
        <v>31.49454471208994</v>
      </c>
      <c r="E59" s="398">
        <f>'Péréquation directe'!E65/C59</f>
        <v>-0.85570927642044448</v>
      </c>
      <c r="F59" s="150">
        <f>'Péréquation directe'!F65/Effort!C59</f>
        <v>0</v>
      </c>
      <c r="G59" s="150">
        <f>'Péréquation directe'!G65/Effort!C59</f>
        <v>-0.27437972113598663</v>
      </c>
      <c r="H59" s="150">
        <f>'Péréquation directe'!J65/Effort!C59</f>
        <v>19.603565040505057</v>
      </c>
      <c r="I59" s="285">
        <f t="shared" si="0"/>
        <v>49.968020755038566</v>
      </c>
      <c r="J59" s="161">
        <f t="shared" si="1"/>
        <v>1.968020755038566</v>
      </c>
      <c r="K59" s="42">
        <f t="shared" si="2"/>
        <v>-295019.16266331461</v>
      </c>
      <c r="L59" s="175"/>
    </row>
    <row r="60" spans="1:12" x14ac:dyDescent="0.25">
      <c r="A60" s="38">
        <f>Données!A60</f>
        <v>5493</v>
      </c>
      <c r="B60" s="130" t="str">
        <f>Données!B60</f>
        <v>Orny</v>
      </c>
      <c r="C60" s="272">
        <f>VPI!R60</f>
        <v>14635.714141201266</v>
      </c>
      <c r="D60" s="150">
        <f>(PCS!I66-PCS!F66)/C60</f>
        <v>12.498350698816378</v>
      </c>
      <c r="E60" s="398">
        <f>'Péréquation directe'!E66/C60</f>
        <v>-4.3374989258287524</v>
      </c>
      <c r="F60" s="150">
        <f>'Péréquation directe'!F66/Effort!C60</f>
        <v>-12.42382897974367</v>
      </c>
      <c r="G60" s="150">
        <f>'Péréquation directe'!G66/Effort!C60</f>
        <v>-4.8758178878729037</v>
      </c>
      <c r="H60" s="150">
        <f>'Péréquation directe'!J66/Effort!C60</f>
        <v>19.603565040505057</v>
      </c>
      <c r="I60" s="285">
        <f t="shared" si="0"/>
        <v>10.464769945876109</v>
      </c>
      <c r="J60" s="161">
        <f t="shared" si="1"/>
        <v>0</v>
      </c>
      <c r="K60" s="42">
        <f t="shared" si="2"/>
        <v>0</v>
      </c>
      <c r="L60" s="175"/>
    </row>
    <row r="61" spans="1:12" x14ac:dyDescent="0.25">
      <c r="A61" s="38">
        <f>Données!A61</f>
        <v>5495</v>
      </c>
      <c r="B61" s="130" t="str">
        <f>Données!B61</f>
        <v>Penthalaz</v>
      </c>
      <c r="C61" s="272">
        <f>VPI!R61</f>
        <v>103053.60797297298</v>
      </c>
      <c r="D61" s="150">
        <f>(PCS!I67-PCS!F67)/C61</f>
        <v>12.498350698816376</v>
      </c>
      <c r="E61" s="398">
        <f>'Péréquation directe'!E67/C61</f>
        <v>-9.4896596170442464</v>
      </c>
      <c r="F61" s="150">
        <f>'Péréquation directe'!F67/Effort!C61</f>
        <v>-10.796493626411062</v>
      </c>
      <c r="G61" s="150">
        <f>'Péréquation directe'!G67/Effort!C61</f>
        <v>-5.8086819571759118</v>
      </c>
      <c r="H61" s="150">
        <f>'Péréquation directe'!J67/Effort!C61</f>
        <v>19.603565040505057</v>
      </c>
      <c r="I61" s="285">
        <f t="shared" si="0"/>
        <v>6.0070805386902126</v>
      </c>
      <c r="J61" s="161">
        <f t="shared" si="1"/>
        <v>0</v>
      </c>
      <c r="K61" s="42">
        <f t="shared" si="2"/>
        <v>0</v>
      </c>
      <c r="L61" s="175"/>
    </row>
    <row r="62" spans="1:12" x14ac:dyDescent="0.25">
      <c r="A62" s="38">
        <f>Données!A62</f>
        <v>5496</v>
      </c>
      <c r="B62" s="130" t="str">
        <f>Données!B62</f>
        <v>Penthaz</v>
      </c>
      <c r="C62" s="272">
        <f>VPI!R62</f>
        <v>61649.529352517988</v>
      </c>
      <c r="D62" s="150">
        <f>(PCS!I68-PCS!F68)/C62</f>
        <v>12.498350698816378</v>
      </c>
      <c r="E62" s="398">
        <f>'Péréquation directe'!E68/C62</f>
        <v>-7.6259620595430189</v>
      </c>
      <c r="F62" s="150">
        <f>'Péréquation directe'!F68/Effort!C62</f>
        <v>-9.5277640097967353</v>
      </c>
      <c r="G62" s="150">
        <f>'Péréquation directe'!G68/Effort!C62</f>
        <v>-2.589857995268257</v>
      </c>
      <c r="H62" s="150">
        <f>'Péréquation directe'!J68/Effort!C62</f>
        <v>19.603565040505057</v>
      </c>
      <c r="I62" s="285">
        <f t="shared" si="0"/>
        <v>12.358331674713423</v>
      </c>
      <c r="J62" s="161">
        <f t="shared" si="1"/>
        <v>0</v>
      </c>
      <c r="K62" s="42">
        <f t="shared" si="2"/>
        <v>0</v>
      </c>
      <c r="L62" s="175"/>
    </row>
    <row r="63" spans="1:12" x14ac:dyDescent="0.25">
      <c r="A63" s="38">
        <f>Données!A63</f>
        <v>5497</v>
      </c>
      <c r="B63" s="130" t="str">
        <f>Données!B63</f>
        <v>Pompaples</v>
      </c>
      <c r="C63" s="272">
        <f>VPI!R63</f>
        <v>22949.555</v>
      </c>
      <c r="D63" s="150">
        <f>(PCS!I69-PCS!F69)/C63</f>
        <v>12.498350698816379</v>
      </c>
      <c r="E63" s="398">
        <f>'Péréquation directe'!E69/C63</f>
        <v>-4.915097298167562</v>
      </c>
      <c r="F63" s="150">
        <f>'Péréquation directe'!F69/Effort!C63</f>
        <v>-13.822043027203652</v>
      </c>
      <c r="G63" s="150">
        <f>'Péréquation directe'!G69/Effort!C63</f>
        <v>-5.6825982183433652</v>
      </c>
      <c r="H63" s="150">
        <f>'Péréquation directe'!J69/Effort!C63</f>
        <v>19.603565040505057</v>
      </c>
      <c r="I63" s="285">
        <f t="shared" si="0"/>
        <v>7.6821771956068581</v>
      </c>
      <c r="J63" s="161">
        <f t="shared" si="1"/>
        <v>0</v>
      </c>
      <c r="K63" s="42">
        <f t="shared" si="2"/>
        <v>0</v>
      </c>
      <c r="L63" s="175"/>
    </row>
    <row r="64" spans="1:12" x14ac:dyDescent="0.25">
      <c r="A64" s="38">
        <f>Données!A64</f>
        <v>5498</v>
      </c>
      <c r="B64" s="130" t="str">
        <f>Données!B64</f>
        <v>La Sarraz</v>
      </c>
      <c r="C64" s="272">
        <f>VPI!R64</f>
        <v>73742.233181818185</v>
      </c>
      <c r="D64" s="150">
        <f>(PCS!I70-PCS!F70)/C64</f>
        <v>12.498350698816379</v>
      </c>
      <c r="E64" s="398">
        <f>'Péréquation directe'!E70/C64</f>
        <v>-9.7868697849627893</v>
      </c>
      <c r="F64" s="150">
        <f>'Péréquation directe'!F70/Effort!C64</f>
        <v>-12.067656433043682</v>
      </c>
      <c r="G64" s="150">
        <f>'Péréquation directe'!G70/Effort!C64</f>
        <v>-6.6602077146079681</v>
      </c>
      <c r="H64" s="150">
        <f>'Péréquation directe'!J70/Effort!C64</f>
        <v>19.603565040505057</v>
      </c>
      <c r="I64" s="285">
        <f t="shared" si="0"/>
        <v>3.5871818067069974</v>
      </c>
      <c r="J64" s="161">
        <f t="shared" si="1"/>
        <v>0</v>
      </c>
      <c r="K64" s="42">
        <f t="shared" si="2"/>
        <v>0</v>
      </c>
      <c r="L64" s="175"/>
    </row>
    <row r="65" spans="1:12" x14ac:dyDescent="0.25">
      <c r="A65" s="38">
        <f>Données!A65</f>
        <v>5499</v>
      </c>
      <c r="B65" s="130" t="str">
        <f>Données!B65</f>
        <v>Senarclens</v>
      </c>
      <c r="C65" s="272">
        <f>VPI!R65</f>
        <v>20490.878394160583</v>
      </c>
      <c r="D65" s="150">
        <f>(PCS!I71-PCS!F71)/C65</f>
        <v>12.498350698816379</v>
      </c>
      <c r="E65" s="398">
        <f>'Péréquation directe'!E71/C65</f>
        <v>-3.174892592535639</v>
      </c>
      <c r="F65" s="150">
        <f>'Péréquation directe'!F71/Effort!C65</f>
        <v>-2.9893361812687735</v>
      </c>
      <c r="G65" s="150">
        <f>'Péréquation directe'!G71/Effort!C65</f>
        <v>-1.5939867656190452</v>
      </c>
      <c r="H65" s="150">
        <f>'Péréquation directe'!J71/Effort!C65</f>
        <v>19.603565040505057</v>
      </c>
      <c r="I65" s="285">
        <f t="shared" si="0"/>
        <v>24.343700199897977</v>
      </c>
      <c r="J65" s="161">
        <f t="shared" si="1"/>
        <v>0</v>
      </c>
      <c r="K65" s="42">
        <f t="shared" si="2"/>
        <v>0</v>
      </c>
      <c r="L65" s="175"/>
    </row>
    <row r="66" spans="1:12" x14ac:dyDescent="0.25">
      <c r="A66" s="38">
        <f>Données!A66</f>
        <v>5501</v>
      </c>
      <c r="B66" s="130" t="str">
        <f>Données!B66</f>
        <v>Sullens</v>
      </c>
      <c r="C66" s="272">
        <f>VPI!R66</f>
        <v>53839.001093749997</v>
      </c>
      <c r="D66" s="150">
        <f>(PCS!I72-PCS!F72)/C66</f>
        <v>12.498350698816376</v>
      </c>
      <c r="E66" s="398">
        <f>'Péréquation directe'!E72/C66</f>
        <v>-3.5889933500983853</v>
      </c>
      <c r="F66" s="150">
        <f>'Péréquation directe'!F72/Effort!C66</f>
        <v>-0.65763495882787049</v>
      </c>
      <c r="G66" s="150">
        <f>'Péréquation directe'!G72/Effort!C66</f>
        <v>0</v>
      </c>
      <c r="H66" s="150">
        <f>'Péréquation directe'!J72/Effort!C66</f>
        <v>19.603565040505057</v>
      </c>
      <c r="I66" s="285">
        <f t="shared" si="0"/>
        <v>27.855287430395176</v>
      </c>
      <c r="J66" s="161">
        <f t="shared" si="1"/>
        <v>0</v>
      </c>
      <c r="K66" s="42">
        <f t="shared" si="2"/>
        <v>0</v>
      </c>
      <c r="L66" s="175"/>
    </row>
    <row r="67" spans="1:12" x14ac:dyDescent="0.25">
      <c r="A67" s="38">
        <f>Données!A67</f>
        <v>5503</v>
      </c>
      <c r="B67" s="130" t="str">
        <f>Données!B67</f>
        <v>Vufflens-la-Ville</v>
      </c>
      <c r="C67" s="272">
        <f>VPI!R67</f>
        <v>75815.146368159199</v>
      </c>
      <c r="D67" s="150">
        <f>(PCS!I73-PCS!F73)/C67</f>
        <v>14.602431880484817</v>
      </c>
      <c r="E67" s="398">
        <f>'Péréquation directe'!E73/C67</f>
        <v>-3.3479411443031259</v>
      </c>
      <c r="F67" s="150">
        <f>'Péréquation directe'!F73/Effort!C67</f>
        <v>0</v>
      </c>
      <c r="G67" s="150">
        <f>'Péréquation directe'!G73/Effort!C67</f>
        <v>0</v>
      </c>
      <c r="H67" s="150">
        <f>'Péréquation directe'!J73/Effort!C67</f>
        <v>19.603565040505057</v>
      </c>
      <c r="I67" s="285">
        <f t="shared" si="0"/>
        <v>30.858055776686747</v>
      </c>
      <c r="J67" s="161">
        <f t="shared" si="1"/>
        <v>0</v>
      </c>
      <c r="K67" s="42">
        <f t="shared" si="2"/>
        <v>0</v>
      </c>
      <c r="L67" s="175"/>
    </row>
    <row r="68" spans="1:12" x14ac:dyDescent="0.25">
      <c r="A68" s="38">
        <f>Données!A68</f>
        <v>5511</v>
      </c>
      <c r="B68" s="130" t="str">
        <f>Données!B68</f>
        <v>Assens</v>
      </c>
      <c r="C68" s="272">
        <f>VPI!R68</f>
        <v>72829.098714285734</v>
      </c>
      <c r="D68" s="150">
        <f>(PCS!I74-PCS!F74)/C68</f>
        <v>12.498350698816376</v>
      </c>
      <c r="E68" s="398">
        <f>'Péréquation directe'!E74/C68</f>
        <v>-5.1745055769977153</v>
      </c>
      <c r="F68" s="150">
        <f>'Péréquation directe'!F74/Effort!C68</f>
        <v>-1.9141897241049675</v>
      </c>
      <c r="G68" s="150">
        <f>'Péréquation directe'!G74/Effort!C68</f>
        <v>-3.4174691345379391</v>
      </c>
      <c r="H68" s="150">
        <f>'Péréquation directe'!J74/Effort!C68</f>
        <v>19.603565040505057</v>
      </c>
      <c r="I68" s="285">
        <f t="shared" si="0"/>
        <v>21.59575130368081</v>
      </c>
      <c r="J68" s="161">
        <f t="shared" si="1"/>
        <v>0</v>
      </c>
      <c r="K68" s="42">
        <f t="shared" si="2"/>
        <v>0</v>
      </c>
      <c r="L68" s="175"/>
    </row>
    <row r="69" spans="1:12" x14ac:dyDescent="0.25">
      <c r="A69" s="38">
        <f>Données!A69</f>
        <v>5512</v>
      </c>
      <c r="B69" s="130" t="str">
        <f>Données!B69</f>
        <v>Bercher</v>
      </c>
      <c r="C69" s="272">
        <f>VPI!R69</f>
        <v>41197.962531645571</v>
      </c>
      <c r="D69" s="150">
        <f>(PCS!I75-PCS!F75)/C69</f>
        <v>12.498350698816379</v>
      </c>
      <c r="E69" s="398">
        <f>'Péréquation directe'!E75/C69</f>
        <v>-6.3839561413618195</v>
      </c>
      <c r="F69" s="150">
        <f>'Péréquation directe'!F75/Effort!C69</f>
        <v>-14.45134932810894</v>
      </c>
      <c r="G69" s="150">
        <f>'Péréquation directe'!G75/Effort!C69</f>
        <v>-5.8729460727066698</v>
      </c>
      <c r="H69" s="150">
        <f>'Péréquation directe'!J75/Effort!C69</f>
        <v>19.603565040505057</v>
      </c>
      <c r="I69" s="285">
        <f t="shared" si="0"/>
        <v>5.3936641971440071</v>
      </c>
      <c r="J69" s="161">
        <f t="shared" si="1"/>
        <v>0</v>
      </c>
      <c r="K69" s="42">
        <f t="shared" si="2"/>
        <v>0</v>
      </c>
      <c r="L69" s="175"/>
    </row>
    <row r="70" spans="1:12" x14ac:dyDescent="0.25">
      <c r="A70" s="38">
        <f>Données!A70</f>
        <v>5514</v>
      </c>
      <c r="B70" s="130" t="str">
        <f>Données!B70</f>
        <v>Bottens</v>
      </c>
      <c r="C70" s="272">
        <f>VPI!R70</f>
        <v>45711.625241379304</v>
      </c>
      <c r="D70" s="150">
        <f>(PCS!I76-PCS!F76)/C70</f>
        <v>12.498350698816378</v>
      </c>
      <c r="E70" s="398">
        <f>'Péréquation directe'!E76/C70</f>
        <v>-5.7294883734527637</v>
      </c>
      <c r="F70" s="150">
        <f>'Péréquation directe'!F76/Effort!C70</f>
        <v>-8.8326463538258508</v>
      </c>
      <c r="G70" s="150">
        <f>'Péréquation directe'!G76/Effort!C70</f>
        <v>-0.92096808865785251</v>
      </c>
      <c r="H70" s="150">
        <f>'Péréquation directe'!J76/Effort!C70</f>
        <v>19.603565040505057</v>
      </c>
      <c r="I70" s="285">
        <f t="shared" si="0"/>
        <v>16.618812923384969</v>
      </c>
      <c r="J70" s="161">
        <f t="shared" si="1"/>
        <v>0</v>
      </c>
      <c r="K70" s="42">
        <f t="shared" si="2"/>
        <v>0</v>
      </c>
      <c r="L70" s="175"/>
    </row>
    <row r="71" spans="1:12" x14ac:dyDescent="0.25">
      <c r="A71" s="38">
        <f>Données!A71</f>
        <v>5515</v>
      </c>
      <c r="B71" s="130" t="str">
        <f>Données!B71</f>
        <v>Bretigny-sur-Morrens</v>
      </c>
      <c r="C71" s="272">
        <f>VPI!R71</f>
        <v>29284.807179487179</v>
      </c>
      <c r="D71" s="150">
        <f>(PCS!I77-PCS!F77)/C71</f>
        <v>12.498350698816378</v>
      </c>
      <c r="E71" s="398">
        <f>'Péréquation directe'!E77/C71</f>
        <v>-3.9324217011840417</v>
      </c>
      <c r="F71" s="150">
        <f>'Péréquation directe'!F77/Effort!C71</f>
        <v>-10.592471448862355</v>
      </c>
      <c r="G71" s="150">
        <f>'Péréquation directe'!G77/Effort!C71</f>
        <v>-1.4868484505293897</v>
      </c>
      <c r="H71" s="150">
        <f>'Péréquation directe'!J77/Effort!C71</f>
        <v>19.603565040505057</v>
      </c>
      <c r="I71" s="285">
        <f t="shared" ref="I71:I134" si="3">SUM(D71:H71)</f>
        <v>16.090174138745645</v>
      </c>
      <c r="J71" s="161">
        <f t="shared" ref="J71:J134" si="4">IF(I71&gt;J$5,I71-J$5,0)</f>
        <v>0</v>
      </c>
      <c r="K71" s="42">
        <f t="shared" ref="K71:K134" si="5">-J71*C71</f>
        <v>0</v>
      </c>
      <c r="L71" s="175"/>
    </row>
    <row r="72" spans="1:12" x14ac:dyDescent="0.25">
      <c r="A72" s="38">
        <f>Données!A72</f>
        <v>5516</v>
      </c>
      <c r="B72" s="130" t="str">
        <f>Données!B72</f>
        <v>Cugy</v>
      </c>
      <c r="C72" s="272">
        <f>VPI!R72</f>
        <v>110286.19364035087</v>
      </c>
      <c r="D72" s="150">
        <f>(PCS!I78-PCS!F78)/C72</f>
        <v>12.498350698816378</v>
      </c>
      <c r="E72" s="398">
        <f>'Péréquation directe'!E78/C72</f>
        <v>-6.8403049582362785</v>
      </c>
      <c r="F72" s="150">
        <f>'Péréquation directe'!F78/Effort!C72</f>
        <v>-3.9543087275318269</v>
      </c>
      <c r="G72" s="150">
        <f>'Péréquation directe'!G78/Effort!C72</f>
        <v>-1.7149118030218222</v>
      </c>
      <c r="H72" s="150">
        <f>'Péréquation directe'!J78/Effort!C72</f>
        <v>19.603565040505057</v>
      </c>
      <c r="I72" s="285">
        <f t="shared" si="3"/>
        <v>19.592390250531508</v>
      </c>
      <c r="J72" s="161">
        <f t="shared" si="4"/>
        <v>0</v>
      </c>
      <c r="K72" s="42">
        <f t="shared" si="5"/>
        <v>0</v>
      </c>
      <c r="L72" s="175"/>
    </row>
    <row r="73" spans="1:12" x14ac:dyDescent="0.25">
      <c r="A73" s="38">
        <f>Données!A73</f>
        <v>5518</v>
      </c>
      <c r="B73" s="130" t="str">
        <f>Données!B73</f>
        <v>Echallens</v>
      </c>
      <c r="C73" s="272">
        <f>VPI!R73</f>
        <v>193272.16565517243</v>
      </c>
      <c r="D73" s="150">
        <f>(PCS!I79-PCS!F79)/C73</f>
        <v>12.498350698816378</v>
      </c>
      <c r="E73" s="398">
        <f>'Péréquation directe'!E79/C73</f>
        <v>-12.5662171361663</v>
      </c>
      <c r="F73" s="150">
        <f>'Péréquation directe'!F79/Effort!C73</f>
        <v>-9.2627118908226631</v>
      </c>
      <c r="G73" s="150">
        <f>'Péréquation directe'!G79/Effort!C73</f>
        <v>-7.4087226151309311</v>
      </c>
      <c r="H73" s="150">
        <f>'Péréquation directe'!J79/Effort!C73</f>
        <v>19.603565040505057</v>
      </c>
      <c r="I73" s="285">
        <f t="shared" si="3"/>
        <v>2.8642640972015414</v>
      </c>
      <c r="J73" s="161">
        <f t="shared" si="4"/>
        <v>0</v>
      </c>
      <c r="K73" s="42">
        <f t="shared" si="5"/>
        <v>0</v>
      </c>
      <c r="L73" s="175"/>
    </row>
    <row r="74" spans="1:12" x14ac:dyDescent="0.25">
      <c r="A74" s="38">
        <f>Données!A74</f>
        <v>5520</v>
      </c>
      <c r="B74" s="130" t="str">
        <f>Données!B74</f>
        <v>Essertines-sur-Yverdon</v>
      </c>
      <c r="C74" s="272">
        <f>VPI!R74</f>
        <v>31421.603918918918</v>
      </c>
      <c r="D74" s="150">
        <f>(PCS!I80-PCS!F80)/C74</f>
        <v>12.498350698816378</v>
      </c>
      <c r="E74" s="398">
        <f>'Péréquation directe'!E80/C74</f>
        <v>-5.1209832399857227</v>
      </c>
      <c r="F74" s="150">
        <f>'Péréquation directe'!F80/Effort!C74</f>
        <v>-14.162102447664015</v>
      </c>
      <c r="G74" s="150">
        <f>'Péréquation directe'!G80/Effort!C74</f>
        <v>-12.466549229325185</v>
      </c>
      <c r="H74" s="150">
        <f>'Péréquation directe'!J80/Effort!C74</f>
        <v>19.603565040505057</v>
      </c>
      <c r="I74" s="285">
        <f t="shared" si="3"/>
        <v>0.35228082234651126</v>
      </c>
      <c r="J74" s="161">
        <f t="shared" si="4"/>
        <v>0</v>
      </c>
      <c r="K74" s="42">
        <f t="shared" si="5"/>
        <v>0</v>
      </c>
      <c r="L74" s="175"/>
    </row>
    <row r="75" spans="1:12" x14ac:dyDescent="0.25">
      <c r="A75" s="38">
        <f>Données!A75</f>
        <v>5521</v>
      </c>
      <c r="B75" s="130" t="str">
        <f>Données!B75</f>
        <v>Etagnières</v>
      </c>
      <c r="C75" s="272">
        <f>VPI!R75</f>
        <v>47186.910273972615</v>
      </c>
      <c r="D75" s="150">
        <f>(PCS!I81-PCS!F81)/C75</f>
        <v>12.498350698816378</v>
      </c>
      <c r="E75" s="398">
        <f>'Péréquation directe'!E81/C75</f>
        <v>-3.9782010094449687</v>
      </c>
      <c r="F75" s="150">
        <f>'Péréquation directe'!F81/Effort!C75</f>
        <v>-3.649691446129117</v>
      </c>
      <c r="G75" s="150">
        <f>'Péréquation directe'!G81/Effort!C75</f>
        <v>-1.3781826750819957</v>
      </c>
      <c r="H75" s="150">
        <f>'Péréquation directe'!J81/Effort!C75</f>
        <v>19.603565040505057</v>
      </c>
      <c r="I75" s="285">
        <f t="shared" si="3"/>
        <v>23.095840608665352</v>
      </c>
      <c r="J75" s="161">
        <f t="shared" si="4"/>
        <v>0</v>
      </c>
      <c r="K75" s="42">
        <f t="shared" si="5"/>
        <v>0</v>
      </c>
      <c r="L75" s="175"/>
    </row>
    <row r="76" spans="1:12" x14ac:dyDescent="0.25">
      <c r="A76" s="38">
        <f>Données!A76</f>
        <v>5522</v>
      </c>
      <c r="B76" s="130" t="str">
        <f>Données!B76</f>
        <v>Fey</v>
      </c>
      <c r="C76" s="272">
        <f>VPI!R76</f>
        <v>24171.660400000001</v>
      </c>
      <c r="D76" s="150">
        <f>(PCS!I82-PCS!F82)/C76</f>
        <v>12.498350698816379</v>
      </c>
      <c r="E76" s="398">
        <f>'Péréquation directe'!E82/C76</f>
        <v>-3.9937352118187799</v>
      </c>
      <c r="F76" s="150">
        <f>'Péréquation directe'!F82/Effort!C76</f>
        <v>-10.295946184568137</v>
      </c>
      <c r="G76" s="150">
        <f>'Péréquation directe'!G82/Effort!C76</f>
        <v>-5.2908768545650942</v>
      </c>
      <c r="H76" s="150">
        <f>'Péréquation directe'!J82/Effort!C76</f>
        <v>19.603565040505057</v>
      </c>
      <c r="I76" s="285">
        <f t="shared" si="3"/>
        <v>12.521357488369425</v>
      </c>
      <c r="J76" s="161">
        <f t="shared" si="4"/>
        <v>0</v>
      </c>
      <c r="K76" s="42">
        <f t="shared" si="5"/>
        <v>0</v>
      </c>
      <c r="L76" s="175"/>
    </row>
    <row r="77" spans="1:12" x14ac:dyDescent="0.25">
      <c r="A77" s="38">
        <f>Données!A77</f>
        <v>5523</v>
      </c>
      <c r="B77" s="130" t="str">
        <f>Données!B77</f>
        <v>Froideville</v>
      </c>
      <c r="C77" s="272">
        <f>VPI!R77</f>
        <v>92223.451805555553</v>
      </c>
      <c r="D77" s="150">
        <f>(PCS!I83-PCS!F83)/C77</f>
        <v>12.498350698816378</v>
      </c>
      <c r="E77" s="398">
        <f>'Péréquation directe'!E83/C77</f>
        <v>-8.2716273706322117</v>
      </c>
      <c r="F77" s="150">
        <f>'Péréquation directe'!F83/Effort!C77</f>
        <v>-8.5421474299262492</v>
      </c>
      <c r="G77" s="150">
        <f>'Péréquation directe'!G83/Effort!C77</f>
        <v>-1.1010015030178852</v>
      </c>
      <c r="H77" s="150">
        <f>'Péréquation directe'!J83/Effort!C77</f>
        <v>19.603565040505057</v>
      </c>
      <c r="I77" s="285">
        <f t="shared" si="3"/>
        <v>14.187139435745088</v>
      </c>
      <c r="J77" s="161">
        <f t="shared" si="4"/>
        <v>0</v>
      </c>
      <c r="K77" s="42">
        <f t="shared" si="5"/>
        <v>0</v>
      </c>
      <c r="L77" s="175"/>
    </row>
    <row r="78" spans="1:12" x14ac:dyDescent="0.25">
      <c r="A78" s="38">
        <f>Données!A78</f>
        <v>5527</v>
      </c>
      <c r="B78" s="130" t="str">
        <f>Données!B78</f>
        <v>Morrens</v>
      </c>
      <c r="C78" s="272">
        <f>VPI!R78</f>
        <v>40722.210135135138</v>
      </c>
      <c r="D78" s="150">
        <f>(PCS!I84-PCS!F84)/C78</f>
        <v>12.498350698816376</v>
      </c>
      <c r="E78" s="398">
        <f>'Péréquation directe'!E84/C78</f>
        <v>-4.7720783528181112</v>
      </c>
      <c r="F78" s="150">
        <f>'Péréquation directe'!F84/Effort!C78</f>
        <v>-8.2767715466954037</v>
      </c>
      <c r="G78" s="150">
        <f>'Péréquation directe'!G84/Effort!C78</f>
        <v>-0.19051751994442012</v>
      </c>
      <c r="H78" s="150">
        <f>'Péréquation directe'!J84/Effort!C78</f>
        <v>19.603565040505057</v>
      </c>
      <c r="I78" s="285">
        <f t="shared" si="3"/>
        <v>18.862548319863496</v>
      </c>
      <c r="J78" s="161">
        <f t="shared" si="4"/>
        <v>0</v>
      </c>
      <c r="K78" s="42">
        <f t="shared" si="5"/>
        <v>0</v>
      </c>
      <c r="L78" s="175"/>
    </row>
    <row r="79" spans="1:12" x14ac:dyDescent="0.25">
      <c r="A79" s="38">
        <f>Données!A79</f>
        <v>5529</v>
      </c>
      <c r="B79" s="130" t="str">
        <f>Données!B79</f>
        <v>Oulens-sous-Echallens</v>
      </c>
      <c r="C79" s="272">
        <f>VPI!R79</f>
        <v>22676.673521126762</v>
      </c>
      <c r="D79" s="150">
        <f>(PCS!I85-PCS!F85)/C79</f>
        <v>12.498350698816378</v>
      </c>
      <c r="E79" s="398">
        <f>'Péréquation directe'!E85/C79</f>
        <v>-3.5051064634998559</v>
      </c>
      <c r="F79" s="150">
        <f>'Péréquation directe'!F85/Effort!C79</f>
        <v>-5.6373746604673931</v>
      </c>
      <c r="G79" s="150">
        <f>'Péréquation directe'!G85/Effort!C79</f>
        <v>-4.0578451846128116</v>
      </c>
      <c r="H79" s="150">
        <f>'Péréquation directe'!J85/Effort!C79</f>
        <v>19.603565040505057</v>
      </c>
      <c r="I79" s="285">
        <f t="shared" si="3"/>
        <v>18.901589430741375</v>
      </c>
      <c r="J79" s="161">
        <f t="shared" si="4"/>
        <v>0</v>
      </c>
      <c r="K79" s="42">
        <f t="shared" si="5"/>
        <v>0</v>
      </c>
      <c r="L79" s="175"/>
    </row>
    <row r="80" spans="1:12" x14ac:dyDescent="0.25">
      <c r="A80" s="38">
        <f>Données!A80</f>
        <v>5530</v>
      </c>
      <c r="B80" s="130" t="str">
        <f>Données!B80</f>
        <v>Pailly</v>
      </c>
      <c r="C80" s="272">
        <f>VPI!R80</f>
        <v>20358.644320175437</v>
      </c>
      <c r="D80" s="150">
        <f>(PCS!I86-PCS!F86)/C80</f>
        <v>12.498350698816378</v>
      </c>
      <c r="E80" s="398">
        <f>'Péréquation directe'!E86/C80</f>
        <v>-3.6464940832415054</v>
      </c>
      <c r="F80" s="150">
        <f>'Péréquation directe'!F86/Effort!C80</f>
        <v>-7.6494514604908863</v>
      </c>
      <c r="G80" s="150">
        <f>'Péréquation directe'!G86/Effort!C80</f>
        <v>-3.9307600743783149</v>
      </c>
      <c r="H80" s="150">
        <f>'Péréquation directe'!J86/Effort!C80</f>
        <v>19.603565040505057</v>
      </c>
      <c r="I80" s="285">
        <f t="shared" si="3"/>
        <v>16.875210121210728</v>
      </c>
      <c r="J80" s="161">
        <f t="shared" si="4"/>
        <v>0</v>
      </c>
      <c r="K80" s="42">
        <f t="shared" si="5"/>
        <v>0</v>
      </c>
      <c r="L80" s="175"/>
    </row>
    <row r="81" spans="1:12" x14ac:dyDescent="0.25">
      <c r="A81" s="38">
        <f>Données!A81</f>
        <v>5531</v>
      </c>
      <c r="B81" s="130" t="str">
        <f>Données!B81</f>
        <v>Penthéréaz</v>
      </c>
      <c r="C81" s="272">
        <f>VPI!R81</f>
        <v>17299.265810810808</v>
      </c>
      <c r="D81" s="150">
        <f>(PCS!I87-PCS!F87)/C81</f>
        <v>12.498350698816378</v>
      </c>
      <c r="E81" s="398">
        <f>'Péréquation directe'!E87/C81</f>
        <v>-3.2829794295273058</v>
      </c>
      <c r="F81" s="150">
        <f>'Péréquation directe'!F87/Effort!C81</f>
        <v>-4.3512074638953999</v>
      </c>
      <c r="G81" s="150">
        <f>'Péréquation directe'!G87/Effort!C81</f>
        <v>-2.7918655941669783</v>
      </c>
      <c r="H81" s="150">
        <f>'Péréquation directe'!J87/Effort!C81</f>
        <v>19.603565040505057</v>
      </c>
      <c r="I81" s="285">
        <f t="shared" si="3"/>
        <v>21.675863251731752</v>
      </c>
      <c r="J81" s="161">
        <f t="shared" si="4"/>
        <v>0</v>
      </c>
      <c r="K81" s="42">
        <f t="shared" si="5"/>
        <v>0</v>
      </c>
      <c r="L81" s="175"/>
    </row>
    <row r="82" spans="1:12" x14ac:dyDescent="0.25">
      <c r="A82" s="38">
        <f>Données!A82</f>
        <v>5533</v>
      </c>
      <c r="B82" s="130" t="str">
        <f>Données!B82</f>
        <v>Poliez-Pittet</v>
      </c>
      <c r="C82" s="272">
        <f>VPI!R82</f>
        <v>28011.409726027396</v>
      </c>
      <c r="D82" s="150">
        <f>(PCS!I88-PCS!F88)/C82</f>
        <v>12.498350698816378</v>
      </c>
      <c r="E82" s="398">
        <f>'Péréquation directe'!E88/C82</f>
        <v>-3.9707159761162836</v>
      </c>
      <c r="F82" s="150">
        <f>'Péréquation directe'!F88/Effort!C82</f>
        <v>-9.5753826052031226</v>
      </c>
      <c r="G82" s="150">
        <f>'Péréquation directe'!G88/Effort!C82</f>
        <v>-2.6825688088027686</v>
      </c>
      <c r="H82" s="150">
        <f>'Péréquation directe'!J88/Effort!C82</f>
        <v>19.603565040505057</v>
      </c>
      <c r="I82" s="285">
        <f t="shared" si="3"/>
        <v>15.87324834919926</v>
      </c>
      <c r="J82" s="161">
        <f t="shared" si="4"/>
        <v>0</v>
      </c>
      <c r="K82" s="42">
        <f t="shared" si="5"/>
        <v>0</v>
      </c>
      <c r="L82" s="175"/>
    </row>
    <row r="83" spans="1:12" x14ac:dyDescent="0.25">
      <c r="A83" s="38">
        <f>Données!A83</f>
        <v>5534</v>
      </c>
      <c r="B83" s="130" t="str">
        <f>Données!B83</f>
        <v>Rueyres</v>
      </c>
      <c r="C83" s="272">
        <f>VPI!R83</f>
        <v>15039.569474885846</v>
      </c>
      <c r="D83" s="150">
        <f>(PCS!I89-PCS!F89)/C83</f>
        <v>13.006209294042963</v>
      </c>
      <c r="E83" s="398">
        <f>'Péréquation directe'!E89/C83</f>
        <v>-2.6425010058401539</v>
      </c>
      <c r="F83" s="150">
        <f>'Péréquation directe'!F89/Effort!C83</f>
        <v>0</v>
      </c>
      <c r="G83" s="150">
        <f>'Péréquation directe'!G89/Effort!C83</f>
        <v>0</v>
      </c>
      <c r="H83" s="150">
        <f>'Péréquation directe'!J89/Effort!C83</f>
        <v>19.603565040505057</v>
      </c>
      <c r="I83" s="285">
        <f t="shared" si="3"/>
        <v>29.967273328707865</v>
      </c>
      <c r="J83" s="161">
        <f t="shared" si="4"/>
        <v>0</v>
      </c>
      <c r="K83" s="42">
        <f t="shared" si="5"/>
        <v>0</v>
      </c>
      <c r="L83" s="175"/>
    </row>
    <row r="84" spans="1:12" x14ac:dyDescent="0.25">
      <c r="A84" s="38">
        <f>Données!A84</f>
        <v>5535</v>
      </c>
      <c r="B84" s="130" t="str">
        <f>Données!B84</f>
        <v>Saint-Barthélemy</v>
      </c>
      <c r="C84" s="272">
        <f>VPI!R84</f>
        <v>25492.320666666663</v>
      </c>
      <c r="D84" s="150">
        <f>(PCS!I90-PCS!F90)/C84</f>
        <v>12.498350698816378</v>
      </c>
      <c r="E84" s="398">
        <f>'Péréquation directe'!E90/C84</f>
        <v>-4.1881571500090127</v>
      </c>
      <c r="F84" s="150">
        <f>'Péréquation directe'!F90/Effort!C84</f>
        <v>-11.889699068882651</v>
      </c>
      <c r="G84" s="150">
        <f>'Péréquation directe'!G90/Effort!C84</f>
        <v>0</v>
      </c>
      <c r="H84" s="150">
        <f>'Péréquation directe'!J90/Effort!C84</f>
        <v>19.603565040505057</v>
      </c>
      <c r="I84" s="285">
        <f t="shared" si="3"/>
        <v>16.024059520429773</v>
      </c>
      <c r="J84" s="161">
        <f t="shared" si="4"/>
        <v>0</v>
      </c>
      <c r="K84" s="42">
        <f t="shared" si="5"/>
        <v>0</v>
      </c>
      <c r="L84" s="175"/>
    </row>
    <row r="85" spans="1:12" x14ac:dyDescent="0.25">
      <c r="A85" s="38">
        <f>Données!A85</f>
        <v>5537</v>
      </c>
      <c r="B85" s="130" t="str">
        <f>Données!B85</f>
        <v>Villars-le-Terroir</v>
      </c>
      <c r="C85" s="272">
        <f>VPI!R85</f>
        <v>39162.025657894737</v>
      </c>
      <c r="D85" s="150">
        <f>(PCS!I91-PCS!F91)/C85</f>
        <v>12.498350698816378</v>
      </c>
      <c r="E85" s="398">
        <f>'Péréquation directe'!E91/C85</f>
        <v>-6.2375745951431423</v>
      </c>
      <c r="F85" s="150">
        <f>'Péréquation directe'!F91/Effort!C85</f>
        <v>-13.830186707615939</v>
      </c>
      <c r="G85" s="150">
        <f>'Péréquation directe'!G91/Effort!C85</f>
        <v>-1.9725652766945074</v>
      </c>
      <c r="H85" s="150">
        <f>'Péréquation directe'!J91/Effort!C85</f>
        <v>19.603565040505057</v>
      </c>
      <c r="I85" s="285">
        <f t="shared" si="3"/>
        <v>10.061589159867847</v>
      </c>
      <c r="J85" s="161">
        <f t="shared" si="4"/>
        <v>0</v>
      </c>
      <c r="K85" s="42">
        <f t="shared" si="5"/>
        <v>0</v>
      </c>
      <c r="L85" s="175"/>
    </row>
    <row r="86" spans="1:12" x14ac:dyDescent="0.25">
      <c r="A86" s="38">
        <f>Données!A86</f>
        <v>5539</v>
      </c>
      <c r="B86" s="130" t="str">
        <f>Données!B86</f>
        <v>Vuarrens</v>
      </c>
      <c r="C86" s="272">
        <f>VPI!R86</f>
        <v>34442.298537414965</v>
      </c>
      <c r="D86" s="150">
        <f>(PCS!I92-PCS!F92)/C86</f>
        <v>12.498350698816376</v>
      </c>
      <c r="E86" s="398">
        <f>'Péréquation directe'!E92/C86</f>
        <v>-4.9384289752221786</v>
      </c>
      <c r="F86" s="150">
        <f>'Péréquation directe'!F92/Effort!C86</f>
        <v>-11.605245926951198</v>
      </c>
      <c r="G86" s="150">
        <f>'Péréquation directe'!G92/Effort!C86</f>
        <v>-0.45562881304947339</v>
      </c>
      <c r="H86" s="150">
        <f>'Péréquation directe'!J92/Effort!C86</f>
        <v>19.603565040505057</v>
      </c>
      <c r="I86" s="285">
        <f t="shared" si="3"/>
        <v>15.102612024098583</v>
      </c>
      <c r="J86" s="161">
        <f t="shared" si="4"/>
        <v>0</v>
      </c>
      <c r="K86" s="42">
        <f t="shared" si="5"/>
        <v>0</v>
      </c>
      <c r="L86" s="175"/>
    </row>
    <row r="87" spans="1:12" x14ac:dyDescent="0.25">
      <c r="A87" s="38">
        <f>Données!A87</f>
        <v>5540</v>
      </c>
      <c r="B87" s="130" t="str">
        <f>Données!B87</f>
        <v>Montilliez</v>
      </c>
      <c r="C87" s="272">
        <f>VPI!R87</f>
        <v>67462.536103448278</v>
      </c>
      <c r="D87" s="150">
        <f>(PCS!I93-PCS!F93)/C87</f>
        <v>12.498350698816378</v>
      </c>
      <c r="E87" s="398">
        <f>'Péréquation directe'!E93/C87</f>
        <v>-6.816433235392874</v>
      </c>
      <c r="F87" s="150">
        <f>'Péréquation directe'!F93/Effort!C87</f>
        <v>-7.2506812543756878</v>
      </c>
      <c r="G87" s="150">
        <f>'Péréquation directe'!G93/Effort!C87</f>
        <v>-1.4630627506826444</v>
      </c>
      <c r="H87" s="150">
        <f>'Péréquation directe'!J93/Effort!C87</f>
        <v>19.603565040505057</v>
      </c>
      <c r="I87" s="285">
        <f t="shared" si="3"/>
        <v>16.571738498870229</v>
      </c>
      <c r="J87" s="161">
        <f t="shared" si="4"/>
        <v>0</v>
      </c>
      <c r="K87" s="42">
        <f t="shared" si="5"/>
        <v>0</v>
      </c>
      <c r="L87" s="175"/>
    </row>
    <row r="88" spans="1:12" x14ac:dyDescent="0.25">
      <c r="A88" s="38">
        <f>Données!A88</f>
        <v>5541</v>
      </c>
      <c r="B88" s="130" t="str">
        <f>Données!B88</f>
        <v>Goumoëns</v>
      </c>
      <c r="C88" s="272">
        <f>VPI!R88</f>
        <v>41725.831258278151</v>
      </c>
      <c r="D88" s="150">
        <f>(PCS!I94-PCS!F94)/C88</f>
        <v>12.498350698816378</v>
      </c>
      <c r="E88" s="398">
        <f>'Péréquation directe'!E94/C88</f>
        <v>-4.6837014898150553</v>
      </c>
      <c r="F88" s="150">
        <f>'Péréquation directe'!F94/Effort!C88</f>
        <v>-7.9398035661396946</v>
      </c>
      <c r="G88" s="150">
        <f>'Péréquation directe'!G94/Effort!C88</f>
        <v>-0.26245694099136674</v>
      </c>
      <c r="H88" s="150">
        <f>'Péréquation directe'!J94/Effort!C88</f>
        <v>19.603565040505057</v>
      </c>
      <c r="I88" s="285">
        <f t="shared" si="3"/>
        <v>19.215953742375319</v>
      </c>
      <c r="J88" s="161">
        <f t="shared" si="4"/>
        <v>0</v>
      </c>
      <c r="K88" s="42">
        <f t="shared" si="5"/>
        <v>0</v>
      </c>
      <c r="L88" s="175"/>
    </row>
    <row r="89" spans="1:12" x14ac:dyDescent="0.25">
      <c r="A89" s="38">
        <f>Données!A89</f>
        <v>5551</v>
      </c>
      <c r="B89" s="130" t="str">
        <f>Données!B89</f>
        <v>Bonvillars</v>
      </c>
      <c r="C89" s="272">
        <f>VPI!R89</f>
        <v>18574.407321428567</v>
      </c>
      <c r="D89" s="150">
        <f>(PCS!I95-PCS!F95)/C89</f>
        <v>12.498350698816376</v>
      </c>
      <c r="E89" s="398">
        <f>'Péréquation directe'!E95/C89</f>
        <v>-3.5377789853630692</v>
      </c>
      <c r="F89" s="150">
        <f>'Péréquation directe'!F95/Effort!C89</f>
        <v>-3.6563218637400694</v>
      </c>
      <c r="G89" s="150">
        <f>'Péréquation directe'!G95/Effort!C89</f>
        <v>-6.2316019199232109</v>
      </c>
      <c r="H89" s="150">
        <f>'Péréquation directe'!J95/Effort!C89</f>
        <v>19.603565040505057</v>
      </c>
      <c r="I89" s="285">
        <f t="shared" si="3"/>
        <v>18.676212970295083</v>
      </c>
      <c r="J89" s="161">
        <f t="shared" si="4"/>
        <v>0</v>
      </c>
      <c r="K89" s="42">
        <f t="shared" si="5"/>
        <v>0</v>
      </c>
      <c r="L89" s="175"/>
    </row>
    <row r="90" spans="1:12" x14ac:dyDescent="0.25">
      <c r="A90" s="38">
        <f>Données!A90</f>
        <v>5552</v>
      </c>
      <c r="B90" s="130" t="str">
        <f>Données!B90</f>
        <v>Bullet</v>
      </c>
      <c r="C90" s="272">
        <f>VPI!R90</f>
        <v>19038.467972027971</v>
      </c>
      <c r="D90" s="150">
        <f>(PCS!I96-PCS!F96)/C90</f>
        <v>12.498350698816378</v>
      </c>
      <c r="E90" s="398">
        <f>'Péréquation directe'!E96/C90</f>
        <v>-4.484943000005293</v>
      </c>
      <c r="F90" s="150">
        <f>'Péréquation directe'!F96/Effort!C90</f>
        <v>-13.01698734567713</v>
      </c>
      <c r="G90" s="150">
        <f>'Péréquation directe'!G96/Effort!C90</f>
        <v>-16.428556158497749</v>
      </c>
      <c r="H90" s="150">
        <f>'Péréquation directe'!J96/Effort!C90</f>
        <v>19.603565040505057</v>
      </c>
      <c r="I90" s="285">
        <f t="shared" si="3"/>
        <v>-1.8285707648587355</v>
      </c>
      <c r="J90" s="161">
        <f t="shared" si="4"/>
        <v>0</v>
      </c>
      <c r="K90" s="42">
        <f t="shared" si="5"/>
        <v>0</v>
      </c>
      <c r="L90" s="175"/>
    </row>
    <row r="91" spans="1:12" x14ac:dyDescent="0.25">
      <c r="A91" s="38">
        <f>Données!A91</f>
        <v>5553</v>
      </c>
      <c r="B91" s="130" t="str">
        <f>Données!B91</f>
        <v>Champagne</v>
      </c>
      <c r="C91" s="272">
        <f>VPI!R91</f>
        <v>38261.021999999997</v>
      </c>
      <c r="D91" s="150">
        <f>(PCS!I97-PCS!F97)/C91</f>
        <v>12.498350698816376</v>
      </c>
      <c r="E91" s="398">
        <f>'Péréquation directe'!E97/C91</f>
        <v>-4.1671780998883525</v>
      </c>
      <c r="F91" s="150">
        <f>'Péréquation directe'!F97/Effort!C91</f>
        <v>-5.8758515896643519</v>
      </c>
      <c r="G91" s="150">
        <f>'Péréquation directe'!G97/Effort!C91</f>
        <v>-7.5036259303154127</v>
      </c>
      <c r="H91" s="150">
        <f>'Péréquation directe'!J97/Effort!C91</f>
        <v>19.603565040505057</v>
      </c>
      <c r="I91" s="285">
        <f t="shared" si="3"/>
        <v>14.555260119453315</v>
      </c>
      <c r="J91" s="161">
        <f t="shared" si="4"/>
        <v>0</v>
      </c>
      <c r="K91" s="42">
        <f t="shared" si="5"/>
        <v>0</v>
      </c>
      <c r="L91" s="175"/>
    </row>
    <row r="92" spans="1:12" x14ac:dyDescent="0.25">
      <c r="A92" s="38">
        <f>Données!A92</f>
        <v>5554</v>
      </c>
      <c r="B92" s="130" t="str">
        <f>Données!B92</f>
        <v>Concise</v>
      </c>
      <c r="C92" s="272">
        <f>VPI!R92</f>
        <v>33906.908000000003</v>
      </c>
      <c r="D92" s="150">
        <f>(PCS!I98-PCS!F98)/C92</f>
        <v>12.498350698816378</v>
      </c>
      <c r="E92" s="398">
        <f>'Péréquation directe'!E98/C92</f>
        <v>-3.8899589096487186</v>
      </c>
      <c r="F92" s="150">
        <f>'Péréquation directe'!F98/Effort!C92</f>
        <v>-9.3310953364645073</v>
      </c>
      <c r="G92" s="150">
        <f>'Péréquation directe'!G98/Effort!C92</f>
        <v>-5.9406750130034363</v>
      </c>
      <c r="H92" s="150">
        <f>'Péréquation directe'!J98/Effort!C92</f>
        <v>19.603565040505057</v>
      </c>
      <c r="I92" s="285">
        <f t="shared" si="3"/>
        <v>12.940186480204773</v>
      </c>
      <c r="J92" s="161">
        <f t="shared" si="4"/>
        <v>0</v>
      </c>
      <c r="K92" s="42">
        <f t="shared" si="5"/>
        <v>0</v>
      </c>
      <c r="L92" s="175"/>
    </row>
    <row r="93" spans="1:12" x14ac:dyDescent="0.25">
      <c r="A93" s="38">
        <f>Données!A93</f>
        <v>5555</v>
      </c>
      <c r="B93" s="130" t="str">
        <f>Données!B93</f>
        <v>Corcelles-près-Concise</v>
      </c>
      <c r="C93" s="272">
        <f>VPI!R93</f>
        <v>13425.133333333333</v>
      </c>
      <c r="D93" s="150">
        <f>(PCS!I99-PCS!F99)/C93</f>
        <v>12.498350698816378</v>
      </c>
      <c r="E93" s="398">
        <f>'Péréquation directe'!E99/C93</f>
        <v>-4.0251914861950118</v>
      </c>
      <c r="F93" s="150">
        <f>'Péréquation directe'!F99/Effort!C93</f>
        <v>-8.9327410628353423</v>
      </c>
      <c r="G93" s="150">
        <f>'Péréquation directe'!G99/Effort!C93</f>
        <v>-12.643223256846282</v>
      </c>
      <c r="H93" s="150">
        <f>'Péréquation directe'!J99/Effort!C93</f>
        <v>19.603565040505057</v>
      </c>
      <c r="I93" s="285">
        <f t="shared" si="3"/>
        <v>6.5007599334447974</v>
      </c>
      <c r="J93" s="161">
        <f t="shared" si="4"/>
        <v>0</v>
      </c>
      <c r="K93" s="42">
        <f t="shared" si="5"/>
        <v>0</v>
      </c>
      <c r="L93" s="175"/>
    </row>
    <row r="94" spans="1:12" x14ac:dyDescent="0.25">
      <c r="A94" s="38">
        <f>Données!A94</f>
        <v>5556</v>
      </c>
      <c r="B94" s="130" t="str">
        <f>Données!B94</f>
        <v>Fiez</v>
      </c>
      <c r="C94" s="272">
        <f>VPI!R94</f>
        <v>13304.178019323672</v>
      </c>
      <c r="D94" s="150">
        <f>(PCS!I100-PCS!F100)/C94</f>
        <v>12.498350698816378</v>
      </c>
      <c r="E94" s="398">
        <f>'Péréquation directe'!E100/C94</f>
        <v>-4.2983955592934091</v>
      </c>
      <c r="F94" s="150">
        <f>'Péréquation directe'!F100/Effort!C94</f>
        <v>-10.828305446182673</v>
      </c>
      <c r="G94" s="150">
        <f>'Péréquation directe'!G100/Effort!C94</f>
        <v>-6.5351140007028503</v>
      </c>
      <c r="H94" s="150">
        <f>'Péréquation directe'!J100/Effort!C94</f>
        <v>19.603565040505057</v>
      </c>
      <c r="I94" s="285">
        <f t="shared" si="3"/>
        <v>10.440100733142501</v>
      </c>
      <c r="J94" s="161">
        <f t="shared" si="4"/>
        <v>0</v>
      </c>
      <c r="K94" s="42">
        <f t="shared" si="5"/>
        <v>0</v>
      </c>
      <c r="L94" s="175"/>
    </row>
    <row r="95" spans="1:12" x14ac:dyDescent="0.25">
      <c r="A95" s="38">
        <f>Données!A95</f>
        <v>5557</v>
      </c>
      <c r="B95" s="130" t="str">
        <f>Données!B95</f>
        <v>Fontaines-sur-Grandson</v>
      </c>
      <c r="C95" s="272">
        <f>VPI!R95</f>
        <v>5098.6839130434782</v>
      </c>
      <c r="D95" s="150">
        <f>(PCS!I101-PCS!F101)/C95</f>
        <v>12.498350698816376</v>
      </c>
      <c r="E95" s="398">
        <f>'Péréquation directe'!E101/C95</f>
        <v>-5.5050798305079462</v>
      </c>
      <c r="F95" s="150">
        <f>'Péréquation directe'!F101/Effort!C95</f>
        <v>-19.200610077365443</v>
      </c>
      <c r="G95" s="150">
        <f>'Péréquation directe'!G101/Effort!C95</f>
        <v>-9.3964003496770232</v>
      </c>
      <c r="H95" s="150">
        <f>'Péréquation directe'!J101/Effort!C95</f>
        <v>19.603565040505057</v>
      </c>
      <c r="I95" s="285">
        <f t="shared" si="3"/>
        <v>-2.000174518228981</v>
      </c>
      <c r="J95" s="161">
        <f t="shared" si="4"/>
        <v>0</v>
      </c>
      <c r="K95" s="42">
        <f t="shared" si="5"/>
        <v>0</v>
      </c>
      <c r="L95" s="175"/>
    </row>
    <row r="96" spans="1:12" x14ac:dyDescent="0.25">
      <c r="A96" s="38">
        <f>Données!A96</f>
        <v>5559</v>
      </c>
      <c r="B96" s="130" t="str">
        <f>Données!B96</f>
        <v>Giez</v>
      </c>
      <c r="C96" s="272">
        <f>VPI!R96</f>
        <v>21009.564242424243</v>
      </c>
      <c r="D96" s="150">
        <f>(PCS!I102-PCS!F102)/C96</f>
        <v>12.498350698816378</v>
      </c>
      <c r="E96" s="398">
        <f>'Péréquation directe'!E102/C96</f>
        <v>-2.8093341986008342</v>
      </c>
      <c r="F96" s="150">
        <f>'Péréquation directe'!F102/Effort!C96</f>
        <v>-0.45453139174982171</v>
      </c>
      <c r="G96" s="150">
        <f>'Péréquation directe'!G102/Effort!C96</f>
        <v>-0.8856955336227843</v>
      </c>
      <c r="H96" s="150">
        <f>'Péréquation directe'!J102/Effort!C96</f>
        <v>19.603565040505057</v>
      </c>
      <c r="I96" s="285">
        <f t="shared" si="3"/>
        <v>27.952354615347996</v>
      </c>
      <c r="J96" s="161">
        <f t="shared" si="4"/>
        <v>0</v>
      </c>
      <c r="K96" s="42">
        <f t="shared" si="5"/>
        <v>0</v>
      </c>
      <c r="L96" s="175"/>
    </row>
    <row r="97" spans="1:12" x14ac:dyDescent="0.25">
      <c r="A97" s="38">
        <f>Données!A97</f>
        <v>5560</v>
      </c>
      <c r="B97" s="130" t="str">
        <f>Données!B97</f>
        <v>Grandevent</v>
      </c>
      <c r="C97" s="272">
        <f>VPI!R97</f>
        <v>8996.1019718309853</v>
      </c>
      <c r="D97" s="150">
        <f>(PCS!I103-PCS!F103)/C97</f>
        <v>12.498350698816378</v>
      </c>
      <c r="E97" s="398">
        <f>'Péréquation directe'!E103/C97</f>
        <v>-3.4554285201834833</v>
      </c>
      <c r="F97" s="150">
        <f>'Péréquation directe'!F103/Effort!C97</f>
        <v>-5.2724245548158102</v>
      </c>
      <c r="G97" s="150">
        <f>'Péréquation directe'!G103/Effort!C97</f>
        <v>-0.75604377942102863</v>
      </c>
      <c r="H97" s="150">
        <f>'Péréquation directe'!J103/Effort!C97</f>
        <v>19.603565040505057</v>
      </c>
      <c r="I97" s="285">
        <f t="shared" si="3"/>
        <v>22.618018884901112</v>
      </c>
      <c r="J97" s="161">
        <f t="shared" si="4"/>
        <v>0</v>
      </c>
      <c r="K97" s="42">
        <f t="shared" si="5"/>
        <v>0</v>
      </c>
      <c r="L97" s="175"/>
    </row>
    <row r="98" spans="1:12" x14ac:dyDescent="0.25">
      <c r="A98" s="38">
        <f>Données!A98</f>
        <v>5561</v>
      </c>
      <c r="B98" s="130" t="str">
        <f>Données!B98</f>
        <v>Grandson</v>
      </c>
      <c r="C98" s="272">
        <f>VPI!R98</f>
        <v>132373.10913043478</v>
      </c>
      <c r="D98" s="150">
        <f>(PCS!I104-PCS!F104)/C98</f>
        <v>12.498350698816378</v>
      </c>
      <c r="E98" s="398">
        <f>'Péréquation directe'!E104/C98</f>
        <v>-7.9585118508352934</v>
      </c>
      <c r="F98" s="150">
        <f>'Péréquation directe'!F104/Effort!C98</f>
        <v>-4.0904147390782981</v>
      </c>
      <c r="G98" s="150">
        <f>'Péréquation directe'!G104/Effort!C98</f>
        <v>-7.1730093572655313</v>
      </c>
      <c r="H98" s="150">
        <f>'Péréquation directe'!J104/Effort!C98</f>
        <v>19.603565040505057</v>
      </c>
      <c r="I98" s="285">
        <f t="shared" si="3"/>
        <v>12.879979792142311</v>
      </c>
      <c r="J98" s="161">
        <f t="shared" si="4"/>
        <v>0</v>
      </c>
      <c r="K98" s="42">
        <f t="shared" si="5"/>
        <v>0</v>
      </c>
      <c r="L98" s="175"/>
    </row>
    <row r="99" spans="1:12" x14ac:dyDescent="0.25">
      <c r="A99" s="38">
        <f>Données!A99</f>
        <v>5562</v>
      </c>
      <c r="B99" s="130" t="str">
        <f>Données!B99</f>
        <v>Mauborget</v>
      </c>
      <c r="C99" s="272">
        <f>VPI!R99</f>
        <v>4559.8122619047608</v>
      </c>
      <c r="D99" s="150">
        <f>(PCS!I105-PCS!F105)/C99</f>
        <v>12.498350698816378</v>
      </c>
      <c r="E99" s="398">
        <f>'Péréquation directe'!E105/C99</f>
        <v>-3.9695388917426682</v>
      </c>
      <c r="F99" s="150">
        <f>'Péréquation directe'!F105/Effort!C99</f>
        <v>-8.7961310838701898</v>
      </c>
      <c r="G99" s="150">
        <f>'Péréquation directe'!G105/Effort!C99</f>
        <v>-2.3099234427242967</v>
      </c>
      <c r="H99" s="150">
        <f>'Péréquation directe'!J105/Effort!C99</f>
        <v>19.603565040505057</v>
      </c>
      <c r="I99" s="285">
        <f t="shared" si="3"/>
        <v>17.026322320984278</v>
      </c>
      <c r="J99" s="161">
        <f t="shared" si="4"/>
        <v>0</v>
      </c>
      <c r="K99" s="42">
        <f t="shared" si="5"/>
        <v>0</v>
      </c>
      <c r="L99" s="175"/>
    </row>
    <row r="100" spans="1:12" x14ac:dyDescent="0.25">
      <c r="A100" s="38">
        <f>Données!A100</f>
        <v>5563</v>
      </c>
      <c r="B100" s="130" t="str">
        <f>Données!B100</f>
        <v>Mutrux</v>
      </c>
      <c r="C100" s="272">
        <f>VPI!R100</f>
        <v>2282.0827499999996</v>
      </c>
      <c r="D100" s="150">
        <f>(PCS!I106-PCS!F106)/C100</f>
        <v>12.498350698816379</v>
      </c>
      <c r="E100" s="398">
        <f>'Péréquation directe'!E106/C100</f>
        <v>-8.6786764180566518</v>
      </c>
      <c r="F100" s="150">
        <f>'Péréquation directe'!F106/Effort!C100</f>
        <v>-55.410058580121387</v>
      </c>
      <c r="G100" s="150">
        <f>'Péréquation directe'!G106/Effort!C100</f>
        <v>-19.686728948769002</v>
      </c>
      <c r="H100" s="150">
        <f>'Péréquation directe'!J106/Effort!C100</f>
        <v>19.603565040505057</v>
      </c>
      <c r="I100" s="285">
        <f t="shared" si="3"/>
        <v>-51.673548207625601</v>
      </c>
      <c r="J100" s="161">
        <f t="shared" si="4"/>
        <v>0</v>
      </c>
      <c r="K100" s="42">
        <f t="shared" si="5"/>
        <v>0</v>
      </c>
      <c r="L100" s="175"/>
    </row>
    <row r="101" spans="1:12" x14ac:dyDescent="0.25">
      <c r="A101" s="38">
        <f>Données!A101</f>
        <v>5564</v>
      </c>
      <c r="B101" s="130" t="str">
        <f>Données!B101</f>
        <v>Novalles</v>
      </c>
      <c r="C101" s="272">
        <f>VPI!R101</f>
        <v>2548.8721381578953</v>
      </c>
      <c r="D101" s="150">
        <f>(PCS!I107-PCS!F107)/C101</f>
        <v>12.498350698816378</v>
      </c>
      <c r="E101" s="398">
        <f>'Péréquation directe'!E107/C101</f>
        <v>-5.0944239284800164</v>
      </c>
      <c r="F101" s="150">
        <f>'Péréquation directe'!F107/Effort!C101</f>
        <v>-19.837323706356376</v>
      </c>
      <c r="G101" s="150">
        <f>'Péréquation directe'!G107/Effort!C101</f>
        <v>-13.52873431171767</v>
      </c>
      <c r="H101" s="150">
        <f>'Péréquation directe'!J107/Effort!C101</f>
        <v>19.603565040505057</v>
      </c>
      <c r="I101" s="285">
        <f t="shared" si="3"/>
        <v>-6.3585662072326272</v>
      </c>
      <c r="J101" s="161">
        <f t="shared" si="4"/>
        <v>0</v>
      </c>
      <c r="K101" s="42">
        <f t="shared" si="5"/>
        <v>0</v>
      </c>
      <c r="L101" s="175"/>
    </row>
    <row r="102" spans="1:12" x14ac:dyDescent="0.25">
      <c r="A102" s="38">
        <f>Données!A102</f>
        <v>5565</v>
      </c>
      <c r="B102" s="130" t="str">
        <f>Données!B102</f>
        <v>Onnens</v>
      </c>
      <c r="C102" s="272">
        <f>VPI!R102</f>
        <v>19043.042992125989</v>
      </c>
      <c r="D102" s="150">
        <f>(PCS!I108-PCS!F108)/C102</f>
        <v>12.498350698816378</v>
      </c>
      <c r="E102" s="398">
        <f>'Péréquation directe'!E108/C102</f>
        <v>-3.4162784831746071</v>
      </c>
      <c r="F102" s="150">
        <f>'Péréquation directe'!F108/Effort!C102</f>
        <v>-3.987308790547698</v>
      </c>
      <c r="G102" s="150">
        <f>'Péréquation directe'!G108/Effort!C102</f>
        <v>-4.5844597016742332</v>
      </c>
      <c r="H102" s="150">
        <f>'Péréquation directe'!J108/Effort!C102</f>
        <v>19.603565040505057</v>
      </c>
      <c r="I102" s="285">
        <f t="shared" si="3"/>
        <v>20.113868763924895</v>
      </c>
      <c r="J102" s="161">
        <f t="shared" si="4"/>
        <v>0</v>
      </c>
      <c r="K102" s="42">
        <f t="shared" si="5"/>
        <v>0</v>
      </c>
      <c r="L102" s="175"/>
    </row>
    <row r="103" spans="1:12" x14ac:dyDescent="0.25">
      <c r="A103" s="38">
        <f>Données!A103</f>
        <v>5566</v>
      </c>
      <c r="B103" s="130" t="str">
        <f>Données!B103</f>
        <v>Provence</v>
      </c>
      <c r="C103" s="272">
        <f>VPI!R103</f>
        <v>8528.7641152263368</v>
      </c>
      <c r="D103" s="150">
        <f>(PCS!I109-PCS!F109)/C103</f>
        <v>12.498350698816376</v>
      </c>
      <c r="E103" s="398">
        <f>'Péréquation directe'!E109/C103</f>
        <v>-6.1976476232376791</v>
      </c>
      <c r="F103" s="150">
        <f>'Péréquation directe'!F109/Effort!C103</f>
        <v>-33.081764148439127</v>
      </c>
      <c r="G103" s="150">
        <f>'Péréquation directe'!G109/Effort!C103</f>
        <v>-38.383104365419456</v>
      </c>
      <c r="H103" s="150">
        <f>'Péréquation directe'!J109/Effort!C103</f>
        <v>19.603565040505057</v>
      </c>
      <c r="I103" s="285">
        <f t="shared" si="3"/>
        <v>-45.560600397774834</v>
      </c>
      <c r="J103" s="161">
        <f t="shared" si="4"/>
        <v>0</v>
      </c>
      <c r="K103" s="42">
        <f t="shared" si="5"/>
        <v>0</v>
      </c>
      <c r="L103" s="175"/>
    </row>
    <row r="104" spans="1:12" x14ac:dyDescent="0.25">
      <c r="A104" s="38">
        <f>Données!A104</f>
        <v>5568</v>
      </c>
      <c r="B104" s="130" t="str">
        <f>Données!B104</f>
        <v>Sainte-Croix</v>
      </c>
      <c r="C104" s="272">
        <f>VPI!R104</f>
        <v>106003.06099999999</v>
      </c>
      <c r="D104" s="150">
        <f>(PCS!I110-PCS!F110)/C104</f>
        <v>12.498350698816376</v>
      </c>
      <c r="E104" s="398">
        <f>'Péréquation directe'!E110/C104</f>
        <v>-17.416817005812291</v>
      </c>
      <c r="F104" s="150">
        <f>'Péréquation directe'!F110/Effort!C104</f>
        <v>-23.471100267345385</v>
      </c>
      <c r="G104" s="150">
        <f>'Péréquation directe'!G110/Effort!C104</f>
        <v>-17.41788000006667</v>
      </c>
      <c r="H104" s="150">
        <f>'Péréquation directe'!J110/Effort!C104</f>
        <v>19.603565040505057</v>
      </c>
      <c r="I104" s="285">
        <f t="shared" si="3"/>
        <v>-26.203881533902919</v>
      </c>
      <c r="J104" s="161">
        <f t="shared" si="4"/>
        <v>0</v>
      </c>
      <c r="K104" s="42">
        <f t="shared" si="5"/>
        <v>0</v>
      </c>
      <c r="L104" s="175"/>
    </row>
    <row r="105" spans="1:12" x14ac:dyDescent="0.25">
      <c r="A105" s="38">
        <f>Données!A105</f>
        <v>5571</v>
      </c>
      <c r="B105" s="130" t="str">
        <f>Données!B105</f>
        <v>Tévenon</v>
      </c>
      <c r="C105" s="272">
        <f>VPI!R105</f>
        <v>25906.923962703961</v>
      </c>
      <c r="D105" s="150">
        <f>(PCS!I111-PCS!F111)/C105</f>
        <v>12.498350698816381</v>
      </c>
      <c r="E105" s="398">
        <f>'Péréquation directe'!E111/C105</f>
        <v>-4.3894608924306979</v>
      </c>
      <c r="F105" s="150">
        <f>'Péréquation directe'!F111/Effort!C105</f>
        <v>-12.305630903546499</v>
      </c>
      <c r="G105" s="150">
        <f>'Péréquation directe'!G111/Effort!C105</f>
        <v>-6.8635617891560532</v>
      </c>
      <c r="H105" s="150">
        <f>'Péréquation directe'!J111/Effort!C105</f>
        <v>19.603565040505057</v>
      </c>
      <c r="I105" s="285">
        <f t="shared" si="3"/>
        <v>8.5432621541881879</v>
      </c>
      <c r="J105" s="161">
        <f t="shared" si="4"/>
        <v>0</v>
      </c>
      <c r="K105" s="42">
        <f t="shared" si="5"/>
        <v>0</v>
      </c>
      <c r="L105" s="175"/>
    </row>
    <row r="106" spans="1:12" x14ac:dyDescent="0.25">
      <c r="A106" s="38">
        <f>Données!A106</f>
        <v>5581</v>
      </c>
      <c r="B106" s="130" t="str">
        <f>Données!B106</f>
        <v>Belmont-sur-Lausanne</v>
      </c>
      <c r="C106" s="272">
        <f>VPI!R106</f>
        <v>233667.07055555552</v>
      </c>
      <c r="D106" s="150">
        <f>(PCS!I112-PCS!F112)/C106</f>
        <v>15.982145072634223</v>
      </c>
      <c r="E106" s="398">
        <f>'Péréquation directe'!E112/C106</f>
        <v>-5.5795195998317899</v>
      </c>
      <c r="F106" s="150">
        <f>'Péréquation directe'!F112/Effort!C106</f>
        <v>0</v>
      </c>
      <c r="G106" s="150">
        <f>'Péréquation directe'!G112/Effort!C106</f>
        <v>-4.5742701072932626</v>
      </c>
      <c r="H106" s="150">
        <f>'Péréquation directe'!J112/Effort!C106</f>
        <v>19.603565040505057</v>
      </c>
      <c r="I106" s="285">
        <f t="shared" si="3"/>
        <v>25.431920406014228</v>
      </c>
      <c r="J106" s="161">
        <f t="shared" si="4"/>
        <v>0</v>
      </c>
      <c r="K106" s="42">
        <f t="shared" si="5"/>
        <v>0</v>
      </c>
      <c r="L106" s="175"/>
    </row>
    <row r="107" spans="1:12" x14ac:dyDescent="0.25">
      <c r="A107" s="38">
        <f>Données!A107</f>
        <v>5582</v>
      </c>
      <c r="B107" s="130" t="str">
        <f>Données!B107</f>
        <v>Cheseaux-sur-Lausanne</v>
      </c>
      <c r="C107" s="272">
        <f>VPI!R107</f>
        <v>170421.56630136984</v>
      </c>
      <c r="D107" s="150">
        <f>(PCS!I113-PCS!F113)/C107</f>
        <v>12.498350698816378</v>
      </c>
      <c r="E107" s="398">
        <f>'Péréquation directe'!E113/C107</f>
        <v>-9.7743324298981733</v>
      </c>
      <c r="F107" s="150">
        <f>'Péréquation directe'!F113/Effort!C107</f>
        <v>-5.7845592851447929</v>
      </c>
      <c r="G107" s="150">
        <f>'Péréquation directe'!G113/Effort!C107</f>
        <v>-2.7891638971844919</v>
      </c>
      <c r="H107" s="150">
        <f>'Péréquation directe'!J113/Effort!C107</f>
        <v>19.603565040505057</v>
      </c>
      <c r="I107" s="285">
        <f t="shared" si="3"/>
        <v>13.753860127093976</v>
      </c>
      <c r="J107" s="161">
        <f t="shared" si="4"/>
        <v>0</v>
      </c>
      <c r="K107" s="42">
        <f t="shared" si="5"/>
        <v>0</v>
      </c>
      <c r="L107" s="175"/>
    </row>
    <row r="108" spans="1:12" x14ac:dyDescent="0.25">
      <c r="A108" s="38">
        <f>Données!A108</f>
        <v>5583</v>
      </c>
      <c r="B108" s="130" t="str">
        <f>Données!B108</f>
        <v>Crissier</v>
      </c>
      <c r="C108" s="272">
        <f>VPI!R108</f>
        <v>340450.32850393705</v>
      </c>
      <c r="D108" s="150">
        <f>(PCS!I114-PCS!F114)/C108</f>
        <v>12.498350698816376</v>
      </c>
      <c r="E108" s="398">
        <f>'Péréquation directe'!E114/C108</f>
        <v>-13.443578670522442</v>
      </c>
      <c r="F108" s="150">
        <f>'Péréquation directe'!F114/Effort!C108</f>
        <v>-4.651857315149365</v>
      </c>
      <c r="G108" s="150">
        <f>'Péréquation directe'!G114/Effort!C108</f>
        <v>-10.291719621303034</v>
      </c>
      <c r="H108" s="150">
        <f>'Péréquation directe'!J114/Effort!C108</f>
        <v>19.603565040505057</v>
      </c>
      <c r="I108" s="285">
        <f t="shared" si="3"/>
        <v>3.7147601323465906</v>
      </c>
      <c r="J108" s="161">
        <f t="shared" si="4"/>
        <v>0</v>
      </c>
      <c r="K108" s="42">
        <f t="shared" si="5"/>
        <v>0</v>
      </c>
      <c r="L108" s="175"/>
    </row>
    <row r="109" spans="1:12" x14ac:dyDescent="0.25">
      <c r="A109" s="38">
        <f>Données!A109</f>
        <v>5584</v>
      </c>
      <c r="B109" s="130" t="str">
        <f>Données!B109</f>
        <v>Epalinges</v>
      </c>
      <c r="C109" s="272">
        <f>VPI!R109</f>
        <v>489743.06325581396</v>
      </c>
      <c r="D109" s="150">
        <f>(PCS!I115-PCS!F115)/C109</f>
        <v>12.999800967667818</v>
      </c>
      <c r="E109" s="398">
        <f>'Péréquation directe'!E115/C109</f>
        <v>-10.554704492382188</v>
      </c>
      <c r="F109" s="150">
        <f>'Péréquation directe'!F115/Effort!C109</f>
        <v>0</v>
      </c>
      <c r="G109" s="150">
        <f>'Péréquation directe'!G115/Effort!C109</f>
        <v>-8.9025833328033723</v>
      </c>
      <c r="H109" s="150">
        <f>'Péréquation directe'!J115/Effort!C109</f>
        <v>19.603565040505057</v>
      </c>
      <c r="I109" s="285">
        <f t="shared" si="3"/>
        <v>13.146078182987315</v>
      </c>
      <c r="J109" s="161">
        <f t="shared" si="4"/>
        <v>0</v>
      </c>
      <c r="K109" s="42">
        <f t="shared" si="5"/>
        <v>0</v>
      </c>
      <c r="L109" s="175"/>
    </row>
    <row r="110" spans="1:12" x14ac:dyDescent="0.25">
      <c r="A110" s="38">
        <f>Données!A110</f>
        <v>5585</v>
      </c>
      <c r="B110" s="130" t="str">
        <f>Données!B110</f>
        <v>Jouxtens-Mézery</v>
      </c>
      <c r="C110" s="272">
        <f>VPI!R110</f>
        <v>210572.62440677959</v>
      </c>
      <c r="D110" s="150">
        <f>(PCS!I116-PCS!F116)/C110</f>
        <v>28.795495129806273</v>
      </c>
      <c r="E110" s="398">
        <f>'Péréquation directe'!E116/C110</f>
        <v>-1.4391073890635961</v>
      </c>
      <c r="F110" s="150">
        <f>'Péréquation directe'!F116/Effort!C110</f>
        <v>0</v>
      </c>
      <c r="G110" s="150">
        <f>'Péréquation directe'!G116/Effort!C110</f>
        <v>0</v>
      </c>
      <c r="H110" s="150">
        <f>'Péréquation directe'!J116/Effort!C110</f>
        <v>19.603565040505057</v>
      </c>
      <c r="I110" s="285">
        <f t="shared" si="3"/>
        <v>46.959952781247736</v>
      </c>
      <c r="J110" s="161">
        <f t="shared" si="4"/>
        <v>0</v>
      </c>
      <c r="K110" s="42">
        <f t="shared" si="5"/>
        <v>0</v>
      </c>
      <c r="L110" s="175"/>
    </row>
    <row r="111" spans="1:12" x14ac:dyDescent="0.25">
      <c r="A111" s="38">
        <f>Données!A111</f>
        <v>5586</v>
      </c>
      <c r="B111" s="130" t="str">
        <f>Données!B111</f>
        <v>Lausanne</v>
      </c>
      <c r="C111" s="272">
        <f>VPI!R111</f>
        <v>6670835.0290021216</v>
      </c>
      <c r="D111" s="150">
        <f>(PCS!I117-PCS!F117)/C111</f>
        <v>12.498350698816378</v>
      </c>
      <c r="E111" s="398">
        <f>'Péréquation directe'!E117/C111</f>
        <v>-22.432558997714811</v>
      </c>
      <c r="F111" s="150">
        <f>'Péréquation directe'!F117/Effort!C111</f>
        <v>-0.40138779866352498</v>
      </c>
      <c r="G111" s="150">
        <f>'Péréquation directe'!G117/Effort!C111</f>
        <v>-7.2519897826299511</v>
      </c>
      <c r="H111" s="150">
        <f>'Péréquation directe'!J117/Effort!C111</f>
        <v>19.603565040505057</v>
      </c>
      <c r="I111" s="285">
        <f t="shared" si="3"/>
        <v>2.0159791603131474</v>
      </c>
      <c r="J111" s="161">
        <f t="shared" si="4"/>
        <v>0</v>
      </c>
      <c r="K111" s="42">
        <f t="shared" si="5"/>
        <v>0</v>
      </c>
      <c r="L111" s="175"/>
    </row>
    <row r="112" spans="1:12" x14ac:dyDescent="0.25">
      <c r="A112" s="38">
        <f>Données!A112</f>
        <v>5587</v>
      </c>
      <c r="B112" s="130" t="str">
        <f>Données!B112</f>
        <v>Le Mont-sur-Lausanne</v>
      </c>
      <c r="C112" s="272">
        <f>VPI!R112</f>
        <v>484022.6825170067</v>
      </c>
      <c r="D112" s="150">
        <f>(PCS!I118-PCS!F118)/C112</f>
        <v>13.671043156432853</v>
      </c>
      <c r="E112" s="398">
        <f>'Péréquation directe'!E118/C112</f>
        <v>-9.7065066078429219</v>
      </c>
      <c r="F112" s="150">
        <f>'Péréquation directe'!F118/Effort!C112</f>
        <v>0</v>
      </c>
      <c r="G112" s="150">
        <f>'Péréquation directe'!G118/Effort!C112</f>
        <v>-4.9169572166138567</v>
      </c>
      <c r="H112" s="150">
        <f>'Péréquation directe'!J118/Effort!C112</f>
        <v>19.603565040505057</v>
      </c>
      <c r="I112" s="285">
        <f t="shared" si="3"/>
        <v>18.651144372481131</v>
      </c>
      <c r="J112" s="161">
        <f t="shared" si="4"/>
        <v>0</v>
      </c>
      <c r="K112" s="42">
        <f t="shared" si="5"/>
        <v>0</v>
      </c>
      <c r="L112" s="175"/>
    </row>
    <row r="113" spans="1:12" x14ac:dyDescent="0.25">
      <c r="A113" s="38">
        <f>Données!A113</f>
        <v>5588</v>
      </c>
      <c r="B113" s="130" t="str">
        <f>Données!B113</f>
        <v>Paudex</v>
      </c>
      <c r="C113" s="272">
        <f>VPI!R113</f>
        <v>137544.82844253487</v>
      </c>
      <c r="D113" s="150">
        <f>(PCS!I119-PCS!F119)/C113</f>
        <v>22.224125228228981</v>
      </c>
      <c r="E113" s="398">
        <f>'Péréquation directe'!E119/C113</f>
        <v>-2.4221296592760826</v>
      </c>
      <c r="F113" s="150">
        <f>'Péréquation directe'!F119/Effort!C113</f>
        <v>0</v>
      </c>
      <c r="G113" s="150">
        <f>'Péréquation directe'!G119/Effort!C113</f>
        <v>0</v>
      </c>
      <c r="H113" s="150">
        <f>'Péréquation directe'!J119/Effort!C113</f>
        <v>19.603565040505057</v>
      </c>
      <c r="I113" s="285">
        <f t="shared" si="3"/>
        <v>39.40556060945795</v>
      </c>
      <c r="J113" s="161">
        <f t="shared" si="4"/>
        <v>0</v>
      </c>
      <c r="K113" s="42">
        <f t="shared" si="5"/>
        <v>0</v>
      </c>
      <c r="L113" s="175"/>
    </row>
    <row r="114" spans="1:12" x14ac:dyDescent="0.25">
      <c r="A114" s="38">
        <f>Données!A114</f>
        <v>5589</v>
      </c>
      <c r="B114" s="130" t="str">
        <f>Données!B114</f>
        <v>Prilly</v>
      </c>
      <c r="C114" s="272">
        <f>VPI!R114</f>
        <v>404173.00015915121</v>
      </c>
      <c r="D114" s="150">
        <f>(PCS!I120-PCS!F120)/C114</f>
        <v>12.498350698816378</v>
      </c>
      <c r="E114" s="398">
        <f>'Péréquation directe'!E120/C114</f>
        <v>-18.414527755804492</v>
      </c>
      <c r="F114" s="150">
        <f>'Péréquation directe'!F120/Effort!C114</f>
        <v>-9.6492897899756667</v>
      </c>
      <c r="G114" s="150">
        <f>'Péréquation directe'!G120/Effort!C114</f>
        <v>-8.3566049583640662</v>
      </c>
      <c r="H114" s="150">
        <f>'Péréquation directe'!J120/Effort!C114</f>
        <v>19.603565040505057</v>
      </c>
      <c r="I114" s="285">
        <f t="shared" si="3"/>
        <v>-4.3185067648227893</v>
      </c>
      <c r="J114" s="161">
        <f t="shared" si="4"/>
        <v>0</v>
      </c>
      <c r="K114" s="42">
        <f t="shared" si="5"/>
        <v>0</v>
      </c>
      <c r="L114" s="175"/>
    </row>
    <row r="115" spans="1:12" x14ac:dyDescent="0.25">
      <c r="A115" s="38">
        <f>Données!A115</f>
        <v>5590</v>
      </c>
      <c r="B115" s="130" t="str">
        <f>Données!B115</f>
        <v>Pully</v>
      </c>
      <c r="C115" s="272">
        <f>VPI!R115</f>
        <v>1396409.3683606556</v>
      </c>
      <c r="D115" s="150">
        <f>(PCS!I121-PCS!F121)/C115</f>
        <v>18.204458865919431</v>
      </c>
      <c r="E115" s="398">
        <f>'Péréquation directe'!E121/C115</f>
        <v>-10.505097993393298</v>
      </c>
      <c r="F115" s="150">
        <f>'Péréquation directe'!F121/Effort!C115</f>
        <v>0</v>
      </c>
      <c r="G115" s="150">
        <f>'Péréquation directe'!G121/Effort!C115</f>
        <v>-3.1765515110225735</v>
      </c>
      <c r="H115" s="150">
        <f>'Péréquation directe'!J121/Effort!C115</f>
        <v>19.603565040505057</v>
      </c>
      <c r="I115" s="285">
        <f t="shared" si="3"/>
        <v>24.126374402008615</v>
      </c>
      <c r="J115" s="161">
        <f t="shared" si="4"/>
        <v>0</v>
      </c>
      <c r="K115" s="42">
        <f t="shared" si="5"/>
        <v>0</v>
      </c>
      <c r="L115" s="175"/>
    </row>
    <row r="116" spans="1:12" x14ac:dyDescent="0.25">
      <c r="A116" s="38">
        <f>Données!A116</f>
        <v>5591</v>
      </c>
      <c r="B116" s="130" t="str">
        <f>Données!B116</f>
        <v>Renens</v>
      </c>
      <c r="C116" s="272">
        <f>VPI!R116</f>
        <v>592837.71432282007</v>
      </c>
      <c r="D116" s="150">
        <f>(PCS!I122-PCS!F122)/C116</f>
        <v>12.498350698816379</v>
      </c>
      <c r="E116" s="398">
        <f>'Péréquation directe'!E122/C116</f>
        <v>-28.667598892944962</v>
      </c>
      <c r="F116" s="150">
        <f>'Péréquation directe'!F122/Effort!C116</f>
        <v>-16.711102282452714</v>
      </c>
      <c r="G116" s="150">
        <f>'Péréquation directe'!G122/Effort!C116</f>
        <v>-12.527868282020229</v>
      </c>
      <c r="H116" s="150">
        <f>'Péréquation directe'!J122/Effort!C116</f>
        <v>19.603565040505057</v>
      </c>
      <c r="I116" s="285">
        <f t="shared" si="3"/>
        <v>-25.804653718096471</v>
      </c>
      <c r="J116" s="161">
        <f t="shared" si="4"/>
        <v>0</v>
      </c>
      <c r="K116" s="42">
        <f t="shared" si="5"/>
        <v>0</v>
      </c>
      <c r="L116" s="175"/>
    </row>
    <row r="117" spans="1:12" x14ac:dyDescent="0.25">
      <c r="A117" s="38">
        <f>Données!A117</f>
        <v>5592</v>
      </c>
      <c r="B117" s="130" t="str">
        <f>Données!B117</f>
        <v>Romanel-sur-Lausanne</v>
      </c>
      <c r="C117" s="272">
        <f>VPI!R117</f>
        <v>113600.3384397163</v>
      </c>
      <c r="D117" s="150">
        <f>(PCS!I123-PCS!F123)/C117</f>
        <v>12.498350698816376</v>
      </c>
      <c r="E117" s="398">
        <f>'Péréquation directe'!E123/C117</f>
        <v>-11.305758819112732</v>
      </c>
      <c r="F117" s="150">
        <f>'Péréquation directe'!F123/Effort!C117</f>
        <v>-11.932513413200516</v>
      </c>
      <c r="G117" s="150">
        <f>'Péréquation directe'!G123/Effort!C117</f>
        <v>-2.8649970596770391</v>
      </c>
      <c r="H117" s="150">
        <f>'Péréquation directe'!J123/Effort!C117</f>
        <v>19.603565040505053</v>
      </c>
      <c r="I117" s="285">
        <f t="shared" si="3"/>
        <v>5.9986464473311418</v>
      </c>
      <c r="J117" s="161">
        <f t="shared" si="4"/>
        <v>0</v>
      </c>
      <c r="K117" s="42">
        <f t="shared" si="5"/>
        <v>0</v>
      </c>
      <c r="L117" s="175"/>
    </row>
    <row r="118" spans="1:12" x14ac:dyDescent="0.25">
      <c r="A118" s="38">
        <f>Données!A118</f>
        <v>5601</v>
      </c>
      <c r="B118" s="130" t="str">
        <f>Données!B118</f>
        <v>Chexbres</v>
      </c>
      <c r="C118" s="272">
        <f>VPI!R118</f>
        <v>106014.1851851852</v>
      </c>
      <c r="D118" s="150">
        <f>(PCS!I124-PCS!F124)/C118</f>
        <v>12.552190187745953</v>
      </c>
      <c r="E118" s="398">
        <f>'Péréquation directe'!E124/C118</f>
        <v>-5.4080990224667165</v>
      </c>
      <c r="F118" s="150">
        <f>'Péréquation directe'!F124/Effort!C118</f>
        <v>0</v>
      </c>
      <c r="G118" s="150">
        <f>'Péréquation directe'!G124/Effort!C118</f>
        <v>-3.3091976692309668</v>
      </c>
      <c r="H118" s="150">
        <f>'Péréquation directe'!J124/Effort!C118</f>
        <v>19.603565040505057</v>
      </c>
      <c r="I118" s="285">
        <f t="shared" si="3"/>
        <v>23.438458536553327</v>
      </c>
      <c r="J118" s="161">
        <f t="shared" si="4"/>
        <v>0</v>
      </c>
      <c r="K118" s="42">
        <f t="shared" si="5"/>
        <v>0</v>
      </c>
      <c r="L118" s="175"/>
    </row>
    <row r="119" spans="1:12" x14ac:dyDescent="0.25">
      <c r="A119" s="38">
        <f>Données!A119</f>
        <v>5604</v>
      </c>
      <c r="B119" s="130" t="str">
        <f>Données!B119</f>
        <v>Forel (Lavaux)</v>
      </c>
      <c r="C119" s="272">
        <f>VPI!R119</f>
        <v>70958.245217391304</v>
      </c>
      <c r="D119" s="150">
        <f>(PCS!I125-PCS!F125)/C119</f>
        <v>12.498350698816378</v>
      </c>
      <c r="E119" s="398">
        <f>'Péréquation directe'!E125/C119</f>
        <v>-7.3708344572344489</v>
      </c>
      <c r="F119" s="150">
        <f>'Péréquation directe'!F125/Effort!C119</f>
        <v>-7.5140825626686354</v>
      </c>
      <c r="G119" s="150">
        <f>'Péréquation directe'!G125/Effort!C119</f>
        <v>-5.8966463591322054</v>
      </c>
      <c r="H119" s="150">
        <f>'Péréquation directe'!J125/Effort!C119</f>
        <v>19.603565040505057</v>
      </c>
      <c r="I119" s="285">
        <f t="shared" si="3"/>
        <v>11.320352360286144</v>
      </c>
      <c r="J119" s="161">
        <f t="shared" si="4"/>
        <v>0</v>
      </c>
      <c r="K119" s="42">
        <f t="shared" si="5"/>
        <v>0</v>
      </c>
      <c r="L119" s="175"/>
    </row>
    <row r="120" spans="1:12" x14ac:dyDescent="0.25">
      <c r="A120" s="38">
        <f>Données!A120</f>
        <v>5606</v>
      </c>
      <c r="B120" s="130" t="str">
        <f>Données!B120</f>
        <v>Lutry</v>
      </c>
      <c r="C120" s="272">
        <f>VPI!R120</f>
        <v>1017485.9645767196</v>
      </c>
      <c r="D120" s="150">
        <f>(PCS!I126-PCS!F126)/C120</f>
        <v>21.295956134933423</v>
      </c>
      <c r="E120" s="398">
        <f>'Péréquation directe'!E126/C120</f>
        <v>-5.8586574833425189</v>
      </c>
      <c r="F120" s="150">
        <f>'Péréquation directe'!F126/Effort!C120</f>
        <v>0</v>
      </c>
      <c r="G120" s="150">
        <f>'Péréquation directe'!G126/Effort!C120</f>
        <v>-1.9069539537110178</v>
      </c>
      <c r="H120" s="150">
        <f>'Péréquation directe'!J126/Effort!C120</f>
        <v>19.603565040505057</v>
      </c>
      <c r="I120" s="285">
        <f t="shared" si="3"/>
        <v>33.133909738384943</v>
      </c>
      <c r="J120" s="161">
        <f t="shared" si="4"/>
        <v>0</v>
      </c>
      <c r="K120" s="42">
        <f t="shared" si="5"/>
        <v>0</v>
      </c>
      <c r="L120" s="175"/>
    </row>
    <row r="121" spans="1:12" x14ac:dyDescent="0.25">
      <c r="A121" s="38">
        <f>Données!A121</f>
        <v>5607</v>
      </c>
      <c r="B121" s="130" t="str">
        <f>Données!B121</f>
        <v>Puidoux</v>
      </c>
      <c r="C121" s="272">
        <f>VPI!R121</f>
        <v>117488.86391621709</v>
      </c>
      <c r="D121" s="150">
        <f>(PCS!I127-PCS!F127)/C121</f>
        <v>12.498350698816378</v>
      </c>
      <c r="E121" s="398">
        <f>'Péréquation directe'!E127/C121</f>
        <v>-7.3399614537879048</v>
      </c>
      <c r="F121" s="150">
        <f>'Péréquation directe'!F127/Effort!C121</f>
        <v>-4.112106394410473</v>
      </c>
      <c r="G121" s="150">
        <f>'Péréquation directe'!G127/Effort!C121</f>
        <v>-8.9923992042364649</v>
      </c>
      <c r="H121" s="150">
        <f>'Péréquation directe'!J127/Effort!C121</f>
        <v>19.603565040505057</v>
      </c>
      <c r="I121" s="285">
        <f t="shared" si="3"/>
        <v>11.657448686886593</v>
      </c>
      <c r="J121" s="161">
        <f t="shared" si="4"/>
        <v>0</v>
      </c>
      <c r="K121" s="42">
        <f t="shared" si="5"/>
        <v>0</v>
      </c>
      <c r="L121" s="175"/>
    </row>
    <row r="122" spans="1:12" x14ac:dyDescent="0.25">
      <c r="A122" s="38">
        <f>Données!A122</f>
        <v>5609</v>
      </c>
      <c r="B122" s="130" t="str">
        <f>Données!B122</f>
        <v>Rivaz</v>
      </c>
      <c r="C122" s="272">
        <f>VPI!R122</f>
        <v>14930.074677419358</v>
      </c>
      <c r="D122" s="150">
        <f>(PCS!I128-PCS!F128)/C122</f>
        <v>12.498350698816378</v>
      </c>
      <c r="E122" s="398">
        <f>'Péréquation directe'!E128/C122</f>
        <v>-2.9166481473630608</v>
      </c>
      <c r="F122" s="150">
        <f>'Péréquation directe'!F128/Effort!C122</f>
        <v>-1.0022699068245262</v>
      </c>
      <c r="G122" s="150">
        <f>'Péréquation directe'!G128/Effort!C122</f>
        <v>-4.9845152765708782</v>
      </c>
      <c r="H122" s="150">
        <f>'Péréquation directe'!J128/Effort!C122</f>
        <v>19.603565040505057</v>
      </c>
      <c r="I122" s="285">
        <f t="shared" si="3"/>
        <v>23.198482408562967</v>
      </c>
      <c r="J122" s="161">
        <f t="shared" si="4"/>
        <v>0</v>
      </c>
      <c r="K122" s="42">
        <f t="shared" si="5"/>
        <v>0</v>
      </c>
      <c r="L122" s="175"/>
    </row>
    <row r="123" spans="1:12" x14ac:dyDescent="0.25">
      <c r="A123" s="38">
        <f>Données!A123</f>
        <v>5610</v>
      </c>
      <c r="B123" s="130" t="str">
        <f>Données!B123</f>
        <v>St-Saphorin (Lavaux)</v>
      </c>
      <c r="C123" s="272">
        <f>VPI!R123</f>
        <v>21326.365740740741</v>
      </c>
      <c r="D123" s="150">
        <f>(PCS!I129-PCS!F129)/C123</f>
        <v>13.894002047859642</v>
      </c>
      <c r="E123" s="398">
        <f>'Péréquation directe'!E129/C123</f>
        <v>-2.4723909041534111</v>
      </c>
      <c r="F123" s="150">
        <f>'Péréquation directe'!F129/Effort!C123</f>
        <v>0</v>
      </c>
      <c r="G123" s="150">
        <f>'Péréquation directe'!G129/Effort!C123</f>
        <v>-0.3269624054706784</v>
      </c>
      <c r="H123" s="150">
        <f>'Péréquation directe'!J129/Effort!C123</f>
        <v>19.603565040505057</v>
      </c>
      <c r="I123" s="285">
        <f t="shared" si="3"/>
        <v>30.698213778740609</v>
      </c>
      <c r="J123" s="161">
        <f t="shared" si="4"/>
        <v>0</v>
      </c>
      <c r="K123" s="42">
        <f t="shared" si="5"/>
        <v>0</v>
      </c>
      <c r="L123" s="175"/>
    </row>
    <row r="124" spans="1:12" x14ac:dyDescent="0.25">
      <c r="A124" s="38">
        <f>Données!A124</f>
        <v>5611</v>
      </c>
      <c r="B124" s="130" t="str">
        <f>Données!B124</f>
        <v>Savigny</v>
      </c>
      <c r="C124" s="272">
        <f>VPI!R124</f>
        <v>139625.83456521737</v>
      </c>
      <c r="D124" s="150">
        <f>(PCS!I130-PCS!F130)/C124</f>
        <v>12.498350698816378</v>
      </c>
      <c r="E124" s="398">
        <f>'Péréquation directe'!E130/C124</f>
        <v>-7.7818390703360558</v>
      </c>
      <c r="F124" s="150">
        <f>'Péréquation directe'!F130/Effort!C124</f>
        <v>-3.3018730450266807</v>
      </c>
      <c r="G124" s="150">
        <f>'Péréquation directe'!G130/Effort!C124</f>
        <v>-5.3848827070929168</v>
      </c>
      <c r="H124" s="150">
        <f>'Péréquation directe'!J130/Effort!C124</f>
        <v>19.603565040505057</v>
      </c>
      <c r="I124" s="285">
        <f t="shared" si="3"/>
        <v>15.633320916865781</v>
      </c>
      <c r="J124" s="161">
        <f t="shared" si="4"/>
        <v>0</v>
      </c>
      <c r="K124" s="42">
        <f t="shared" si="5"/>
        <v>0</v>
      </c>
      <c r="L124" s="175"/>
    </row>
    <row r="125" spans="1:12" x14ac:dyDescent="0.25">
      <c r="A125" s="38">
        <f>Données!A125</f>
        <v>5613</v>
      </c>
      <c r="B125" s="130" t="str">
        <f>Données!B125</f>
        <v>Bourg-en-Lavaux</v>
      </c>
      <c r="C125" s="272">
        <f>VPI!R125</f>
        <v>367203.96533333336</v>
      </c>
      <c r="D125" s="150">
        <f>(PCS!I131-PCS!F131)/C125</f>
        <v>17.186330118192778</v>
      </c>
      <c r="E125" s="398">
        <f>'Péréquation directe'!E131/C125</f>
        <v>-5.8819365432902257</v>
      </c>
      <c r="F125" s="150">
        <f>'Péréquation directe'!F131/Effort!C125</f>
        <v>0</v>
      </c>
      <c r="G125" s="150">
        <f>'Péréquation directe'!G131/Effort!C125</f>
        <v>0</v>
      </c>
      <c r="H125" s="150">
        <f>'Péréquation directe'!J131/Effort!C125</f>
        <v>19.603565040505057</v>
      </c>
      <c r="I125" s="285">
        <f t="shared" si="3"/>
        <v>30.907958615407608</v>
      </c>
      <c r="J125" s="161">
        <f t="shared" si="4"/>
        <v>0</v>
      </c>
      <c r="K125" s="42">
        <f t="shared" si="5"/>
        <v>0</v>
      </c>
      <c r="L125" s="175"/>
    </row>
    <row r="126" spans="1:12" x14ac:dyDescent="0.25">
      <c r="A126" s="38">
        <f>Données!A126</f>
        <v>5621</v>
      </c>
      <c r="B126" s="130" t="str">
        <f>Données!B126</f>
        <v>Aclens</v>
      </c>
      <c r="C126" s="272">
        <f>VPI!R126</f>
        <v>39195.040043988265</v>
      </c>
      <c r="D126" s="150">
        <f>(PCS!I132-PCS!F132)/C126</f>
        <v>17.590611625774091</v>
      </c>
      <c r="E126" s="398">
        <f>'Péréquation directe'!E132/C126</f>
        <v>-1.8639403921482831</v>
      </c>
      <c r="F126" s="150">
        <f>'Péréquation directe'!F132/Effort!C126</f>
        <v>0</v>
      </c>
      <c r="G126" s="150">
        <f>'Péréquation directe'!G132/Effort!C126</f>
        <v>0</v>
      </c>
      <c r="H126" s="150">
        <f>'Péréquation directe'!J132/Effort!C126</f>
        <v>19.603565040505057</v>
      </c>
      <c r="I126" s="285">
        <f t="shared" si="3"/>
        <v>35.330236274130868</v>
      </c>
      <c r="J126" s="161">
        <f t="shared" si="4"/>
        <v>0</v>
      </c>
      <c r="K126" s="42">
        <f t="shared" si="5"/>
        <v>0</v>
      </c>
      <c r="L126" s="175"/>
    </row>
    <row r="127" spans="1:12" x14ac:dyDescent="0.25">
      <c r="A127" s="38">
        <f>Données!A127</f>
        <v>5622</v>
      </c>
      <c r="B127" s="130" t="str">
        <f>Données!B127</f>
        <v>Bremblens</v>
      </c>
      <c r="C127" s="272">
        <f>VPI!R127</f>
        <v>30851.898676470591</v>
      </c>
      <c r="D127" s="150">
        <f>(PCS!I133-PCS!F133)/C127</f>
        <v>13.342457835749549</v>
      </c>
      <c r="E127" s="398">
        <f>'Péréquation directe'!E133/C127</f>
        <v>-2.5678105524939556</v>
      </c>
      <c r="F127" s="150">
        <f>'Péréquation directe'!F133/Effort!C127</f>
        <v>0</v>
      </c>
      <c r="G127" s="150">
        <f>'Péréquation directe'!G133/Effort!C127</f>
        <v>0</v>
      </c>
      <c r="H127" s="150">
        <f>'Péréquation directe'!J133/Effort!C127</f>
        <v>19.603565040505057</v>
      </c>
      <c r="I127" s="285">
        <f t="shared" si="3"/>
        <v>30.37821232376065</v>
      </c>
      <c r="J127" s="161">
        <f t="shared" si="4"/>
        <v>0</v>
      </c>
      <c r="K127" s="42">
        <f t="shared" si="5"/>
        <v>0</v>
      </c>
      <c r="L127" s="175"/>
    </row>
    <row r="128" spans="1:12" x14ac:dyDescent="0.25">
      <c r="A128" s="38">
        <f>Données!A128</f>
        <v>5623</v>
      </c>
      <c r="B128" s="130" t="str">
        <f>Données!B128</f>
        <v>Buchillon</v>
      </c>
      <c r="C128" s="272">
        <f>VPI!R128</f>
        <v>88400.607692307691</v>
      </c>
      <c r="D128" s="150">
        <f>(PCS!I134-PCS!F134)/C128</f>
        <v>25.847649127996775</v>
      </c>
      <c r="E128" s="398">
        <f>'Péréquation directe'!E134/C128</f>
        <v>-0.99409408397548182</v>
      </c>
      <c r="F128" s="150">
        <f>'Péréquation directe'!F134/Effort!C128</f>
        <v>0</v>
      </c>
      <c r="G128" s="150">
        <f>'Péréquation directe'!G134/Effort!C128</f>
        <v>0</v>
      </c>
      <c r="H128" s="150">
        <f>'Péréquation directe'!J134/Effort!C128</f>
        <v>19.603565040505057</v>
      </c>
      <c r="I128" s="285">
        <f t="shared" si="3"/>
        <v>44.457120084526352</v>
      </c>
      <c r="J128" s="161">
        <f t="shared" si="4"/>
        <v>0</v>
      </c>
      <c r="K128" s="42">
        <f t="shared" si="5"/>
        <v>0</v>
      </c>
      <c r="L128" s="175"/>
    </row>
    <row r="129" spans="1:12" x14ac:dyDescent="0.25">
      <c r="A129" s="38">
        <f>Données!A129</f>
        <v>5624</v>
      </c>
      <c r="B129" s="130" t="str">
        <f>Données!B129</f>
        <v>Bussigny</v>
      </c>
      <c r="C129" s="272">
        <f>VPI!R129</f>
        <v>394274.86895999993</v>
      </c>
      <c r="D129" s="150">
        <f>(PCS!I135-PCS!F135)/C129</f>
        <v>12.498350698816379</v>
      </c>
      <c r="E129" s="398">
        <f>'Péréquation directe'!E135/C129</f>
        <v>-14.393008165647059</v>
      </c>
      <c r="F129" s="150">
        <f>'Péréquation directe'!F135/Effort!C129</f>
        <v>-4.0949154641539645</v>
      </c>
      <c r="G129" s="150">
        <f>'Péréquation directe'!G135/Effort!C129</f>
        <v>-6.6507323985731377</v>
      </c>
      <c r="H129" s="150">
        <f>'Péréquation directe'!J135/Effort!C129</f>
        <v>19.603565040505057</v>
      </c>
      <c r="I129" s="285">
        <f t="shared" si="3"/>
        <v>6.9632597109472751</v>
      </c>
      <c r="J129" s="161">
        <f t="shared" si="4"/>
        <v>0</v>
      </c>
      <c r="K129" s="42">
        <f t="shared" si="5"/>
        <v>0</v>
      </c>
      <c r="L129" s="175"/>
    </row>
    <row r="130" spans="1:12" x14ac:dyDescent="0.25">
      <c r="A130" s="38">
        <f>Données!A130</f>
        <v>5627</v>
      </c>
      <c r="B130" s="130" t="str">
        <f>Données!B130</f>
        <v>Chavannes-près-Renens</v>
      </c>
      <c r="C130" s="272">
        <f>VPI!R130</f>
        <v>188678.11200000002</v>
      </c>
      <c r="D130" s="150">
        <f>(PCS!I136-PCS!F136)/C130</f>
        <v>12.498350698816376</v>
      </c>
      <c r="E130" s="398">
        <f>'Péréquation directe'!E136/C130</f>
        <v>-22.578882096670657</v>
      </c>
      <c r="F130" s="150">
        <f>'Péréquation directe'!F136/Effort!C130</f>
        <v>-29.126121870709262</v>
      </c>
      <c r="G130" s="150">
        <f>'Péréquation directe'!G136/Effort!C130</f>
        <v>-12.221953287712322</v>
      </c>
      <c r="H130" s="150">
        <f>'Péréquation directe'!J136/Effort!C130</f>
        <v>19.603565040505057</v>
      </c>
      <c r="I130" s="285">
        <f t="shared" si="3"/>
        <v>-31.82504151577081</v>
      </c>
      <c r="J130" s="161">
        <f t="shared" si="4"/>
        <v>0</v>
      </c>
      <c r="K130" s="42">
        <f t="shared" si="5"/>
        <v>0</v>
      </c>
      <c r="L130" s="175"/>
    </row>
    <row r="131" spans="1:12" x14ac:dyDescent="0.25">
      <c r="A131" s="38">
        <f>Données!A131</f>
        <v>5628</v>
      </c>
      <c r="B131" s="130" t="str">
        <f>Données!B131</f>
        <v>Chigny</v>
      </c>
      <c r="C131" s="272">
        <f>VPI!R131</f>
        <v>27627.246129032257</v>
      </c>
      <c r="D131" s="150">
        <f>(PCS!I137-PCS!F137)/C131</f>
        <v>16.682674912170491</v>
      </c>
      <c r="E131" s="398">
        <f>'Péréquation directe'!E137/C131</f>
        <v>-1.9892270818636293</v>
      </c>
      <c r="F131" s="150">
        <f>'Péréquation directe'!F137/Effort!C131</f>
        <v>0</v>
      </c>
      <c r="G131" s="150">
        <f>'Péréquation directe'!G137/Effort!C131</f>
        <v>0</v>
      </c>
      <c r="H131" s="150">
        <f>'Péréquation directe'!J137/Effort!C131</f>
        <v>19.603565040505057</v>
      </c>
      <c r="I131" s="285">
        <f t="shared" si="3"/>
        <v>34.297012870811919</v>
      </c>
      <c r="J131" s="161">
        <f t="shared" si="4"/>
        <v>0</v>
      </c>
      <c r="K131" s="42">
        <f t="shared" si="5"/>
        <v>0</v>
      </c>
      <c r="L131" s="175"/>
    </row>
    <row r="132" spans="1:12" x14ac:dyDescent="0.25">
      <c r="A132" s="38">
        <f>Données!A132</f>
        <v>5629</v>
      </c>
      <c r="B132" s="130" t="str">
        <f>Données!B132</f>
        <v>Clarmont</v>
      </c>
      <c r="C132" s="272">
        <f>VPI!R132</f>
        <v>9964.5079166666674</v>
      </c>
      <c r="D132" s="150">
        <f>(PCS!I138-PCS!F138)/C132</f>
        <v>12.498350698816376</v>
      </c>
      <c r="E132" s="398">
        <f>'Péréquation directe'!E138/C132</f>
        <v>-2.8037009186646986</v>
      </c>
      <c r="F132" s="150">
        <f>'Péréquation directe'!F138/Effort!C132</f>
        <v>-0.49837208689881579</v>
      </c>
      <c r="G132" s="150">
        <f>'Péréquation directe'!G138/Effort!C132</f>
        <v>-5.3056132557559534</v>
      </c>
      <c r="H132" s="150">
        <f>'Péréquation directe'!J138/Effort!C132</f>
        <v>19.603565040505057</v>
      </c>
      <c r="I132" s="285">
        <f t="shared" si="3"/>
        <v>23.494229478001966</v>
      </c>
      <c r="J132" s="161">
        <f t="shared" si="4"/>
        <v>0</v>
      </c>
      <c r="K132" s="42">
        <f t="shared" si="5"/>
        <v>0</v>
      </c>
      <c r="L132" s="175"/>
    </row>
    <row r="133" spans="1:12" x14ac:dyDescent="0.25">
      <c r="A133" s="38">
        <f>Données!A133</f>
        <v>5631</v>
      </c>
      <c r="B133" s="130" t="str">
        <f>Données!B133</f>
        <v>Denens</v>
      </c>
      <c r="C133" s="272">
        <f>VPI!R133</f>
        <v>41714.033529411769</v>
      </c>
      <c r="D133" s="150">
        <f>(PCS!I139-PCS!F139)/C133</f>
        <v>15.029374956041147</v>
      </c>
      <c r="E133" s="398">
        <f>'Péréquation directe'!E139/C133</f>
        <v>-2.248183690820305</v>
      </c>
      <c r="F133" s="150">
        <f>'Péréquation directe'!F139/Effort!C133</f>
        <v>0</v>
      </c>
      <c r="G133" s="150">
        <f>'Péréquation directe'!G139/Effort!C133</f>
        <v>0</v>
      </c>
      <c r="H133" s="150">
        <f>'Péréquation directe'!J139/Effort!C133</f>
        <v>19.603565040505057</v>
      </c>
      <c r="I133" s="285">
        <f t="shared" si="3"/>
        <v>32.384756305725901</v>
      </c>
      <c r="J133" s="161">
        <f t="shared" si="4"/>
        <v>0</v>
      </c>
      <c r="K133" s="42">
        <f t="shared" si="5"/>
        <v>0</v>
      </c>
      <c r="L133" s="175"/>
    </row>
    <row r="134" spans="1:12" x14ac:dyDescent="0.25">
      <c r="A134" s="38">
        <f>Données!A134</f>
        <v>5632</v>
      </c>
      <c r="B134" s="130" t="str">
        <f>Données!B134</f>
        <v>Denges</v>
      </c>
      <c r="C134" s="272">
        <f>VPI!R134</f>
        <v>81638.998870967742</v>
      </c>
      <c r="D134" s="150">
        <f>(PCS!I140-PCS!F140)/C134</f>
        <v>12.498350698816378</v>
      </c>
      <c r="E134" s="398">
        <f>'Péréquation directe'!E140/C134</f>
        <v>-5.1064468824085152</v>
      </c>
      <c r="F134" s="150">
        <f>'Péréquation directe'!F140/Effort!C134</f>
        <v>-0.66561226772914228</v>
      </c>
      <c r="G134" s="150">
        <f>'Péréquation directe'!G140/Effort!C134</f>
        <v>-2.1109737505282742</v>
      </c>
      <c r="H134" s="150">
        <f>'Péréquation directe'!J140/Effort!C134</f>
        <v>19.603565040505057</v>
      </c>
      <c r="I134" s="285">
        <f t="shared" si="3"/>
        <v>24.218882838655503</v>
      </c>
      <c r="J134" s="161">
        <f t="shared" si="4"/>
        <v>0</v>
      </c>
      <c r="K134" s="42">
        <f t="shared" si="5"/>
        <v>0</v>
      </c>
      <c r="L134" s="175"/>
    </row>
    <row r="135" spans="1:12" x14ac:dyDescent="0.25">
      <c r="A135" s="38">
        <f>Données!A135</f>
        <v>5633</v>
      </c>
      <c r="B135" s="130" t="str">
        <f>Données!B135</f>
        <v>Echandens</v>
      </c>
      <c r="C135" s="272">
        <f>VPI!R135</f>
        <v>149828.14198347108</v>
      </c>
      <c r="D135" s="150">
        <f>(PCS!I141-PCS!F141)/C135</f>
        <v>13.412810048625087</v>
      </c>
      <c r="E135" s="398">
        <f>'Péréquation directe'!E141/C135</f>
        <v>-5.5105694387692115</v>
      </c>
      <c r="F135" s="150">
        <f>'Péréquation directe'!F141/Effort!C135</f>
        <v>0</v>
      </c>
      <c r="G135" s="150">
        <f>'Péréquation directe'!G141/Effort!C135</f>
        <v>-5.6020472309216585</v>
      </c>
      <c r="H135" s="150">
        <f>'Péréquation directe'!J141/Effort!C135</f>
        <v>19.603565040505057</v>
      </c>
      <c r="I135" s="285">
        <f t="shared" ref="I135:I198" si="6">SUM(D135:H135)</f>
        <v>21.903758419439274</v>
      </c>
      <c r="J135" s="161">
        <f t="shared" ref="J135:J198" si="7">IF(I135&gt;J$5,I135-J$5,0)</f>
        <v>0</v>
      </c>
      <c r="K135" s="42">
        <f t="shared" ref="K135:K198" si="8">-J135*C135</f>
        <v>0</v>
      </c>
      <c r="L135" s="175"/>
    </row>
    <row r="136" spans="1:12" x14ac:dyDescent="0.25">
      <c r="A136" s="38">
        <f>Données!A136</f>
        <v>5634</v>
      </c>
      <c r="B136" s="130" t="str">
        <f>Données!B136</f>
        <v>Echichens</v>
      </c>
      <c r="C136" s="272">
        <f>VPI!R136</f>
        <v>183136.60893939398</v>
      </c>
      <c r="D136" s="150">
        <f>(PCS!I142-PCS!F142)/C136</f>
        <v>14.610280142054423</v>
      </c>
      <c r="E136" s="398">
        <f>'Péréquation directe'!E142/C136</f>
        <v>-5.3313737977586575</v>
      </c>
      <c r="F136" s="150">
        <f>'Péréquation directe'!F142/Effort!C136</f>
        <v>0</v>
      </c>
      <c r="G136" s="150">
        <f>'Péréquation directe'!G142/Effort!C136</f>
        <v>-0.34527181719417693</v>
      </c>
      <c r="H136" s="150">
        <f>'Péréquation directe'!J142/Effort!C136</f>
        <v>19.603565040505057</v>
      </c>
      <c r="I136" s="285">
        <f t="shared" si="6"/>
        <v>28.537199567606645</v>
      </c>
      <c r="J136" s="161">
        <f t="shared" si="7"/>
        <v>0</v>
      </c>
      <c r="K136" s="42">
        <f t="shared" si="8"/>
        <v>0</v>
      </c>
      <c r="L136" s="175"/>
    </row>
    <row r="137" spans="1:12" x14ac:dyDescent="0.25">
      <c r="A137" s="38">
        <f>Données!A137</f>
        <v>5635</v>
      </c>
      <c r="B137" s="130" t="str">
        <f>Données!B137</f>
        <v>Ecublens</v>
      </c>
      <c r="C137" s="272">
        <f>VPI!R137</f>
        <v>516098.45949333342</v>
      </c>
      <c r="D137" s="150">
        <f>(PCS!I143-PCS!F143)/C137</f>
        <v>12.498350698816378</v>
      </c>
      <c r="E137" s="398">
        <f>'Péréquation directe'!E143/C137</f>
        <v>-16.069867387240343</v>
      </c>
      <c r="F137" s="150">
        <f>'Péréquation directe'!F143/Effort!C137</f>
        <v>-3.4092585487977853</v>
      </c>
      <c r="G137" s="150">
        <f>'Péréquation directe'!G143/Effort!C137</f>
        <v>-7.1552995013942535</v>
      </c>
      <c r="H137" s="150">
        <f>'Péréquation directe'!J143/Effort!C137</f>
        <v>19.603565040505057</v>
      </c>
      <c r="I137" s="285">
        <f t="shared" si="6"/>
        <v>5.4674903018890522</v>
      </c>
      <c r="J137" s="161">
        <f t="shared" si="7"/>
        <v>0</v>
      </c>
      <c r="K137" s="42">
        <f t="shared" si="8"/>
        <v>0</v>
      </c>
      <c r="L137" s="175"/>
    </row>
    <row r="138" spans="1:12" x14ac:dyDescent="0.25">
      <c r="A138" s="38">
        <f>Données!A138</f>
        <v>5636</v>
      </c>
      <c r="B138" s="130" t="str">
        <f>Données!B138</f>
        <v>Etoy</v>
      </c>
      <c r="C138" s="272">
        <f>VPI!R138</f>
        <v>189426.47833333336</v>
      </c>
      <c r="D138" s="150">
        <f>(PCS!I144-PCS!F144)/C138</f>
        <v>16.231462852612946</v>
      </c>
      <c r="E138" s="398">
        <f>'Péréquation directe'!E144/C138</f>
        <v>-4.4497437907883164</v>
      </c>
      <c r="F138" s="150">
        <f>'Péréquation directe'!F144/Effort!C138</f>
        <v>0</v>
      </c>
      <c r="G138" s="150">
        <f>'Péréquation directe'!G144/Effort!C138</f>
        <v>0</v>
      </c>
      <c r="H138" s="150">
        <f>'Péréquation directe'!J144/Effort!C138</f>
        <v>19.603565040505057</v>
      </c>
      <c r="I138" s="285">
        <f t="shared" si="6"/>
        <v>31.385284102329685</v>
      </c>
      <c r="J138" s="161">
        <f t="shared" si="7"/>
        <v>0</v>
      </c>
      <c r="K138" s="42">
        <f t="shared" si="8"/>
        <v>0</v>
      </c>
      <c r="L138" s="175"/>
    </row>
    <row r="139" spans="1:12" x14ac:dyDescent="0.25">
      <c r="A139" s="38">
        <f>Données!A139</f>
        <v>5637</v>
      </c>
      <c r="B139" s="130" t="str">
        <f>Données!B139</f>
        <v>Lavigny</v>
      </c>
      <c r="C139" s="272">
        <f>VPI!R139</f>
        <v>36293.251369863014</v>
      </c>
      <c r="D139" s="150">
        <f>(PCS!I145-PCS!F145)/C139</f>
        <v>12.498350698816378</v>
      </c>
      <c r="E139" s="398">
        <f>'Péréquation directe'!E145/C139</f>
        <v>-3.9984735496667225</v>
      </c>
      <c r="F139" s="150">
        <f>'Péréquation directe'!F145/Effort!C139</f>
        <v>-7.8712322951540239</v>
      </c>
      <c r="G139" s="150">
        <f>'Péréquation directe'!G145/Effort!C139</f>
        <v>-7.4163784444681129</v>
      </c>
      <c r="H139" s="150">
        <f>'Péréquation directe'!J145/Effort!C139</f>
        <v>19.603565040505057</v>
      </c>
      <c r="I139" s="285">
        <f t="shared" si="6"/>
        <v>12.815831450032574</v>
      </c>
      <c r="J139" s="161">
        <f t="shared" si="7"/>
        <v>0</v>
      </c>
      <c r="K139" s="42">
        <f t="shared" si="8"/>
        <v>0</v>
      </c>
      <c r="L139" s="175"/>
    </row>
    <row r="140" spans="1:12" x14ac:dyDescent="0.25">
      <c r="A140" s="38">
        <f>Données!A140</f>
        <v>5638</v>
      </c>
      <c r="B140" s="130" t="str">
        <f>Données!B140</f>
        <v>Lonay</v>
      </c>
      <c r="C140" s="272">
        <f>VPI!R140</f>
        <v>153885.49272727271</v>
      </c>
      <c r="D140" s="150">
        <f>(PCS!I146-PCS!F146)/C140</f>
        <v>14.340992981789789</v>
      </c>
      <c r="E140" s="398">
        <f>'Péréquation directe'!E146/C140</f>
        <v>-4.8497854248092027</v>
      </c>
      <c r="F140" s="150">
        <f>'Péréquation directe'!F146/Effort!C140</f>
        <v>0</v>
      </c>
      <c r="G140" s="150">
        <f>'Péréquation directe'!G146/Effort!C140</f>
        <v>-3.1749796401798487</v>
      </c>
      <c r="H140" s="150">
        <f>'Péréquation directe'!J146/Effort!C140</f>
        <v>19.603565040505057</v>
      </c>
      <c r="I140" s="285">
        <f t="shared" si="6"/>
        <v>25.919792957305795</v>
      </c>
      <c r="J140" s="161">
        <f t="shared" si="7"/>
        <v>0</v>
      </c>
      <c r="K140" s="42">
        <f t="shared" si="8"/>
        <v>0</v>
      </c>
      <c r="L140" s="175"/>
    </row>
    <row r="141" spans="1:12" x14ac:dyDescent="0.25">
      <c r="A141" s="38">
        <f>Données!A141</f>
        <v>5639</v>
      </c>
      <c r="B141" s="130" t="str">
        <f>Données!B141</f>
        <v>Lully</v>
      </c>
      <c r="C141" s="272">
        <f>VPI!R141</f>
        <v>52241.230983606554</v>
      </c>
      <c r="D141" s="150">
        <f>(PCS!I147-PCS!F147)/C141</f>
        <v>16.029820603145673</v>
      </c>
      <c r="E141" s="398">
        <f>'Péréquation directe'!E147/C141</f>
        <v>-2.0713261292506591</v>
      </c>
      <c r="F141" s="150">
        <f>'Péréquation directe'!F147/Effort!C141</f>
        <v>0</v>
      </c>
      <c r="G141" s="150">
        <f>'Péréquation directe'!G147/Effort!C141</f>
        <v>0</v>
      </c>
      <c r="H141" s="150">
        <f>'Péréquation directe'!J147/Effort!C141</f>
        <v>19.603565040505057</v>
      </c>
      <c r="I141" s="285">
        <f t="shared" si="6"/>
        <v>33.562059514400069</v>
      </c>
      <c r="J141" s="161">
        <f t="shared" si="7"/>
        <v>0</v>
      </c>
      <c r="K141" s="42">
        <f t="shared" si="8"/>
        <v>0</v>
      </c>
      <c r="L141" s="175"/>
    </row>
    <row r="142" spans="1:12" x14ac:dyDescent="0.25">
      <c r="A142" s="38">
        <f>Données!A142</f>
        <v>5640</v>
      </c>
      <c r="B142" s="130" t="str">
        <f>Données!B142</f>
        <v>Lussy-sur-Morges</v>
      </c>
      <c r="C142" s="272">
        <f>VPI!R142</f>
        <v>57770.543875968993</v>
      </c>
      <c r="D142" s="150">
        <f>(PCS!I148-PCS!F148)/C142</f>
        <v>19.946034263516953</v>
      </c>
      <c r="E142" s="398">
        <f>'Péréquation directe'!E148/C142</f>
        <v>-1.6573885757798519</v>
      </c>
      <c r="F142" s="150">
        <f>'Péréquation directe'!F148/Effort!C142</f>
        <v>0</v>
      </c>
      <c r="G142" s="150">
        <f>'Péréquation directe'!G148/Effort!C142</f>
        <v>0</v>
      </c>
      <c r="H142" s="150">
        <f>'Péréquation directe'!J148/Effort!C142</f>
        <v>19.603565040505057</v>
      </c>
      <c r="I142" s="285">
        <f t="shared" si="6"/>
        <v>37.892210728242162</v>
      </c>
      <c r="J142" s="161">
        <f t="shared" si="7"/>
        <v>0</v>
      </c>
      <c r="K142" s="42">
        <f t="shared" si="8"/>
        <v>0</v>
      </c>
      <c r="L142" s="175"/>
    </row>
    <row r="143" spans="1:12" x14ac:dyDescent="0.25">
      <c r="A143" s="38">
        <f>Données!A143</f>
        <v>5642</v>
      </c>
      <c r="B143" s="130" t="str">
        <f>Données!B143</f>
        <v>Morges</v>
      </c>
      <c r="C143" s="272">
        <f>VPI!R143</f>
        <v>920688.7619402986</v>
      </c>
      <c r="D143" s="150">
        <f>(PCS!I149-PCS!F149)/C143</f>
        <v>13.674985577314278</v>
      </c>
      <c r="E143" s="398">
        <f>'Péréquation directe'!E149/C143</f>
        <v>-14.168002219387423</v>
      </c>
      <c r="F143" s="150">
        <f>'Péréquation directe'!F149/Effort!C143</f>
        <v>0</v>
      </c>
      <c r="G143" s="150">
        <f>'Péréquation directe'!G149/Effort!C143</f>
        <v>-1.7961193823713217</v>
      </c>
      <c r="H143" s="150">
        <f>'Péréquation directe'!J149/Effort!C143</f>
        <v>19.603565040505057</v>
      </c>
      <c r="I143" s="285">
        <f t="shared" si="6"/>
        <v>17.31442901606059</v>
      </c>
      <c r="J143" s="161">
        <f t="shared" si="7"/>
        <v>0</v>
      </c>
      <c r="K143" s="42">
        <f t="shared" si="8"/>
        <v>0</v>
      </c>
      <c r="L143" s="175"/>
    </row>
    <row r="144" spans="1:12" x14ac:dyDescent="0.25">
      <c r="A144" s="38">
        <f>Données!A144</f>
        <v>5643</v>
      </c>
      <c r="B144" s="130" t="str">
        <f>Données!B144</f>
        <v>Préverenges</v>
      </c>
      <c r="C144" s="272">
        <f>VPI!R144</f>
        <v>252718.14639999994</v>
      </c>
      <c r="D144" s="150">
        <f>(PCS!I150-PCS!F150)/C144</f>
        <v>12.654664991537164</v>
      </c>
      <c r="E144" s="398">
        <f>'Péréquation directe'!E150/C144</f>
        <v>-8.0981382145545826</v>
      </c>
      <c r="F144" s="150">
        <f>'Péréquation directe'!F150/Effort!C144</f>
        <v>0</v>
      </c>
      <c r="G144" s="150">
        <f>'Péréquation directe'!G150/Effort!C144</f>
        <v>0</v>
      </c>
      <c r="H144" s="150">
        <f>'Péréquation directe'!J150/Effort!C144</f>
        <v>19.603565040505057</v>
      </c>
      <c r="I144" s="285">
        <f t="shared" si="6"/>
        <v>24.16009181748764</v>
      </c>
      <c r="J144" s="161">
        <f t="shared" si="7"/>
        <v>0</v>
      </c>
      <c r="K144" s="42">
        <f t="shared" si="8"/>
        <v>0</v>
      </c>
      <c r="L144" s="175"/>
    </row>
    <row r="145" spans="1:12" x14ac:dyDescent="0.25">
      <c r="A145" s="38">
        <f>Données!A145</f>
        <v>5645</v>
      </c>
      <c r="B145" s="130" t="str">
        <f>Données!B145</f>
        <v>Romanel-sur-Morges</v>
      </c>
      <c r="C145" s="272">
        <f>VPI!R145</f>
        <v>23767.8325</v>
      </c>
      <c r="D145" s="150">
        <f>(PCS!I151-PCS!F151)/C145</f>
        <v>13.358581734565337</v>
      </c>
      <c r="E145" s="398">
        <f>'Péréquation directe'!E151/C145</f>
        <v>-2.5274573564329659</v>
      </c>
      <c r="F145" s="150">
        <f>'Péréquation directe'!F151/Effort!C145</f>
        <v>0</v>
      </c>
      <c r="G145" s="150">
        <f>'Péréquation directe'!G151/Effort!C145</f>
        <v>-1.1387782888525262</v>
      </c>
      <c r="H145" s="150">
        <f>'Péréquation directe'!J151/Effort!C145</f>
        <v>19.603565040505057</v>
      </c>
      <c r="I145" s="285">
        <f t="shared" si="6"/>
        <v>29.295911129784905</v>
      </c>
      <c r="J145" s="161">
        <f t="shared" si="7"/>
        <v>0</v>
      </c>
      <c r="K145" s="42">
        <f t="shared" si="8"/>
        <v>0</v>
      </c>
      <c r="L145" s="175"/>
    </row>
    <row r="146" spans="1:12" x14ac:dyDescent="0.25">
      <c r="A146" s="38">
        <f>Données!A146</f>
        <v>5646</v>
      </c>
      <c r="B146" s="130" t="str">
        <f>Données!B146</f>
        <v>Saint-Prex</v>
      </c>
      <c r="C146" s="272">
        <f>VPI!R146</f>
        <v>515439.56415254233</v>
      </c>
      <c r="D146" s="150">
        <f>(PCS!I152-PCS!F152)/C146</f>
        <v>20.953296985871983</v>
      </c>
      <c r="E146" s="398">
        <f>'Péréquation directe'!E152/C146</f>
        <v>-4.7851868956597592</v>
      </c>
      <c r="F146" s="150">
        <f>'Péréquation directe'!F152/Effort!C146</f>
        <v>0</v>
      </c>
      <c r="G146" s="150">
        <f>'Péréquation directe'!G152/Effort!C146</f>
        <v>0</v>
      </c>
      <c r="H146" s="150">
        <f>'Péréquation directe'!J152/Effort!C146</f>
        <v>19.603565040505057</v>
      </c>
      <c r="I146" s="285">
        <f t="shared" si="6"/>
        <v>35.771675130717284</v>
      </c>
      <c r="J146" s="161">
        <f t="shared" si="7"/>
        <v>0</v>
      </c>
      <c r="K146" s="42">
        <f t="shared" si="8"/>
        <v>0</v>
      </c>
      <c r="L146" s="175"/>
    </row>
    <row r="147" spans="1:12" x14ac:dyDescent="0.25">
      <c r="A147" s="38">
        <f>Données!A147</f>
        <v>5648</v>
      </c>
      <c r="B147" s="130" t="str">
        <f>Données!B147</f>
        <v>Saint-Sulpice</v>
      </c>
      <c r="C147" s="272">
        <f>VPI!R147</f>
        <v>417026.83077272732</v>
      </c>
      <c r="D147" s="150">
        <f>(PCS!I153-PCS!F153)/C147</f>
        <v>19.542911085572637</v>
      </c>
      <c r="E147" s="398">
        <f>'Péréquation directe'!E153/C147</f>
        <v>-4.6462947572808915</v>
      </c>
      <c r="F147" s="150">
        <f>'Péréquation directe'!F153/Effort!C147</f>
        <v>0</v>
      </c>
      <c r="G147" s="150">
        <f>'Péréquation directe'!G153/Effort!C147</f>
        <v>-3.8449000496237561E-3</v>
      </c>
      <c r="H147" s="150">
        <f>'Péréquation directe'!J153/Effort!C147</f>
        <v>19.603565040505057</v>
      </c>
      <c r="I147" s="285">
        <f t="shared" si="6"/>
        <v>34.496336468747181</v>
      </c>
      <c r="J147" s="161">
        <f t="shared" si="7"/>
        <v>0</v>
      </c>
      <c r="K147" s="42">
        <f t="shared" si="8"/>
        <v>0</v>
      </c>
      <c r="L147" s="175"/>
    </row>
    <row r="148" spans="1:12" x14ac:dyDescent="0.25">
      <c r="A148" s="38">
        <f>Données!A148</f>
        <v>5649</v>
      </c>
      <c r="B148" s="130" t="str">
        <f>Données!B148</f>
        <v>Tolochenaz</v>
      </c>
      <c r="C148" s="272">
        <f>VPI!R148</f>
        <v>329645.65999999997</v>
      </c>
      <c r="D148" s="150">
        <f>(PCS!I154-PCS!F154)/C148</f>
        <v>33.846046856596992</v>
      </c>
      <c r="E148" s="398">
        <f>'Péréquation directe'!E154/C148</f>
        <v>-1.3894240428762288</v>
      </c>
      <c r="F148" s="150">
        <f>'Péréquation directe'!F154/Effort!C148</f>
        <v>0</v>
      </c>
      <c r="G148" s="150">
        <f>'Péréquation directe'!G154/Effort!C148</f>
        <v>0</v>
      </c>
      <c r="H148" s="150">
        <f>'Péréquation directe'!J154/Effort!C148</f>
        <v>19.603565040505057</v>
      </c>
      <c r="I148" s="285">
        <f t="shared" si="6"/>
        <v>52.060187854225816</v>
      </c>
      <c r="J148" s="161">
        <f t="shared" si="7"/>
        <v>4.0601878542258163</v>
      </c>
      <c r="K148" s="42">
        <f t="shared" si="8"/>
        <v>-1338423.304930253</v>
      </c>
      <c r="L148" s="175"/>
    </row>
    <row r="149" spans="1:12" x14ac:dyDescent="0.25">
      <c r="A149" s="38">
        <f>Données!A149</f>
        <v>5650</v>
      </c>
      <c r="B149" s="130" t="str">
        <f>Données!B149</f>
        <v>Vaux-sur-Morges</v>
      </c>
      <c r="C149" s="272">
        <f>VPI!R149</f>
        <v>90407.731785714292</v>
      </c>
      <c r="D149" s="150">
        <f>(PCS!I155-PCS!F155)/C149</f>
        <v>40.773066028598159</v>
      </c>
      <c r="E149" s="398">
        <f>'Péréquation directe'!E155/C149</f>
        <v>-0.26839479665572802</v>
      </c>
      <c r="F149" s="150">
        <f>'Péréquation directe'!F155/Effort!C149</f>
        <v>0</v>
      </c>
      <c r="G149" s="150">
        <f>'Péréquation directe'!G155/Effort!C149</f>
        <v>0</v>
      </c>
      <c r="H149" s="150">
        <f>'Péréquation directe'!J155/Effort!C149</f>
        <v>19.603565040505057</v>
      </c>
      <c r="I149" s="285">
        <f t="shared" si="6"/>
        <v>60.108236272447485</v>
      </c>
      <c r="J149" s="161">
        <f t="shared" si="7"/>
        <v>12.108236272447485</v>
      </c>
      <c r="K149" s="42">
        <f t="shared" si="8"/>
        <v>-1094678.1773174892</v>
      </c>
      <c r="L149" s="175"/>
    </row>
    <row r="150" spans="1:12" x14ac:dyDescent="0.25">
      <c r="A150" s="38">
        <f>Données!A150</f>
        <v>5651</v>
      </c>
      <c r="B150" s="130" t="str">
        <f>Données!B150</f>
        <v>Villars-Sainte-Croix</v>
      </c>
      <c r="C150" s="272">
        <f>VPI!R150</f>
        <v>55772.548264462814</v>
      </c>
      <c r="D150" s="150">
        <f>(PCS!I156-PCS!F156)/C150</f>
        <v>14.433040181893094</v>
      </c>
      <c r="E150" s="398">
        <f>'Péréquation directe'!E156/C150</f>
        <v>-2.2999918856574721</v>
      </c>
      <c r="F150" s="150">
        <f>'Péréquation directe'!F156/Effort!C150</f>
        <v>0</v>
      </c>
      <c r="G150" s="150">
        <f>'Péréquation directe'!G156/Effort!C150</f>
        <v>-1.7630763062282591</v>
      </c>
      <c r="H150" s="150">
        <f>'Péréquation directe'!J156/Effort!C150</f>
        <v>19.603565040505057</v>
      </c>
      <c r="I150" s="285">
        <f t="shared" si="6"/>
        <v>29.973537030512418</v>
      </c>
      <c r="J150" s="161">
        <f t="shared" si="7"/>
        <v>0</v>
      </c>
      <c r="K150" s="42">
        <f t="shared" si="8"/>
        <v>0</v>
      </c>
      <c r="L150" s="175"/>
    </row>
    <row r="151" spans="1:12" x14ac:dyDescent="0.25">
      <c r="A151" s="38">
        <f>Données!A151</f>
        <v>5652</v>
      </c>
      <c r="B151" s="130" t="str">
        <f>Données!B151</f>
        <v>Villars-sous-Yens</v>
      </c>
      <c r="C151" s="272">
        <f>VPI!R151</f>
        <v>25957.116337719301</v>
      </c>
      <c r="D151" s="150">
        <f>(PCS!I157-PCS!F157)/C151</f>
        <v>12.498350698816379</v>
      </c>
      <c r="E151" s="398">
        <f>'Péréquation directe'!E157/C151</f>
        <v>-3.1076107078519897</v>
      </c>
      <c r="F151" s="150">
        <f>'Péréquation directe'!F157/Effort!C151</f>
        <v>-3.1134293899006438</v>
      </c>
      <c r="G151" s="150">
        <f>'Péréquation directe'!G157/Effort!C151</f>
        <v>-7.2316640129782996</v>
      </c>
      <c r="H151" s="150">
        <f>'Péréquation directe'!J157/Effort!C151</f>
        <v>19.603565040505057</v>
      </c>
      <c r="I151" s="285">
        <f t="shared" si="6"/>
        <v>18.649211628590503</v>
      </c>
      <c r="J151" s="161">
        <f t="shared" si="7"/>
        <v>0</v>
      </c>
      <c r="K151" s="42">
        <f t="shared" si="8"/>
        <v>0</v>
      </c>
      <c r="L151" s="175"/>
    </row>
    <row r="152" spans="1:12" x14ac:dyDescent="0.25">
      <c r="A152" s="38">
        <f>Données!A152</f>
        <v>5653</v>
      </c>
      <c r="B152" s="130" t="str">
        <f>Données!B152</f>
        <v>Vufflens-le-Château</v>
      </c>
      <c r="C152" s="272">
        <f>VPI!R152</f>
        <v>71346.485811965817</v>
      </c>
      <c r="D152" s="150">
        <f>(PCS!I158-PCS!F158)/C152</f>
        <v>19.577217291933543</v>
      </c>
      <c r="E152" s="398">
        <f>'Péréquation directe'!E158/C152</f>
        <v>-1.6251281584375603</v>
      </c>
      <c r="F152" s="150">
        <f>'Péréquation directe'!F158/Effort!C152</f>
        <v>0</v>
      </c>
      <c r="G152" s="150">
        <f>'Péréquation directe'!G158/Effort!C152</f>
        <v>0</v>
      </c>
      <c r="H152" s="150">
        <f>'Péréquation directe'!J158/Effort!C152</f>
        <v>19.603565040505057</v>
      </c>
      <c r="I152" s="285">
        <f t="shared" si="6"/>
        <v>37.555654174001035</v>
      </c>
      <c r="J152" s="161">
        <f t="shared" si="7"/>
        <v>0</v>
      </c>
      <c r="K152" s="42">
        <f t="shared" si="8"/>
        <v>0</v>
      </c>
      <c r="L152" s="175"/>
    </row>
    <row r="153" spans="1:12" x14ac:dyDescent="0.25">
      <c r="A153" s="38">
        <f>Données!A153</f>
        <v>5654</v>
      </c>
      <c r="B153" s="130" t="str">
        <f>Données!B153</f>
        <v>Vullierens</v>
      </c>
      <c r="C153" s="272">
        <f>VPI!R153</f>
        <v>20741.139078947366</v>
      </c>
      <c r="D153" s="150">
        <f>(PCS!I159-PCS!F159)/C153</f>
        <v>12.498350698816378</v>
      </c>
      <c r="E153" s="398">
        <f>'Péréquation directe'!E159/C153</f>
        <v>-3.5539527452392492</v>
      </c>
      <c r="F153" s="150">
        <f>'Péréquation directe'!F159/Effort!C153</f>
        <v>-6.8704896836189109</v>
      </c>
      <c r="G153" s="150">
        <f>'Péréquation directe'!G159/Effort!C153</f>
        <v>-2.1370708823138971</v>
      </c>
      <c r="H153" s="150">
        <f>'Péréquation directe'!J159/Effort!C153</f>
        <v>19.603565040505057</v>
      </c>
      <c r="I153" s="285">
        <f t="shared" si="6"/>
        <v>19.540402428149378</v>
      </c>
      <c r="J153" s="161">
        <f t="shared" si="7"/>
        <v>0</v>
      </c>
      <c r="K153" s="42">
        <f t="shared" si="8"/>
        <v>0</v>
      </c>
      <c r="L153" s="175"/>
    </row>
    <row r="154" spans="1:12" x14ac:dyDescent="0.25">
      <c r="A154" s="38">
        <f>Données!A154</f>
        <v>5655</v>
      </c>
      <c r="B154" s="130" t="str">
        <f>Données!B154</f>
        <v>Yens</v>
      </c>
      <c r="C154" s="272">
        <f>VPI!R154</f>
        <v>81487.913146853141</v>
      </c>
      <c r="D154" s="150">
        <f>(PCS!I160-PCS!F160)/C154</f>
        <v>14.07801180529129</v>
      </c>
      <c r="E154" s="398">
        <f>'Péréquation directe'!E160/C154</f>
        <v>-3.9216003432694944</v>
      </c>
      <c r="F154" s="150">
        <f>'Péréquation directe'!F160/Effort!C154</f>
        <v>0</v>
      </c>
      <c r="G154" s="150">
        <f>'Péréquation directe'!G160/Effort!C154</f>
        <v>0</v>
      </c>
      <c r="H154" s="150">
        <f>'Péréquation directe'!J160/Effort!C154</f>
        <v>19.603565040505057</v>
      </c>
      <c r="I154" s="285">
        <f t="shared" si="6"/>
        <v>29.759976502526854</v>
      </c>
      <c r="J154" s="161">
        <f t="shared" si="7"/>
        <v>0</v>
      </c>
      <c r="K154" s="42">
        <f t="shared" si="8"/>
        <v>0</v>
      </c>
      <c r="L154" s="175"/>
    </row>
    <row r="155" spans="1:12" x14ac:dyDescent="0.25">
      <c r="A155" s="38">
        <f>Données!A155</f>
        <v>5656</v>
      </c>
      <c r="B155" s="130" t="str">
        <f>Données!B155</f>
        <v>Hautemorges</v>
      </c>
      <c r="C155" s="272">
        <f>VPI!R155</f>
        <v>168931.37668965515</v>
      </c>
      <c r="D155" s="150">
        <f>(PCS!I161-PCS!F161)/C155</f>
        <v>12.498350698816378</v>
      </c>
      <c r="E155" s="398">
        <f>'Péréquation directe'!E161/C155</f>
        <v>-9.028230506003446</v>
      </c>
      <c r="F155" s="150">
        <f>'Péréquation directe'!F161/Effort!C155</f>
        <v>-4.3470100517879411</v>
      </c>
      <c r="G155" s="150">
        <f>'Péréquation directe'!G161/Effort!C155</f>
        <v>-5.7914665233929119</v>
      </c>
      <c r="H155" s="150">
        <f>'Péréquation directe'!J161/Effort!C155</f>
        <v>19.603565040505057</v>
      </c>
      <c r="I155" s="285">
        <f t="shared" si="6"/>
        <v>12.935208658137135</v>
      </c>
      <c r="J155" s="161">
        <f t="shared" si="7"/>
        <v>0</v>
      </c>
      <c r="K155" s="42">
        <f t="shared" si="8"/>
        <v>0</v>
      </c>
      <c r="L155" s="175"/>
    </row>
    <row r="156" spans="1:12" x14ac:dyDescent="0.25">
      <c r="A156" s="38">
        <f>Données!A156</f>
        <v>5661</v>
      </c>
      <c r="B156" s="130" t="str">
        <f>Données!B156</f>
        <v>Boulens</v>
      </c>
      <c r="C156" s="272">
        <f>VPI!R156</f>
        <v>11008.663776223777</v>
      </c>
      <c r="D156" s="150">
        <f>(PCS!I162-PCS!F162)/C156</f>
        <v>12.498350698816378</v>
      </c>
      <c r="E156" s="398">
        <f>'Péréquation directe'!E162/C156</f>
        <v>-4.5632273119071822</v>
      </c>
      <c r="F156" s="150">
        <f>'Péréquation directe'!F162/Effort!C156</f>
        <v>-13.600217555019409</v>
      </c>
      <c r="G156" s="150">
        <f>'Péréquation directe'!G162/Effort!C156</f>
        <v>-1.3197160870904023</v>
      </c>
      <c r="H156" s="150">
        <f>'Péréquation directe'!J162/Effort!C156</f>
        <v>19.603565040505057</v>
      </c>
      <c r="I156" s="285">
        <f t="shared" si="6"/>
        <v>12.618754785304441</v>
      </c>
      <c r="J156" s="161">
        <f t="shared" si="7"/>
        <v>0</v>
      </c>
      <c r="K156" s="42">
        <f t="shared" si="8"/>
        <v>0</v>
      </c>
      <c r="L156" s="175"/>
    </row>
    <row r="157" spans="1:12" x14ac:dyDescent="0.25">
      <c r="A157" s="38">
        <f>Données!A157</f>
        <v>5663</v>
      </c>
      <c r="B157" s="130" t="str">
        <f>Données!B157</f>
        <v>Bussy-sur-Moudon</v>
      </c>
      <c r="C157" s="272">
        <f>VPI!R157</f>
        <v>6463.7352866242045</v>
      </c>
      <c r="D157" s="150">
        <f>(PCS!I163-PCS!F163)/C157</f>
        <v>12.498350698816378</v>
      </c>
      <c r="E157" s="398">
        <f>'Péréquation directe'!E163/C157</f>
        <v>-4.9918264965448351</v>
      </c>
      <c r="F157" s="150">
        <f>'Péréquation directe'!F163/Effort!C157</f>
        <v>-20.242516807056571</v>
      </c>
      <c r="G157" s="150">
        <f>'Péréquation directe'!G163/Effort!C157</f>
        <v>0</v>
      </c>
      <c r="H157" s="150">
        <f>'Péréquation directe'!J163/Effort!C157</f>
        <v>19.603565040505057</v>
      </c>
      <c r="I157" s="285">
        <f t="shared" si="6"/>
        <v>6.8675724357200281</v>
      </c>
      <c r="J157" s="161">
        <f t="shared" si="7"/>
        <v>0</v>
      </c>
      <c r="K157" s="42">
        <f t="shared" si="8"/>
        <v>0</v>
      </c>
      <c r="L157" s="175"/>
    </row>
    <row r="158" spans="1:12" x14ac:dyDescent="0.25">
      <c r="A158" s="38">
        <f>Données!A158</f>
        <v>5665</v>
      </c>
      <c r="B158" s="130" t="str">
        <f>Données!B158</f>
        <v>Chavannes-sur-Moudon</v>
      </c>
      <c r="C158" s="272">
        <f>VPI!R158</f>
        <v>5786.518857142858</v>
      </c>
      <c r="D158" s="150">
        <f>(PCS!I164-PCS!F164)/C158</f>
        <v>12.498350698816378</v>
      </c>
      <c r="E158" s="398">
        <f>'Péréquation directe'!E164/C158</f>
        <v>-4.9413664009509697</v>
      </c>
      <c r="F158" s="150">
        <f>'Péréquation directe'!F164/Effort!C158</f>
        <v>-15.735795298807858</v>
      </c>
      <c r="G158" s="150">
        <f>'Péréquation directe'!G164/Effort!C158</f>
        <v>-4.3216511366240837</v>
      </c>
      <c r="H158" s="150">
        <f>'Péréquation directe'!J164/Effort!C158</f>
        <v>19.603565040505057</v>
      </c>
      <c r="I158" s="285">
        <f t="shared" si="6"/>
        <v>7.1031029029385238</v>
      </c>
      <c r="J158" s="161">
        <f t="shared" si="7"/>
        <v>0</v>
      </c>
      <c r="K158" s="42">
        <f t="shared" si="8"/>
        <v>0</v>
      </c>
      <c r="L158" s="175"/>
    </row>
    <row r="159" spans="1:12" x14ac:dyDescent="0.25">
      <c r="A159" s="38">
        <f>Données!A159</f>
        <v>5669</v>
      </c>
      <c r="B159" s="130" t="str">
        <f>Données!B159</f>
        <v>Curtilles</v>
      </c>
      <c r="C159" s="272">
        <f>VPI!R159</f>
        <v>8428.0239726027376</v>
      </c>
      <c r="D159" s="150">
        <f>(PCS!I165-PCS!F165)/C159</f>
        <v>12.498350698816378</v>
      </c>
      <c r="E159" s="398">
        <f>'Péréquation directe'!E165/C159</f>
        <v>-4.5754046077305199</v>
      </c>
      <c r="F159" s="150">
        <f>'Péréquation directe'!F165/Effort!C159</f>
        <v>-14.271410983288078</v>
      </c>
      <c r="G159" s="150">
        <f>'Péréquation directe'!G165/Effort!C159</f>
        <v>0</v>
      </c>
      <c r="H159" s="150">
        <f>'Péréquation directe'!J165/Effort!C159</f>
        <v>19.603565040505057</v>
      </c>
      <c r="I159" s="285">
        <f t="shared" si="6"/>
        <v>13.255100148302837</v>
      </c>
      <c r="J159" s="161">
        <f t="shared" si="7"/>
        <v>0</v>
      </c>
      <c r="K159" s="42">
        <f t="shared" si="8"/>
        <v>0</v>
      </c>
      <c r="L159" s="175"/>
    </row>
    <row r="160" spans="1:12" x14ac:dyDescent="0.25">
      <c r="A160" s="38">
        <f>Données!A160</f>
        <v>5671</v>
      </c>
      <c r="B160" s="130" t="str">
        <f>Données!B160</f>
        <v>Dompierre</v>
      </c>
      <c r="C160" s="272">
        <f>VPI!R160</f>
        <v>6751.3058974358974</v>
      </c>
      <c r="D160" s="150">
        <f>(PCS!I166-PCS!F166)/C160</f>
        <v>12.498350698816381</v>
      </c>
      <c r="E160" s="398">
        <f>'Péréquation directe'!E166/C160</f>
        <v>-4.8180558707076937</v>
      </c>
      <c r="F160" s="150">
        <f>'Péréquation directe'!F166/Effort!C160</f>
        <v>-18.444769180929551</v>
      </c>
      <c r="G160" s="150">
        <f>'Péréquation directe'!G166/Effort!C160</f>
        <v>-1.5958180511402378</v>
      </c>
      <c r="H160" s="150">
        <f>'Péréquation directe'!J166/Effort!C160</f>
        <v>19.603565040505057</v>
      </c>
      <c r="I160" s="285">
        <f t="shared" si="6"/>
        <v>7.2432726365439546</v>
      </c>
      <c r="J160" s="161">
        <f t="shared" si="7"/>
        <v>0</v>
      </c>
      <c r="K160" s="42">
        <f t="shared" si="8"/>
        <v>0</v>
      </c>
      <c r="L160" s="175"/>
    </row>
    <row r="161" spans="1:12" x14ac:dyDescent="0.25">
      <c r="A161" s="38">
        <f>Données!A161</f>
        <v>5673</v>
      </c>
      <c r="B161" s="130" t="str">
        <f>Données!B161</f>
        <v>Hermenches</v>
      </c>
      <c r="C161" s="272">
        <f>VPI!R161</f>
        <v>9674.9504761904736</v>
      </c>
      <c r="D161" s="150">
        <f>(PCS!I167-PCS!F167)/C161</f>
        <v>12.498350698816378</v>
      </c>
      <c r="E161" s="398">
        <f>'Péréquation directe'!E167/C161</f>
        <v>-5.0702665182120947</v>
      </c>
      <c r="F161" s="150">
        <f>'Péréquation directe'!F167/Effort!C161</f>
        <v>-18.363516001027929</v>
      </c>
      <c r="G161" s="150">
        <f>'Péréquation directe'!G167/Effort!C161</f>
        <v>-7.6429053645993372</v>
      </c>
      <c r="H161" s="150">
        <f>'Péréquation directe'!J167/Effort!C161</f>
        <v>19.603565040505057</v>
      </c>
      <c r="I161" s="285">
        <f t="shared" si="6"/>
        <v>1.0252278554820755</v>
      </c>
      <c r="J161" s="161">
        <f t="shared" si="7"/>
        <v>0</v>
      </c>
      <c r="K161" s="42">
        <f t="shared" si="8"/>
        <v>0</v>
      </c>
      <c r="L161" s="175"/>
    </row>
    <row r="162" spans="1:12" x14ac:dyDescent="0.25">
      <c r="A162" s="38">
        <f>Données!A162</f>
        <v>5674</v>
      </c>
      <c r="B162" s="130" t="str">
        <f>Données!B162</f>
        <v>Lovatens</v>
      </c>
      <c r="C162" s="272">
        <f>VPI!R162</f>
        <v>3538.9423999999999</v>
      </c>
      <c r="D162" s="150">
        <f>(PCS!I168-PCS!F168)/C162</f>
        <v>12.498350698816379</v>
      </c>
      <c r="E162" s="398">
        <f>'Péréquation directe'!E168/C162</f>
        <v>-5.2999342322810854</v>
      </c>
      <c r="F162" s="150">
        <f>'Péréquation directe'!F168/Effort!C162</f>
        <v>-21.003371878029157</v>
      </c>
      <c r="G162" s="150">
        <f>'Péréquation directe'!G168/Effort!C162</f>
        <v>-5.3902815415482603</v>
      </c>
      <c r="H162" s="150">
        <f>'Péréquation directe'!J168/Effort!C162</f>
        <v>19.603565040505057</v>
      </c>
      <c r="I162" s="285">
        <f t="shared" si="6"/>
        <v>0.40832808746293381</v>
      </c>
      <c r="J162" s="161">
        <f t="shared" si="7"/>
        <v>0</v>
      </c>
      <c r="K162" s="42">
        <f t="shared" si="8"/>
        <v>0</v>
      </c>
      <c r="L162" s="175"/>
    </row>
    <row r="163" spans="1:12" x14ac:dyDescent="0.25">
      <c r="A163" s="38">
        <f>Données!A163</f>
        <v>5675</v>
      </c>
      <c r="B163" s="130" t="str">
        <f>Données!B163</f>
        <v>Lucens</v>
      </c>
      <c r="C163" s="272">
        <f>VPI!R163</f>
        <v>92799.568476128188</v>
      </c>
      <c r="D163" s="150">
        <f>(PCS!I169-PCS!F169)/C163</f>
        <v>12.498350698816379</v>
      </c>
      <c r="E163" s="398">
        <f>'Péréquation directe'!E169/C163</f>
        <v>-17.356427842644937</v>
      </c>
      <c r="F163" s="150">
        <f>'Péréquation directe'!F169/Effort!C163</f>
        <v>-24.70369673880052</v>
      </c>
      <c r="G163" s="150">
        <f>'Péréquation directe'!G169/Effort!C163</f>
        <v>-7.1190524471014607</v>
      </c>
      <c r="H163" s="150">
        <f>'Péréquation directe'!J169/Effort!C163</f>
        <v>19.603565040505057</v>
      </c>
      <c r="I163" s="285">
        <f t="shared" si="6"/>
        <v>-17.077261289225479</v>
      </c>
      <c r="J163" s="161">
        <f t="shared" si="7"/>
        <v>0</v>
      </c>
      <c r="K163" s="42">
        <f t="shared" si="8"/>
        <v>0</v>
      </c>
      <c r="L163" s="175"/>
    </row>
    <row r="164" spans="1:12" x14ac:dyDescent="0.25">
      <c r="A164" s="38">
        <f>Données!A164</f>
        <v>5678</v>
      </c>
      <c r="B164" s="130" t="str">
        <f>Données!B164</f>
        <v>Moudon</v>
      </c>
      <c r="C164" s="272">
        <f>VPI!R164</f>
        <v>130665.93158620689</v>
      </c>
      <c r="D164" s="150">
        <f>(PCS!I170-PCS!F170)/C164</f>
        <v>12.498350698816378</v>
      </c>
      <c r="E164" s="398">
        <f>'Péréquation directe'!E170/C164</f>
        <v>-20.109652508310081</v>
      </c>
      <c r="F164" s="150">
        <f>'Péréquation directe'!F170/Effort!C164</f>
        <v>-26.178428473993922</v>
      </c>
      <c r="G164" s="150">
        <f>'Péréquation directe'!G170/Effort!C164</f>
        <v>-10.173884032938565</v>
      </c>
      <c r="H164" s="150">
        <f>'Péréquation directe'!J170/Effort!C164</f>
        <v>19.603565040505057</v>
      </c>
      <c r="I164" s="285">
        <f t="shared" si="6"/>
        <v>-24.360049275921138</v>
      </c>
      <c r="J164" s="161">
        <f t="shared" si="7"/>
        <v>0</v>
      </c>
      <c r="K164" s="42">
        <f t="shared" si="8"/>
        <v>0</v>
      </c>
      <c r="L164" s="175"/>
    </row>
    <row r="165" spans="1:12" x14ac:dyDescent="0.25">
      <c r="A165" s="38">
        <f>Données!A165</f>
        <v>5680</v>
      </c>
      <c r="B165" s="130" t="str">
        <f>Données!B165</f>
        <v>Ogens</v>
      </c>
      <c r="C165" s="272">
        <f>VPI!R165</f>
        <v>10095.699401709404</v>
      </c>
      <c r="D165" s="150">
        <f>(PCS!I171-PCS!F171)/C165</f>
        <v>12.498350698816376</v>
      </c>
      <c r="E165" s="398">
        <f>'Péréquation directe'!E171/C165</f>
        <v>-4.2093645207031347</v>
      </c>
      <c r="F165" s="150">
        <f>'Péréquation directe'!F171/Effort!C165</f>
        <v>-13.047929411591729</v>
      </c>
      <c r="G165" s="150">
        <f>'Péréquation directe'!G171/Effort!C165</f>
        <v>-1.508029579873178</v>
      </c>
      <c r="H165" s="150">
        <f>'Péréquation directe'!J171/Effort!C165</f>
        <v>19.603565040505057</v>
      </c>
      <c r="I165" s="285">
        <f t="shared" si="6"/>
        <v>13.336592227153391</v>
      </c>
      <c r="J165" s="161">
        <f t="shared" si="7"/>
        <v>0</v>
      </c>
      <c r="K165" s="42">
        <f t="shared" si="8"/>
        <v>0</v>
      </c>
      <c r="L165" s="175"/>
    </row>
    <row r="166" spans="1:12" x14ac:dyDescent="0.25">
      <c r="A166" s="38">
        <f>Données!A166</f>
        <v>5683</v>
      </c>
      <c r="B166" s="130" t="str">
        <f>Données!B166</f>
        <v>Prévonloup</v>
      </c>
      <c r="C166" s="272">
        <f>VPI!R166</f>
        <v>5181.5288275862076</v>
      </c>
      <c r="D166" s="150">
        <f>(PCS!I172-PCS!F172)/C166</f>
        <v>12.498350698816378</v>
      </c>
      <c r="E166" s="398">
        <f>'Péréquation directe'!E172/C166</f>
        <v>-5.5689420560956657</v>
      </c>
      <c r="F166" s="150">
        <f>'Péréquation directe'!F172/Effort!C166</f>
        <v>-21.687086147021315</v>
      </c>
      <c r="G166" s="150">
        <f>'Péréquation directe'!G172/Effort!C166</f>
        <v>0</v>
      </c>
      <c r="H166" s="150">
        <f>'Péréquation directe'!J172/Effort!C166</f>
        <v>19.603565040505057</v>
      </c>
      <c r="I166" s="285">
        <f t="shared" si="6"/>
        <v>4.8458875362044544</v>
      </c>
      <c r="J166" s="161">
        <f t="shared" si="7"/>
        <v>0</v>
      </c>
      <c r="K166" s="42">
        <f t="shared" si="8"/>
        <v>0</v>
      </c>
      <c r="L166" s="175"/>
    </row>
    <row r="167" spans="1:12" x14ac:dyDescent="0.25">
      <c r="A167" s="38">
        <f>Données!A167</f>
        <v>5684</v>
      </c>
      <c r="B167" s="130" t="str">
        <f>Données!B167</f>
        <v>Rossenges</v>
      </c>
      <c r="C167" s="272">
        <f>VPI!R167</f>
        <v>3699.9676666666669</v>
      </c>
      <c r="D167" s="150">
        <f>(PCS!I173-PCS!F173)/C167</f>
        <v>12.498350698816379</v>
      </c>
      <c r="E167" s="398">
        <f>'Péréquation directe'!E173/C167</f>
        <v>-3.2968026964600559</v>
      </c>
      <c r="F167" s="150">
        <f>'Péréquation directe'!F173/Effort!C167</f>
        <v>-4.5829170024460613</v>
      </c>
      <c r="G167" s="150">
        <f>'Péréquation directe'!G173/Effort!C167</f>
        <v>0</v>
      </c>
      <c r="H167" s="150">
        <f>'Péréquation directe'!J173/Effort!C167</f>
        <v>19.603565040505053</v>
      </c>
      <c r="I167" s="285">
        <f t="shared" si="6"/>
        <v>24.222196040415316</v>
      </c>
      <c r="J167" s="161">
        <f t="shared" si="7"/>
        <v>0</v>
      </c>
      <c r="K167" s="42">
        <f t="shared" si="8"/>
        <v>0</v>
      </c>
      <c r="L167" s="175"/>
    </row>
    <row r="168" spans="1:12" x14ac:dyDescent="0.25">
      <c r="A168" s="38">
        <f>Données!A168</f>
        <v>5688</v>
      </c>
      <c r="B168" s="130" t="str">
        <f>Données!B168</f>
        <v>Syens</v>
      </c>
      <c r="C168" s="272">
        <f>VPI!R168</f>
        <v>5276.9227692307695</v>
      </c>
      <c r="D168" s="150">
        <f>(PCS!I174-PCS!F174)/C168</f>
        <v>12.498350698816378</v>
      </c>
      <c r="E168" s="398">
        <f>'Péréquation directe'!E174/C168</f>
        <v>-4.076346067770352</v>
      </c>
      <c r="F168" s="150">
        <f>'Péréquation directe'!F174/Effort!C168</f>
        <v>-8.2420472071039761</v>
      </c>
      <c r="G168" s="150">
        <f>'Péréquation directe'!G174/Effort!C168</f>
        <v>-3.412968115133431</v>
      </c>
      <c r="H168" s="150">
        <f>'Péréquation directe'!J174/Effort!C168</f>
        <v>19.603565040505057</v>
      </c>
      <c r="I168" s="285">
        <f t="shared" si="6"/>
        <v>16.370554349313675</v>
      </c>
      <c r="J168" s="161">
        <f t="shared" si="7"/>
        <v>0</v>
      </c>
      <c r="K168" s="42">
        <f t="shared" si="8"/>
        <v>0</v>
      </c>
      <c r="L168" s="175"/>
    </row>
    <row r="169" spans="1:12" x14ac:dyDescent="0.25">
      <c r="A169" s="38">
        <f>Données!A169</f>
        <v>5690</v>
      </c>
      <c r="B169" s="130" t="str">
        <f>Données!B169</f>
        <v>Villars-le-Comte</v>
      </c>
      <c r="C169" s="272">
        <f>VPI!R169</f>
        <v>4331.3648095238095</v>
      </c>
      <c r="D169" s="150">
        <f>(PCS!I175-PCS!F175)/C169</f>
        <v>12.498350698816378</v>
      </c>
      <c r="E169" s="398">
        <f>'Péréquation directe'!E175/C169</f>
        <v>-4.1789027035720885</v>
      </c>
      <c r="F169" s="150">
        <f>'Péréquation directe'!F175/Effort!C169</f>
        <v>-10.291164450479856</v>
      </c>
      <c r="G169" s="150">
        <f>'Péréquation directe'!G175/Effort!C169</f>
        <v>0</v>
      </c>
      <c r="H169" s="150">
        <f>'Péréquation directe'!J175/Effort!C169</f>
        <v>19.603565040505057</v>
      </c>
      <c r="I169" s="285">
        <f t="shared" si="6"/>
        <v>17.631848585269488</v>
      </c>
      <c r="J169" s="161">
        <f t="shared" si="7"/>
        <v>0</v>
      </c>
      <c r="K169" s="42">
        <f t="shared" si="8"/>
        <v>0</v>
      </c>
      <c r="L169" s="175"/>
    </row>
    <row r="170" spans="1:12" x14ac:dyDescent="0.25">
      <c r="A170" s="38">
        <f>Données!A170</f>
        <v>5692</v>
      </c>
      <c r="B170" s="130" t="str">
        <f>Données!B170</f>
        <v>Vucherens</v>
      </c>
      <c r="C170" s="272">
        <f>VPI!R170</f>
        <v>18948.19272727273</v>
      </c>
      <c r="D170" s="150">
        <f>(PCS!I176-PCS!F176)/C170</f>
        <v>12.498350698816378</v>
      </c>
      <c r="E170" s="398">
        <f>'Péréquation directe'!E176/C170</f>
        <v>-4.4094007939913773</v>
      </c>
      <c r="F170" s="150">
        <f>'Péréquation directe'!F176/Effort!C170</f>
        <v>-14.443908311906359</v>
      </c>
      <c r="G170" s="150">
        <f>'Péréquation directe'!G176/Effort!C170</f>
        <v>-5.1478303582842209</v>
      </c>
      <c r="H170" s="150">
        <f>'Péréquation directe'!J176/Effort!C170</f>
        <v>19.603565040505057</v>
      </c>
      <c r="I170" s="285">
        <f t="shared" si="6"/>
        <v>8.1007762751394772</v>
      </c>
      <c r="J170" s="161">
        <f t="shared" si="7"/>
        <v>0</v>
      </c>
      <c r="K170" s="42">
        <f t="shared" si="8"/>
        <v>0</v>
      </c>
      <c r="L170" s="175"/>
    </row>
    <row r="171" spans="1:12" x14ac:dyDescent="0.25">
      <c r="A171" s="38">
        <f>Données!A171</f>
        <v>5693</v>
      </c>
      <c r="B171" s="130" t="str">
        <f>Données!B171</f>
        <v>Montanaire</v>
      </c>
      <c r="C171" s="272">
        <f>VPI!R171</f>
        <v>80076.194857142837</v>
      </c>
      <c r="D171" s="150">
        <f>(PCS!I177-PCS!F177)/C171</f>
        <v>12.498350698816378</v>
      </c>
      <c r="E171" s="398">
        <f>'Péréquation directe'!E177/C171</f>
        <v>-9.9850321522909944</v>
      </c>
      <c r="F171" s="150">
        <f>'Péréquation directe'!F177/Effort!C171</f>
        <v>-13.434258101717937</v>
      </c>
      <c r="G171" s="150">
        <f>'Péréquation directe'!G177/Effort!C171</f>
        <v>-7.9906716005058689</v>
      </c>
      <c r="H171" s="150">
        <f>'Péréquation directe'!J177/Effort!C171</f>
        <v>19.603565040505057</v>
      </c>
      <c r="I171" s="285">
        <f t="shared" si="6"/>
        <v>0.69195388480663311</v>
      </c>
      <c r="J171" s="161">
        <f t="shared" si="7"/>
        <v>0</v>
      </c>
      <c r="K171" s="42">
        <f t="shared" si="8"/>
        <v>0</v>
      </c>
      <c r="L171" s="175"/>
    </row>
    <row r="172" spans="1:12" x14ac:dyDescent="0.25">
      <c r="A172" s="38">
        <f>Données!A172</f>
        <v>5701</v>
      </c>
      <c r="B172" s="130" t="str">
        <f>Données!B172</f>
        <v>Arnex-sur-Nyon</v>
      </c>
      <c r="C172" s="272">
        <f>VPI!R172</f>
        <v>12996.777571428571</v>
      </c>
      <c r="D172" s="150">
        <f>(PCS!I178-PCS!F178)/C172</f>
        <v>14.112652217386563</v>
      </c>
      <c r="E172" s="398">
        <f>'Péréquation directe'!E178/C172</f>
        <v>-2.4220521638100587</v>
      </c>
      <c r="F172" s="150">
        <f>'Péréquation directe'!F178/Effort!C172</f>
        <v>0</v>
      </c>
      <c r="G172" s="150">
        <f>'Péréquation directe'!G178/Effort!C172</f>
        <v>0</v>
      </c>
      <c r="H172" s="150">
        <f>'Péréquation directe'!J178/Effort!C172</f>
        <v>19.603565040505057</v>
      </c>
      <c r="I172" s="285">
        <f t="shared" si="6"/>
        <v>31.29416509408156</v>
      </c>
      <c r="J172" s="161">
        <f t="shared" si="7"/>
        <v>0</v>
      </c>
      <c r="K172" s="42">
        <f t="shared" si="8"/>
        <v>0</v>
      </c>
      <c r="L172" s="175"/>
    </row>
    <row r="173" spans="1:12" x14ac:dyDescent="0.25">
      <c r="A173" s="38">
        <f>Données!A173</f>
        <v>5702</v>
      </c>
      <c r="B173" s="130" t="str">
        <f>Données!B173</f>
        <v>Arzier-Le Muids</v>
      </c>
      <c r="C173" s="272">
        <f>VPI!R173</f>
        <v>187982.65953125001</v>
      </c>
      <c r="D173" s="150">
        <f>(PCS!I179-PCS!F179)/C173</f>
        <v>16.279941552657707</v>
      </c>
      <c r="E173" s="398">
        <f>'Péréquation directe'!E179/C173</f>
        <v>-4.5151789757053447</v>
      </c>
      <c r="F173" s="150">
        <f>'Péréquation directe'!F179/Effort!C173</f>
        <v>0</v>
      </c>
      <c r="G173" s="150">
        <f>'Péréquation directe'!G179/Effort!C173</f>
        <v>-2.8414458382622239</v>
      </c>
      <c r="H173" s="150">
        <f>'Péréquation directe'!J179/Effort!C173</f>
        <v>19.603565040505057</v>
      </c>
      <c r="I173" s="285">
        <f t="shared" si="6"/>
        <v>28.526881779195193</v>
      </c>
      <c r="J173" s="161">
        <f t="shared" si="7"/>
        <v>0</v>
      </c>
      <c r="K173" s="42">
        <f t="shared" si="8"/>
        <v>0</v>
      </c>
      <c r="L173" s="175"/>
    </row>
    <row r="174" spans="1:12" x14ac:dyDescent="0.25">
      <c r="A174" s="38">
        <f>Données!A174</f>
        <v>5703</v>
      </c>
      <c r="B174" s="130" t="str">
        <f>Données!B174</f>
        <v>Bassins</v>
      </c>
      <c r="C174" s="272">
        <f>VPI!R174</f>
        <v>65440.672492610829</v>
      </c>
      <c r="D174" s="150">
        <f>(PCS!I180-PCS!F180)/C174</f>
        <v>12.498350698816379</v>
      </c>
      <c r="E174" s="398">
        <f>'Péréquation directe'!E180/C174</f>
        <v>-4.6868276753147535</v>
      </c>
      <c r="F174" s="150">
        <f>'Péréquation directe'!F180/Effort!C174</f>
        <v>-1.7204796170550307</v>
      </c>
      <c r="G174" s="150">
        <f>'Péréquation directe'!G180/Effort!C174</f>
        <v>0</v>
      </c>
      <c r="H174" s="150">
        <f>'Péréquation directe'!J180/Effort!C174</f>
        <v>19.603565040505057</v>
      </c>
      <c r="I174" s="285">
        <f t="shared" si="6"/>
        <v>25.694608446951651</v>
      </c>
      <c r="J174" s="161">
        <f t="shared" si="7"/>
        <v>0</v>
      </c>
      <c r="K174" s="42">
        <f t="shared" si="8"/>
        <v>0</v>
      </c>
      <c r="L174" s="175"/>
    </row>
    <row r="175" spans="1:12" x14ac:dyDescent="0.25">
      <c r="A175" s="38">
        <f>Données!A175</f>
        <v>5704</v>
      </c>
      <c r="B175" s="130" t="str">
        <f>Données!B175</f>
        <v>Begnins</v>
      </c>
      <c r="C175" s="272">
        <f>VPI!R175</f>
        <v>129766.74997333332</v>
      </c>
      <c r="D175" s="150">
        <f>(PCS!I181-PCS!F181)/C175</f>
        <v>16.938429147552238</v>
      </c>
      <c r="E175" s="398">
        <f>'Péréquation directe'!E181/C175</f>
        <v>-3.6653902077815079</v>
      </c>
      <c r="F175" s="150">
        <f>'Péréquation directe'!F181/Effort!C175</f>
        <v>0</v>
      </c>
      <c r="G175" s="150">
        <f>'Péréquation directe'!G181/Effort!C175</f>
        <v>0</v>
      </c>
      <c r="H175" s="150">
        <f>'Péréquation directe'!J181/Effort!C175</f>
        <v>19.603565040505057</v>
      </c>
      <c r="I175" s="285">
        <f t="shared" si="6"/>
        <v>32.876603980275789</v>
      </c>
      <c r="J175" s="161">
        <f t="shared" si="7"/>
        <v>0</v>
      </c>
      <c r="K175" s="42">
        <f t="shared" si="8"/>
        <v>0</v>
      </c>
      <c r="L175" s="175"/>
    </row>
    <row r="176" spans="1:12" x14ac:dyDescent="0.25">
      <c r="A176" s="38">
        <f>Données!A176</f>
        <v>5705</v>
      </c>
      <c r="B176" s="130" t="str">
        <f>Données!B176</f>
        <v>Bogis-Bossey</v>
      </c>
      <c r="C176" s="272">
        <f>VPI!R176</f>
        <v>51043.487651006704</v>
      </c>
      <c r="D176" s="150">
        <f>(PCS!I182-PCS!F182)/C176</f>
        <v>14.490184723849252</v>
      </c>
      <c r="E176" s="398">
        <f>'Péréquation directe'!E182/C176</f>
        <v>-2.3717521190504369</v>
      </c>
      <c r="F176" s="150">
        <f>'Péréquation directe'!F182/Effort!C176</f>
        <v>0</v>
      </c>
      <c r="G176" s="150">
        <f>'Péréquation directe'!G182/Effort!C176</f>
        <v>0</v>
      </c>
      <c r="H176" s="150">
        <f>'Péréquation directe'!J182/Effort!C176</f>
        <v>19.603565040505057</v>
      </c>
      <c r="I176" s="285">
        <f t="shared" si="6"/>
        <v>31.721997645303873</v>
      </c>
      <c r="J176" s="161">
        <f t="shared" si="7"/>
        <v>0</v>
      </c>
      <c r="K176" s="42">
        <f t="shared" si="8"/>
        <v>0</v>
      </c>
      <c r="L176" s="175"/>
    </row>
    <row r="177" spans="1:12" x14ac:dyDescent="0.25">
      <c r="A177" s="38">
        <f>Données!A177</f>
        <v>5706</v>
      </c>
      <c r="B177" s="130" t="str">
        <f>Données!B177</f>
        <v>Borex</v>
      </c>
      <c r="C177" s="272">
        <f>VPI!R177</f>
        <v>69138.234561403515</v>
      </c>
      <c r="D177" s="150">
        <f>(PCS!I183-PCS!F183)/C177</f>
        <v>15.303287965699123</v>
      </c>
      <c r="E177" s="398">
        <f>'Péréquation directe'!E183/C177</f>
        <v>-2.592952860828043</v>
      </c>
      <c r="F177" s="150">
        <f>'Péréquation directe'!F183/Effort!C177</f>
        <v>0</v>
      </c>
      <c r="G177" s="150">
        <f>'Péréquation directe'!G183/Effort!C177</f>
        <v>0</v>
      </c>
      <c r="H177" s="150">
        <f>'Péréquation directe'!J183/Effort!C177</f>
        <v>19.603565040505057</v>
      </c>
      <c r="I177" s="285">
        <f t="shared" si="6"/>
        <v>32.313900145376138</v>
      </c>
      <c r="J177" s="161">
        <f t="shared" si="7"/>
        <v>0</v>
      </c>
      <c r="K177" s="42">
        <f t="shared" si="8"/>
        <v>0</v>
      </c>
      <c r="L177" s="175"/>
    </row>
    <row r="178" spans="1:12" x14ac:dyDescent="0.25">
      <c r="A178" s="38">
        <f>Données!A178</f>
        <v>5707</v>
      </c>
      <c r="B178" s="130" t="str">
        <f>Données!B178</f>
        <v>Chavannes-de-Bogis</v>
      </c>
      <c r="C178" s="272">
        <f>VPI!R178</f>
        <v>86795.072643678155</v>
      </c>
      <c r="D178" s="150">
        <f>(PCS!I184-PCS!F184)/C178</f>
        <v>16.436797294409104</v>
      </c>
      <c r="E178" s="398">
        <f>'Péréquation directe'!E184/C178</f>
        <v>-2.8397876740845307</v>
      </c>
      <c r="F178" s="150">
        <f>'Péréquation directe'!F184/Effort!C178</f>
        <v>0</v>
      </c>
      <c r="G178" s="150">
        <f>'Péréquation directe'!G184/Effort!C178</f>
        <v>0</v>
      </c>
      <c r="H178" s="150">
        <f>'Péréquation directe'!J184/Effort!C178</f>
        <v>19.603565040505057</v>
      </c>
      <c r="I178" s="285">
        <f t="shared" si="6"/>
        <v>33.200574660829631</v>
      </c>
      <c r="J178" s="161">
        <f t="shared" si="7"/>
        <v>0</v>
      </c>
      <c r="K178" s="42">
        <f t="shared" si="8"/>
        <v>0</v>
      </c>
      <c r="L178" s="175"/>
    </row>
    <row r="179" spans="1:12" x14ac:dyDescent="0.25">
      <c r="A179" s="38">
        <f>Données!A179</f>
        <v>5708</v>
      </c>
      <c r="B179" s="130" t="str">
        <f>Données!B179</f>
        <v>Chavannes-des-Bois</v>
      </c>
      <c r="C179" s="272">
        <f>VPI!R179</f>
        <v>68805.474411764691</v>
      </c>
      <c r="D179" s="150">
        <f>(PCS!I185-PCS!F185)/C179</f>
        <v>17.459072466755501</v>
      </c>
      <c r="E179" s="398">
        <f>'Péréquation directe'!E185/C179</f>
        <v>-2.0076860150065987</v>
      </c>
      <c r="F179" s="150">
        <f>'Péréquation directe'!F185/Effort!C179</f>
        <v>0</v>
      </c>
      <c r="G179" s="150">
        <f>'Péréquation directe'!G185/Effort!C179</f>
        <v>0</v>
      </c>
      <c r="H179" s="150">
        <f>'Péréquation directe'!J185/Effort!C179</f>
        <v>19.603565040505057</v>
      </c>
      <c r="I179" s="285">
        <f t="shared" si="6"/>
        <v>35.054951492253963</v>
      </c>
      <c r="J179" s="161">
        <f t="shared" si="7"/>
        <v>0</v>
      </c>
      <c r="K179" s="42">
        <f t="shared" si="8"/>
        <v>0</v>
      </c>
      <c r="L179" s="175"/>
    </row>
    <row r="180" spans="1:12" x14ac:dyDescent="0.25">
      <c r="A180" s="38">
        <f>Données!A180</f>
        <v>5709</v>
      </c>
      <c r="B180" s="130" t="str">
        <f>Données!B180</f>
        <v>Chéserex</v>
      </c>
      <c r="C180" s="272">
        <f>VPI!R180</f>
        <v>90983.181403508803</v>
      </c>
      <c r="D180" s="150">
        <f>(PCS!I186-PCS!F186)/C180</f>
        <v>17.650743976656901</v>
      </c>
      <c r="E180" s="398">
        <f>'Péréquation directe'!E186/C180</f>
        <v>-2.4547680372186838</v>
      </c>
      <c r="F180" s="150">
        <f>'Péréquation directe'!F186/Effort!C180</f>
        <v>0</v>
      </c>
      <c r="G180" s="150">
        <f>'Péréquation directe'!G186/Effort!C180</f>
        <v>0</v>
      </c>
      <c r="H180" s="150">
        <f>'Péréquation directe'!J186/Effort!C180</f>
        <v>19.603565040505057</v>
      </c>
      <c r="I180" s="285">
        <f t="shared" si="6"/>
        <v>34.799540979943274</v>
      </c>
      <c r="J180" s="161">
        <f t="shared" si="7"/>
        <v>0</v>
      </c>
      <c r="K180" s="42">
        <f t="shared" si="8"/>
        <v>0</v>
      </c>
      <c r="L180" s="175"/>
    </row>
    <row r="181" spans="1:12" x14ac:dyDescent="0.25">
      <c r="A181" s="38">
        <f>Données!A181</f>
        <v>5710</v>
      </c>
      <c r="B181" s="130" t="str">
        <f>Données!B181</f>
        <v>Coinsins</v>
      </c>
      <c r="C181" s="272">
        <f>VPI!R181</f>
        <v>33546.798235294118</v>
      </c>
      <c r="D181" s="150">
        <f>(PCS!I187-PCS!F187)/C181</f>
        <v>16.168168037766943</v>
      </c>
      <c r="E181" s="398">
        <f>'Péréquation directe'!E187/C181</f>
        <v>-1.9510006136681954</v>
      </c>
      <c r="F181" s="150">
        <f>'Péréquation directe'!F187/Effort!C181</f>
        <v>0</v>
      </c>
      <c r="G181" s="150">
        <f>'Péréquation directe'!G187/Effort!C181</f>
        <v>0</v>
      </c>
      <c r="H181" s="150">
        <f>'Péréquation directe'!J187/Effort!C181</f>
        <v>19.603565040505057</v>
      </c>
      <c r="I181" s="285">
        <f t="shared" si="6"/>
        <v>33.820732464603807</v>
      </c>
      <c r="J181" s="161">
        <f t="shared" si="7"/>
        <v>0</v>
      </c>
      <c r="K181" s="42">
        <f t="shared" si="8"/>
        <v>0</v>
      </c>
      <c r="L181" s="175"/>
    </row>
    <row r="182" spans="1:12" x14ac:dyDescent="0.25">
      <c r="A182" s="38">
        <f>Données!A182</f>
        <v>5711</v>
      </c>
      <c r="B182" s="130" t="str">
        <f>Données!B182</f>
        <v>Commugny</v>
      </c>
      <c r="C182" s="272">
        <f>VPI!R182</f>
        <v>305460.14325236168</v>
      </c>
      <c r="D182" s="150">
        <f>(PCS!I188-PCS!F188)/C182</f>
        <v>23.130789718668719</v>
      </c>
      <c r="E182" s="398">
        <f>'Péréquation directe'!E188/C182</f>
        <v>-2.813544494134939</v>
      </c>
      <c r="F182" s="150">
        <f>'Péréquation directe'!F188/Effort!C182</f>
        <v>0</v>
      </c>
      <c r="G182" s="150">
        <f>'Péréquation directe'!G188/Effort!C182</f>
        <v>0</v>
      </c>
      <c r="H182" s="150">
        <f>'Péréquation directe'!J188/Effort!C182</f>
        <v>19.603565040505057</v>
      </c>
      <c r="I182" s="285">
        <f t="shared" si="6"/>
        <v>39.920810265038838</v>
      </c>
      <c r="J182" s="161">
        <f t="shared" si="7"/>
        <v>0</v>
      </c>
      <c r="K182" s="42">
        <f t="shared" si="8"/>
        <v>0</v>
      </c>
      <c r="L182" s="175"/>
    </row>
    <row r="183" spans="1:12" x14ac:dyDescent="0.25">
      <c r="A183" s="38">
        <f>Données!A183</f>
        <v>5712</v>
      </c>
      <c r="B183" s="130" t="str">
        <f>Données!B183</f>
        <v>Coppet</v>
      </c>
      <c r="C183" s="272">
        <f>VPI!R183</f>
        <v>422775.96742138366</v>
      </c>
      <c r="D183" s="150">
        <f>(PCS!I189-PCS!F189)/C183</f>
        <v>26.185954742303974</v>
      </c>
      <c r="E183" s="398">
        <f>'Péréquation directe'!E189/C183</f>
        <v>-2.2759198712756468</v>
      </c>
      <c r="F183" s="150">
        <f>'Péréquation directe'!F189/Effort!C183</f>
        <v>0</v>
      </c>
      <c r="G183" s="150">
        <f>'Péréquation directe'!G189/Effort!C183</f>
        <v>0</v>
      </c>
      <c r="H183" s="150">
        <f>'Péréquation directe'!J189/Effort!C183</f>
        <v>19.603565040505057</v>
      </c>
      <c r="I183" s="285">
        <f t="shared" si="6"/>
        <v>43.513599911533383</v>
      </c>
      <c r="J183" s="161">
        <f t="shared" si="7"/>
        <v>0</v>
      </c>
      <c r="K183" s="42">
        <f t="shared" si="8"/>
        <v>0</v>
      </c>
      <c r="L183" s="175"/>
    </row>
    <row r="184" spans="1:12" x14ac:dyDescent="0.25">
      <c r="A184" s="38">
        <f>Données!A184</f>
        <v>5713</v>
      </c>
      <c r="B184" s="130" t="str">
        <f>Données!B184</f>
        <v>Crans</v>
      </c>
      <c r="C184" s="272">
        <f>VPI!R184</f>
        <v>284268.21966101695</v>
      </c>
      <c r="D184" s="150">
        <f>(PCS!I190-PCS!F190)/C184</f>
        <v>26.295626616464329</v>
      </c>
      <c r="E184" s="398">
        <f>'Péréquation directe'!E190/C184</f>
        <v>-2.2145458284105533</v>
      </c>
      <c r="F184" s="150">
        <f>'Péréquation directe'!F190/Effort!C184</f>
        <v>0</v>
      </c>
      <c r="G184" s="150">
        <f>'Péréquation directe'!G190/Effort!C184</f>
        <v>0</v>
      </c>
      <c r="H184" s="150">
        <f>'Péréquation directe'!J190/Effort!C184</f>
        <v>19.603565040505057</v>
      </c>
      <c r="I184" s="285">
        <f t="shared" si="6"/>
        <v>43.684645828558828</v>
      </c>
      <c r="J184" s="161">
        <f t="shared" si="7"/>
        <v>0</v>
      </c>
      <c r="K184" s="42">
        <f t="shared" si="8"/>
        <v>0</v>
      </c>
      <c r="L184" s="175"/>
    </row>
    <row r="185" spans="1:12" x14ac:dyDescent="0.25">
      <c r="A185" s="38">
        <f>Données!A185</f>
        <v>5714</v>
      </c>
      <c r="B185" s="130" t="str">
        <f>Données!B185</f>
        <v>Crassier</v>
      </c>
      <c r="C185" s="272">
        <f>VPI!R185</f>
        <v>62524.177894736851</v>
      </c>
      <c r="D185" s="150">
        <f>(PCS!I191-PCS!F191)/C185</f>
        <v>13.232738862386187</v>
      </c>
      <c r="E185" s="398">
        <f>'Péréquation directe'!E191/C185</f>
        <v>-3.4663717229261661</v>
      </c>
      <c r="F185" s="150">
        <f>'Péréquation directe'!F191/Effort!C185</f>
        <v>0</v>
      </c>
      <c r="G185" s="150">
        <f>'Péréquation directe'!G191/Effort!C185</f>
        <v>0</v>
      </c>
      <c r="H185" s="150">
        <f>'Péréquation directe'!J191/Effort!C185</f>
        <v>19.603565040505057</v>
      </c>
      <c r="I185" s="285">
        <f t="shared" si="6"/>
        <v>29.369932179965076</v>
      </c>
      <c r="J185" s="161">
        <f t="shared" si="7"/>
        <v>0</v>
      </c>
      <c r="K185" s="42">
        <f t="shared" si="8"/>
        <v>0</v>
      </c>
      <c r="L185" s="175"/>
    </row>
    <row r="186" spans="1:12" x14ac:dyDescent="0.25">
      <c r="A186" s="38">
        <f>Données!A186</f>
        <v>5715</v>
      </c>
      <c r="B186" s="130" t="str">
        <f>Données!B186</f>
        <v>Duillier</v>
      </c>
      <c r="C186" s="272">
        <f>VPI!R186</f>
        <v>60549.503181818189</v>
      </c>
      <c r="D186" s="150">
        <f>(PCS!I192-PCS!F192)/C186</f>
        <v>14.042487164804667</v>
      </c>
      <c r="E186" s="398">
        <f>'Péréquation directe'!E192/C186</f>
        <v>-2.8697738404213329</v>
      </c>
      <c r="F186" s="150">
        <f>'Péréquation directe'!F192/Effort!C186</f>
        <v>0</v>
      </c>
      <c r="G186" s="150">
        <f>'Péréquation directe'!G192/Effort!C186</f>
        <v>0</v>
      </c>
      <c r="H186" s="150">
        <f>'Péréquation directe'!J192/Effort!C186</f>
        <v>19.603565040505057</v>
      </c>
      <c r="I186" s="285">
        <f t="shared" si="6"/>
        <v>30.776278364888391</v>
      </c>
      <c r="J186" s="161">
        <f t="shared" si="7"/>
        <v>0</v>
      </c>
      <c r="K186" s="42">
        <f t="shared" si="8"/>
        <v>0</v>
      </c>
      <c r="L186" s="175"/>
    </row>
    <row r="187" spans="1:12" x14ac:dyDescent="0.25">
      <c r="A187" s="38">
        <f>Données!A187</f>
        <v>5716</v>
      </c>
      <c r="B187" s="130" t="str">
        <f>Données!B187</f>
        <v>Eysins</v>
      </c>
      <c r="C187" s="272">
        <f>VPI!R187</f>
        <v>232449.31983193275</v>
      </c>
      <c r="D187" s="150">
        <f>(PCS!I193-PCS!F193)/C187</f>
        <v>27.721794730270393</v>
      </c>
      <c r="E187" s="398">
        <f>'Péréquation directe'!E193/C187</f>
        <v>-1.777646311699695</v>
      </c>
      <c r="F187" s="150">
        <f>'Péréquation directe'!F193/Effort!C187</f>
        <v>0</v>
      </c>
      <c r="G187" s="150">
        <f>'Péréquation directe'!G193/Effort!C187</f>
        <v>0</v>
      </c>
      <c r="H187" s="150">
        <f>'Péréquation directe'!J193/Effort!C187</f>
        <v>19.603565040505057</v>
      </c>
      <c r="I187" s="285">
        <f t="shared" si="6"/>
        <v>45.547713459075752</v>
      </c>
      <c r="J187" s="161">
        <f t="shared" si="7"/>
        <v>0</v>
      </c>
      <c r="K187" s="42">
        <f t="shared" si="8"/>
        <v>0</v>
      </c>
      <c r="L187" s="175"/>
    </row>
    <row r="188" spans="1:12" x14ac:dyDescent="0.25">
      <c r="A188" s="38">
        <f>Données!A188</f>
        <v>5717</v>
      </c>
      <c r="B188" s="130" t="str">
        <f>Données!B188</f>
        <v>Founex</v>
      </c>
      <c r="C188" s="272">
        <f>VPI!R188</f>
        <v>361580.60666666663</v>
      </c>
      <c r="D188" s="150">
        <f>(PCS!I194-PCS!F194)/C188</f>
        <v>21.957091717708675</v>
      </c>
      <c r="E188" s="398">
        <f>'Péréquation directe'!E194/C188</f>
        <v>-3.5012258090483019</v>
      </c>
      <c r="F188" s="150">
        <f>'Péréquation directe'!F194/Effort!C188</f>
        <v>0</v>
      </c>
      <c r="G188" s="150">
        <f>'Péréquation directe'!G194/Effort!C188</f>
        <v>0</v>
      </c>
      <c r="H188" s="150">
        <f>'Péréquation directe'!J194/Effort!C188</f>
        <v>19.603565040505057</v>
      </c>
      <c r="I188" s="285">
        <f t="shared" si="6"/>
        <v>38.059430949165431</v>
      </c>
      <c r="J188" s="161">
        <f t="shared" si="7"/>
        <v>0</v>
      </c>
      <c r="K188" s="42">
        <f t="shared" si="8"/>
        <v>0</v>
      </c>
      <c r="L188" s="175"/>
    </row>
    <row r="189" spans="1:12" x14ac:dyDescent="0.25">
      <c r="A189" s="38">
        <f>Données!A189</f>
        <v>5718</v>
      </c>
      <c r="B189" s="130" t="str">
        <f>Données!B189</f>
        <v>Genolier</v>
      </c>
      <c r="C189" s="272">
        <f>VPI!R189</f>
        <v>212690.22036363633</v>
      </c>
      <c r="D189" s="150">
        <f>(PCS!I195-PCS!F195)/C189</f>
        <v>23.181435882154076</v>
      </c>
      <c r="E189" s="398">
        <f>'Péréquation directe'!E195/C189</f>
        <v>-2.3882813400568033</v>
      </c>
      <c r="F189" s="150">
        <f>'Péréquation directe'!F195/Effort!C189</f>
        <v>0</v>
      </c>
      <c r="G189" s="150">
        <f>'Péréquation directe'!G195/Effort!C189</f>
        <v>0</v>
      </c>
      <c r="H189" s="150">
        <f>'Péréquation directe'!J195/Effort!C189</f>
        <v>19.603565040505057</v>
      </c>
      <c r="I189" s="285">
        <f t="shared" si="6"/>
        <v>40.39671958260233</v>
      </c>
      <c r="J189" s="161">
        <f t="shared" si="7"/>
        <v>0</v>
      </c>
      <c r="K189" s="42">
        <f t="shared" si="8"/>
        <v>0</v>
      </c>
      <c r="L189" s="175"/>
    </row>
    <row r="190" spans="1:12" x14ac:dyDescent="0.25">
      <c r="A190" s="38">
        <f>Données!A190</f>
        <v>5719</v>
      </c>
      <c r="B190" s="130" t="str">
        <f>Données!B190</f>
        <v>Gingins</v>
      </c>
      <c r="C190" s="272">
        <f>VPI!R190</f>
        <v>119942.45777777776</v>
      </c>
      <c r="D190" s="150">
        <f>(PCS!I196-PCS!F196)/C190</f>
        <v>22.193056370207238</v>
      </c>
      <c r="E190" s="398">
        <f>'Péréquation directe'!E196/C190</f>
        <v>-1.9202576535653053</v>
      </c>
      <c r="F190" s="150">
        <f>'Péréquation directe'!F196/Effort!C190</f>
        <v>0</v>
      </c>
      <c r="G190" s="150">
        <f>'Péréquation directe'!G196/Effort!C190</f>
        <v>0</v>
      </c>
      <c r="H190" s="150">
        <f>'Péréquation directe'!J196/Effort!C190</f>
        <v>19.603565040505057</v>
      </c>
      <c r="I190" s="285">
        <f t="shared" si="6"/>
        <v>39.87636375714699</v>
      </c>
      <c r="J190" s="161">
        <f t="shared" si="7"/>
        <v>0</v>
      </c>
      <c r="K190" s="42">
        <f t="shared" si="8"/>
        <v>0</v>
      </c>
      <c r="L190" s="175"/>
    </row>
    <row r="191" spans="1:12" x14ac:dyDescent="0.25">
      <c r="A191" s="38">
        <f>Données!A191</f>
        <v>5720</v>
      </c>
      <c r="B191" s="130" t="str">
        <f>Données!B191</f>
        <v>Givrins</v>
      </c>
      <c r="C191" s="272">
        <f>VPI!R191</f>
        <v>84867.165124378109</v>
      </c>
      <c r="D191" s="150">
        <f>(PCS!I197-PCS!F197)/C191</f>
        <v>21.095062951406561</v>
      </c>
      <c r="E191" s="398">
        <f>'Péréquation directe'!E197/C191</f>
        <v>-1.6493546842631601</v>
      </c>
      <c r="F191" s="150">
        <f>'Péréquation directe'!F197/Effort!C191</f>
        <v>0</v>
      </c>
      <c r="G191" s="150">
        <f>'Péréquation directe'!G197/Effort!C191</f>
        <v>-0.22475052215760422</v>
      </c>
      <c r="H191" s="150">
        <f>'Péréquation directe'!J197/Effort!C191</f>
        <v>19.603565040505057</v>
      </c>
      <c r="I191" s="285">
        <f t="shared" si="6"/>
        <v>38.824522785490856</v>
      </c>
      <c r="J191" s="161">
        <f t="shared" si="7"/>
        <v>0</v>
      </c>
      <c r="K191" s="42">
        <f t="shared" si="8"/>
        <v>0</v>
      </c>
      <c r="L191" s="175"/>
    </row>
    <row r="192" spans="1:12" x14ac:dyDescent="0.25">
      <c r="A192" s="38">
        <f>Données!A192</f>
        <v>5721</v>
      </c>
      <c r="B192" s="130" t="str">
        <f>Données!B192</f>
        <v>Gland</v>
      </c>
      <c r="C192" s="272">
        <f>VPI!R192</f>
        <v>688905.14770491805</v>
      </c>
      <c r="D192" s="150">
        <f>(PCS!I198-PCS!F198)/C192</f>
        <v>13.086703053325685</v>
      </c>
      <c r="E192" s="398">
        <f>'Péréquation directe'!E198/C192</f>
        <v>-12.887248090499925</v>
      </c>
      <c r="F192" s="150">
        <f>'Péréquation directe'!F198/Effort!C192</f>
        <v>0</v>
      </c>
      <c r="G192" s="150">
        <f>'Péréquation directe'!G198/Effort!C192</f>
        <v>0</v>
      </c>
      <c r="H192" s="150">
        <f>'Péréquation directe'!J198/Effort!C192</f>
        <v>19.603565040505057</v>
      </c>
      <c r="I192" s="285">
        <f t="shared" si="6"/>
        <v>19.803020003330815</v>
      </c>
      <c r="J192" s="161">
        <f t="shared" si="7"/>
        <v>0</v>
      </c>
      <c r="K192" s="42">
        <f t="shared" si="8"/>
        <v>0</v>
      </c>
      <c r="L192" s="175"/>
    </row>
    <row r="193" spans="1:12" x14ac:dyDescent="0.25">
      <c r="A193" s="38">
        <f>Données!A193</f>
        <v>5722</v>
      </c>
      <c r="B193" s="130" t="str">
        <f>Données!B193</f>
        <v>Grens</v>
      </c>
      <c r="C193" s="272">
        <f>VPI!R193</f>
        <v>20912.601129032257</v>
      </c>
      <c r="D193" s="150">
        <f>(PCS!I199-PCS!F199)/C193</f>
        <v>13.535415376351608</v>
      </c>
      <c r="E193" s="398">
        <f>'Péréquation directe'!E199/C193</f>
        <v>-2.5087643764963921</v>
      </c>
      <c r="F193" s="150">
        <f>'Péréquation directe'!F199/Effort!C193</f>
        <v>0</v>
      </c>
      <c r="G193" s="150">
        <f>'Péréquation directe'!G199/Effort!C193</f>
        <v>0</v>
      </c>
      <c r="H193" s="150">
        <f>'Péréquation directe'!J199/Effort!C193</f>
        <v>19.603565040505057</v>
      </c>
      <c r="I193" s="285">
        <f t="shared" si="6"/>
        <v>30.630216040360274</v>
      </c>
      <c r="J193" s="161">
        <f t="shared" si="7"/>
        <v>0</v>
      </c>
      <c r="K193" s="42">
        <f t="shared" si="8"/>
        <v>0</v>
      </c>
      <c r="L193" s="175"/>
    </row>
    <row r="194" spans="1:12" x14ac:dyDescent="0.25">
      <c r="A194" s="38">
        <f>Données!A194</f>
        <v>5723</v>
      </c>
      <c r="B194" s="130" t="str">
        <f>Données!B194</f>
        <v>Mies</v>
      </c>
      <c r="C194" s="272">
        <f>VPI!R194</f>
        <v>253768.06750000003</v>
      </c>
      <c r="D194" s="150">
        <f>(PCS!I200-PCS!F200)/C194</f>
        <v>23.856929102306847</v>
      </c>
      <c r="E194" s="398">
        <f>'Péréquation directe'!E200/C194</f>
        <v>-2.2911266750785897</v>
      </c>
      <c r="F194" s="150">
        <f>'Péréquation directe'!F200/Effort!C194</f>
        <v>0</v>
      </c>
      <c r="G194" s="150">
        <f>'Péréquation directe'!G200/Effort!C194</f>
        <v>0</v>
      </c>
      <c r="H194" s="150">
        <f>'Péréquation directe'!J200/Effort!C194</f>
        <v>19.603565040505057</v>
      </c>
      <c r="I194" s="285">
        <f t="shared" si="6"/>
        <v>41.169367467733309</v>
      </c>
      <c r="J194" s="161">
        <f t="shared" si="7"/>
        <v>0</v>
      </c>
      <c r="K194" s="42">
        <f t="shared" si="8"/>
        <v>0</v>
      </c>
      <c r="L194" s="175"/>
    </row>
    <row r="195" spans="1:12" x14ac:dyDescent="0.25">
      <c r="A195" s="38">
        <f>Données!A195</f>
        <v>5724</v>
      </c>
      <c r="B195" s="130" t="str">
        <f>Données!B195</f>
        <v>Nyon</v>
      </c>
      <c r="C195" s="272">
        <f>VPI!R195</f>
        <v>1519986.9332786887</v>
      </c>
      <c r="D195" s="150">
        <f>(PCS!I201-PCS!F201)/C195</f>
        <v>16.979053432847355</v>
      </c>
      <c r="E195" s="398">
        <f>'Péréquation directe'!E201/C195</f>
        <v>-12.156092500550209</v>
      </c>
      <c r="F195" s="150">
        <f>'Péréquation directe'!F201/Effort!C195</f>
        <v>0</v>
      </c>
      <c r="G195" s="150">
        <f>'Péréquation directe'!G201/Effort!C195</f>
        <v>-0.96681817562426919</v>
      </c>
      <c r="H195" s="150">
        <f>'Péréquation directe'!J201/Effort!C195</f>
        <v>19.603565040505057</v>
      </c>
      <c r="I195" s="285">
        <f t="shared" si="6"/>
        <v>23.459707797177934</v>
      </c>
      <c r="J195" s="161">
        <f t="shared" si="7"/>
        <v>0</v>
      </c>
      <c r="K195" s="42">
        <f t="shared" si="8"/>
        <v>0</v>
      </c>
      <c r="L195" s="175"/>
    </row>
    <row r="196" spans="1:12" x14ac:dyDescent="0.25">
      <c r="A196" s="38">
        <f>Données!A196</f>
        <v>5725</v>
      </c>
      <c r="B196" s="130" t="str">
        <f>Données!B196</f>
        <v>Prangins</v>
      </c>
      <c r="C196" s="272">
        <f>VPI!R196</f>
        <v>388906.70535064931</v>
      </c>
      <c r="D196" s="150">
        <f>(PCS!I202-PCS!F202)/C196</f>
        <v>20.878533491788943</v>
      </c>
      <c r="E196" s="398">
        <f>'Péréquation directe'!E202/C196</f>
        <v>-3.9486188977189332</v>
      </c>
      <c r="F196" s="150">
        <f>'Péréquation directe'!F202/Effort!C196</f>
        <v>0</v>
      </c>
      <c r="G196" s="150">
        <f>'Péréquation directe'!G202/Effort!C196</f>
        <v>0</v>
      </c>
      <c r="H196" s="150">
        <f>'Péréquation directe'!J202/Effort!C196</f>
        <v>19.603565040505057</v>
      </c>
      <c r="I196" s="285">
        <f t="shared" si="6"/>
        <v>36.533479634575066</v>
      </c>
      <c r="J196" s="161">
        <f t="shared" si="7"/>
        <v>0</v>
      </c>
      <c r="K196" s="42">
        <f t="shared" si="8"/>
        <v>0</v>
      </c>
      <c r="L196" s="175"/>
    </row>
    <row r="197" spans="1:12" x14ac:dyDescent="0.25">
      <c r="A197" s="38">
        <f>Données!A197</f>
        <v>5726</v>
      </c>
      <c r="B197" s="130" t="str">
        <f>Données!B197</f>
        <v>La Rippe</v>
      </c>
      <c r="C197" s="272">
        <f>VPI!R197</f>
        <v>69785.14234375002</v>
      </c>
      <c r="D197" s="150">
        <f>(PCS!I203-PCS!F203)/C197</f>
        <v>14.868585909911985</v>
      </c>
      <c r="E197" s="398">
        <f>'Péréquation directe'!E203/C197</f>
        <v>-2.9162499159276156</v>
      </c>
      <c r="F197" s="150">
        <f>'Péréquation directe'!F203/Effort!C197</f>
        <v>0</v>
      </c>
      <c r="G197" s="150">
        <f>'Péréquation directe'!G203/Effort!C197</f>
        <v>0</v>
      </c>
      <c r="H197" s="150">
        <f>'Péréquation directe'!J203/Effort!C197</f>
        <v>19.603565040505057</v>
      </c>
      <c r="I197" s="285">
        <f t="shared" si="6"/>
        <v>31.555901034489427</v>
      </c>
      <c r="J197" s="161">
        <f t="shared" si="7"/>
        <v>0</v>
      </c>
      <c r="K197" s="42">
        <f t="shared" si="8"/>
        <v>0</v>
      </c>
      <c r="L197" s="175"/>
    </row>
    <row r="198" spans="1:12" x14ac:dyDescent="0.25">
      <c r="A198" s="38">
        <f>Données!A198</f>
        <v>5727</v>
      </c>
      <c r="B198" s="130" t="str">
        <f>Données!B198</f>
        <v>Saint-Cergue</v>
      </c>
      <c r="C198" s="272">
        <f>VPI!R198</f>
        <v>107047.00984848487</v>
      </c>
      <c r="D198" s="150">
        <f>(PCS!I204-PCS!F204)/C198</f>
        <v>12.498350698816378</v>
      </c>
      <c r="E198" s="398">
        <f>'Péréquation directe'!E204/C198</f>
        <v>-7.3526272399146348</v>
      </c>
      <c r="F198" s="150">
        <f>'Péréquation directe'!F204/Effort!C198</f>
        <v>-4.2905410184818953</v>
      </c>
      <c r="G198" s="150">
        <f>'Péréquation directe'!G204/Effort!C198</f>
        <v>-3.2574801441076895</v>
      </c>
      <c r="H198" s="150">
        <f>'Péréquation directe'!J204/Effort!C198</f>
        <v>19.603565040505057</v>
      </c>
      <c r="I198" s="285">
        <f t="shared" si="6"/>
        <v>17.201267336817214</v>
      </c>
      <c r="J198" s="161">
        <f t="shared" si="7"/>
        <v>0</v>
      </c>
      <c r="K198" s="42">
        <f t="shared" si="8"/>
        <v>0</v>
      </c>
      <c r="L198" s="175"/>
    </row>
    <row r="199" spans="1:12" x14ac:dyDescent="0.25">
      <c r="A199" s="38">
        <f>Données!A199</f>
        <v>5728</v>
      </c>
      <c r="B199" s="130" t="str">
        <f>Données!B199</f>
        <v>Signy-Avenex</v>
      </c>
      <c r="C199" s="272">
        <f>VPI!R199</f>
        <v>65974.816379310345</v>
      </c>
      <c r="D199" s="150">
        <f>(PCS!I205-PCS!F205)/C199</f>
        <v>25.046677529199911</v>
      </c>
      <c r="E199" s="398">
        <f>'Péréquation directe'!E205/C199</f>
        <v>-1.1590396726203682</v>
      </c>
      <c r="F199" s="150">
        <f>'Péréquation directe'!F205/Effort!C199</f>
        <v>0</v>
      </c>
      <c r="G199" s="150">
        <f>'Péréquation directe'!G205/Effort!C199</f>
        <v>0</v>
      </c>
      <c r="H199" s="150">
        <f>'Péréquation directe'!J205/Effort!C199</f>
        <v>19.603565040505057</v>
      </c>
      <c r="I199" s="285">
        <f t="shared" ref="I199:I262" si="9">SUM(D199:H199)</f>
        <v>43.491202897084605</v>
      </c>
      <c r="J199" s="161">
        <f t="shared" ref="J199:J262" si="10">IF(I199&gt;J$5,I199-J$5,0)</f>
        <v>0</v>
      </c>
      <c r="K199" s="42">
        <f t="shared" ref="K199:K262" si="11">-J199*C199</f>
        <v>0</v>
      </c>
      <c r="L199" s="175"/>
    </row>
    <row r="200" spans="1:12" x14ac:dyDescent="0.25">
      <c r="A200" s="38">
        <f>Données!A200</f>
        <v>5729</v>
      </c>
      <c r="B200" s="130" t="str">
        <f>Données!B200</f>
        <v>Tannay</v>
      </c>
      <c r="C200" s="272">
        <f>VPI!R200</f>
        <v>189083.86110192843</v>
      </c>
      <c r="D200" s="150">
        <f>(PCS!I206-PCS!F206)/C200</f>
        <v>25.083048366291802</v>
      </c>
      <c r="E200" s="398">
        <f>'Péréquation directe'!E206/C200</f>
        <v>-2.0921114300125692</v>
      </c>
      <c r="F200" s="150">
        <f>'Péréquation directe'!F206/Effort!C200</f>
        <v>0</v>
      </c>
      <c r="G200" s="150">
        <f>'Péréquation directe'!G206/Effort!C200</f>
        <v>0</v>
      </c>
      <c r="H200" s="150">
        <f>'Péréquation directe'!J206/Effort!C200</f>
        <v>19.603565040505057</v>
      </c>
      <c r="I200" s="285">
        <f t="shared" si="9"/>
        <v>42.594501976784287</v>
      </c>
      <c r="J200" s="161">
        <f t="shared" si="10"/>
        <v>0</v>
      </c>
      <c r="K200" s="42">
        <f t="shared" si="11"/>
        <v>0</v>
      </c>
      <c r="L200" s="175"/>
    </row>
    <row r="201" spans="1:12" x14ac:dyDescent="0.25">
      <c r="A201" s="38">
        <f>Données!A201</f>
        <v>5730</v>
      </c>
      <c r="B201" s="130" t="str">
        <f>Données!B201</f>
        <v>Trélex</v>
      </c>
      <c r="C201" s="272">
        <f>VPI!R201</f>
        <v>121413.58176176177</v>
      </c>
      <c r="D201" s="150">
        <f>(PCS!I207-PCS!F207)/C201</f>
        <v>20.010290111332829</v>
      </c>
      <c r="E201" s="398">
        <f>'Péréquation directe'!E207/C201</f>
        <v>-2.3718864164405158</v>
      </c>
      <c r="F201" s="150">
        <f>'Péréquation directe'!F207/Effort!C201</f>
        <v>0</v>
      </c>
      <c r="G201" s="150">
        <f>'Péréquation directe'!G207/Effort!C201</f>
        <v>0</v>
      </c>
      <c r="H201" s="150">
        <f>'Péréquation directe'!J207/Effort!C201</f>
        <v>19.603565040505057</v>
      </c>
      <c r="I201" s="285">
        <f t="shared" si="9"/>
        <v>37.241968735397364</v>
      </c>
      <c r="J201" s="161">
        <f t="shared" si="10"/>
        <v>0</v>
      </c>
      <c r="K201" s="42">
        <f t="shared" si="11"/>
        <v>0</v>
      </c>
      <c r="L201" s="175"/>
    </row>
    <row r="202" spans="1:12" x14ac:dyDescent="0.25">
      <c r="A202" s="38">
        <f>Données!A202</f>
        <v>5731</v>
      </c>
      <c r="B202" s="130" t="str">
        <f>Données!B202</f>
        <v>Le Vaud</v>
      </c>
      <c r="C202" s="272">
        <f>VPI!R202</f>
        <v>69610.281891891893</v>
      </c>
      <c r="D202" s="150">
        <f>(PCS!I208-PCS!F208)/C202</f>
        <v>12.925852959269557</v>
      </c>
      <c r="E202" s="398">
        <f>'Péréquation directe'!E208/C202</f>
        <v>-4.0526077663671041</v>
      </c>
      <c r="F202" s="150">
        <f>'Péréquation directe'!F208/Effort!C202</f>
        <v>0</v>
      </c>
      <c r="G202" s="150">
        <f>'Péréquation directe'!G208/Effort!C202</f>
        <v>-0.35880078467482046</v>
      </c>
      <c r="H202" s="150">
        <f>'Péréquation directe'!J208/Effort!C202</f>
        <v>19.603565040505057</v>
      </c>
      <c r="I202" s="285">
        <f t="shared" si="9"/>
        <v>28.118009448732689</v>
      </c>
      <c r="J202" s="161">
        <f t="shared" si="10"/>
        <v>0</v>
      </c>
      <c r="K202" s="42">
        <f t="shared" si="11"/>
        <v>0</v>
      </c>
      <c r="L202" s="175"/>
    </row>
    <row r="203" spans="1:12" x14ac:dyDescent="0.25">
      <c r="A203" s="38">
        <f>Données!A203</f>
        <v>5732</v>
      </c>
      <c r="B203" s="130" t="str">
        <f>Données!B203</f>
        <v>Vich</v>
      </c>
      <c r="C203" s="272">
        <f>VPI!R203</f>
        <v>79859.716666666689</v>
      </c>
      <c r="D203" s="150">
        <f>(PCS!I209-PCS!F209)/C203</f>
        <v>17.368997006557215</v>
      </c>
      <c r="E203" s="398">
        <f>'Péréquation directe'!E209/C203</f>
        <v>-2.3782019663806411</v>
      </c>
      <c r="F203" s="150">
        <f>'Péréquation directe'!F209/Effort!C203</f>
        <v>0</v>
      </c>
      <c r="G203" s="150">
        <f>'Péréquation directe'!G209/Effort!C203</f>
        <v>0</v>
      </c>
      <c r="H203" s="150">
        <f>'Péréquation directe'!J209/Effort!C203</f>
        <v>19.603565040505057</v>
      </c>
      <c r="I203" s="285">
        <f t="shared" si="9"/>
        <v>34.594360080681632</v>
      </c>
      <c r="J203" s="161">
        <f t="shared" si="10"/>
        <v>0</v>
      </c>
      <c r="K203" s="42">
        <f t="shared" si="11"/>
        <v>0</v>
      </c>
      <c r="L203" s="175"/>
    </row>
    <row r="204" spans="1:12" x14ac:dyDescent="0.25">
      <c r="A204" s="38">
        <f>Données!A204</f>
        <v>5741</v>
      </c>
      <c r="B204" s="130" t="str">
        <f>Données!B204</f>
        <v>L'Abergement</v>
      </c>
      <c r="C204" s="272">
        <f>VPI!R204</f>
        <v>10833.767520833331</v>
      </c>
      <c r="D204" s="150">
        <f>(PCS!I210-PCS!F210)/C204</f>
        <v>12.498350698816378</v>
      </c>
      <c r="E204" s="398">
        <f>'Péréquation directe'!E210/C204</f>
        <v>-3.1477611653081889</v>
      </c>
      <c r="F204" s="150">
        <f>'Péréquation directe'!F210/Effort!C204</f>
        <v>-3.8242589740535049</v>
      </c>
      <c r="G204" s="150">
        <f>'Péréquation directe'!G210/Effort!C204</f>
        <v>-10.429866101180336</v>
      </c>
      <c r="H204" s="150">
        <f>'Péréquation directe'!J210/Effort!C204</f>
        <v>19.603565040505057</v>
      </c>
      <c r="I204" s="285">
        <f t="shared" si="9"/>
        <v>14.700029498779404</v>
      </c>
      <c r="J204" s="161">
        <f t="shared" si="10"/>
        <v>0</v>
      </c>
      <c r="K204" s="42">
        <f t="shared" si="11"/>
        <v>0</v>
      </c>
      <c r="L204" s="175"/>
    </row>
    <row r="205" spans="1:12" x14ac:dyDescent="0.25">
      <c r="A205" s="38">
        <f>Données!A205</f>
        <v>5742</v>
      </c>
      <c r="B205" s="130" t="str">
        <f>Données!B205</f>
        <v>Agiez</v>
      </c>
      <c r="C205" s="272">
        <f>VPI!R205</f>
        <v>9049.0200000000023</v>
      </c>
      <c r="D205" s="150">
        <f>(PCS!I211-PCS!F211)/C205</f>
        <v>12.498350698816378</v>
      </c>
      <c r="E205" s="398">
        <f>'Péréquation directe'!E211/C205</f>
        <v>-5.5224445594777798</v>
      </c>
      <c r="F205" s="150">
        <f>'Péréquation directe'!F211/Effort!C205</f>
        <v>-23.440164538977061</v>
      </c>
      <c r="G205" s="150">
        <f>'Péréquation directe'!G211/Effort!C205</f>
        <v>-4.5585071198998106</v>
      </c>
      <c r="H205" s="150">
        <f>'Péréquation directe'!J211/Effort!C205</f>
        <v>19.603565040505057</v>
      </c>
      <c r="I205" s="285">
        <f t="shared" si="9"/>
        <v>-1.4192004790332184</v>
      </c>
      <c r="J205" s="161">
        <f t="shared" si="10"/>
        <v>0</v>
      </c>
      <c r="K205" s="42">
        <f t="shared" si="11"/>
        <v>0</v>
      </c>
      <c r="L205" s="175"/>
    </row>
    <row r="206" spans="1:12" x14ac:dyDescent="0.25">
      <c r="A206" s="38">
        <f>Données!A206</f>
        <v>5743</v>
      </c>
      <c r="B206" s="130" t="str">
        <f>Données!B206</f>
        <v>Arnex-sur-Orbe</v>
      </c>
      <c r="C206" s="272">
        <f>VPI!R206</f>
        <v>19423.434366197183</v>
      </c>
      <c r="D206" s="150">
        <f>(PCS!I212-PCS!F212)/C206</f>
        <v>12.498350698816378</v>
      </c>
      <c r="E206" s="398">
        <f>'Péréquation directe'!E212/C206</f>
        <v>-4.6729163749228597</v>
      </c>
      <c r="F206" s="150">
        <f>'Péréquation directe'!F212/Effort!C206</f>
        <v>-14.216480841264655</v>
      </c>
      <c r="G206" s="150">
        <f>'Péréquation directe'!G212/Effort!C206</f>
        <v>-4.6911605526737397</v>
      </c>
      <c r="H206" s="150">
        <f>'Péréquation directe'!J212/Effort!C206</f>
        <v>19.603565040505057</v>
      </c>
      <c r="I206" s="285">
        <f t="shared" si="9"/>
        <v>8.5213579704601798</v>
      </c>
      <c r="J206" s="161">
        <f t="shared" si="10"/>
        <v>0</v>
      </c>
      <c r="K206" s="42">
        <f t="shared" si="11"/>
        <v>0</v>
      </c>
      <c r="L206" s="175"/>
    </row>
    <row r="207" spans="1:12" x14ac:dyDescent="0.25">
      <c r="A207" s="38">
        <f>Données!A207</f>
        <v>5744</v>
      </c>
      <c r="B207" s="130" t="str">
        <f>Données!B207</f>
        <v>Ballaigues</v>
      </c>
      <c r="C207" s="272">
        <f>VPI!R207</f>
        <v>54083.704307692322</v>
      </c>
      <c r="D207" s="150">
        <f>(PCS!I213-PCS!F213)/C207</f>
        <v>12.498350698816378</v>
      </c>
      <c r="E207" s="398">
        <f>'Péréquation directe'!E213/C207</f>
        <v>-3.4573169392847722</v>
      </c>
      <c r="F207" s="150">
        <f>'Péréquation directe'!F213/Effort!C207</f>
        <v>-0.34516308675699348</v>
      </c>
      <c r="G207" s="150">
        <f>'Péréquation directe'!G213/Effort!C207</f>
        <v>-5.8476048754114851</v>
      </c>
      <c r="H207" s="150">
        <f>'Péréquation directe'!J213/Effort!C207</f>
        <v>19.603565040505057</v>
      </c>
      <c r="I207" s="285">
        <f t="shared" si="9"/>
        <v>22.451830837868183</v>
      </c>
      <c r="J207" s="161">
        <f t="shared" si="10"/>
        <v>0</v>
      </c>
      <c r="K207" s="42">
        <f t="shared" si="11"/>
        <v>0</v>
      </c>
      <c r="L207" s="175"/>
    </row>
    <row r="208" spans="1:12" x14ac:dyDescent="0.25">
      <c r="A208" s="38">
        <f>Données!A208</f>
        <v>5745</v>
      </c>
      <c r="B208" s="130" t="str">
        <f>Données!B208</f>
        <v>Baulmes</v>
      </c>
      <c r="C208" s="272">
        <f>VPI!R208</f>
        <v>27704.620130718955</v>
      </c>
      <c r="D208" s="150">
        <f>(PCS!I214-PCS!F214)/C208</f>
        <v>12.498350698816381</v>
      </c>
      <c r="E208" s="398">
        <f>'Péréquation directe'!E214/C208</f>
        <v>-6.4840967236556182</v>
      </c>
      <c r="F208" s="150">
        <f>'Péréquation directe'!F214/Effort!C208</f>
        <v>-22.357591631754239</v>
      </c>
      <c r="G208" s="150">
        <f>'Péréquation directe'!G214/Effort!C208</f>
        <v>-13.289864947041785</v>
      </c>
      <c r="H208" s="150">
        <f>'Péréquation directe'!J214/Effort!C208</f>
        <v>19.603565040505057</v>
      </c>
      <c r="I208" s="285">
        <f t="shared" si="9"/>
        <v>-10.029637563130205</v>
      </c>
      <c r="J208" s="161">
        <f t="shared" si="10"/>
        <v>0</v>
      </c>
      <c r="K208" s="42">
        <f t="shared" si="11"/>
        <v>0</v>
      </c>
      <c r="L208" s="175"/>
    </row>
    <row r="209" spans="1:12" x14ac:dyDescent="0.25">
      <c r="A209" s="38">
        <f>Données!A209</f>
        <v>5746</v>
      </c>
      <c r="B209" s="130" t="str">
        <f>Données!B209</f>
        <v>Bavois</v>
      </c>
      <c r="C209" s="272">
        <f>VPI!R209</f>
        <v>29513.069143518514</v>
      </c>
      <c r="D209" s="150">
        <f>(PCS!I215-PCS!F215)/C209</f>
        <v>12.498350698816378</v>
      </c>
      <c r="E209" s="398">
        <f>'Péréquation directe'!E215/C209</f>
        <v>-4.5561934906609887</v>
      </c>
      <c r="F209" s="150">
        <f>'Péréquation directe'!F215/Effort!C209</f>
        <v>-13.194047299016582</v>
      </c>
      <c r="G209" s="150">
        <f>'Péréquation directe'!G215/Effort!C209</f>
        <v>-8.8531810903457409</v>
      </c>
      <c r="H209" s="150">
        <f>'Péréquation directe'!J215/Effort!C209</f>
        <v>19.603565040505057</v>
      </c>
      <c r="I209" s="285">
        <f t="shared" si="9"/>
        <v>5.4984938592981223</v>
      </c>
      <c r="J209" s="161">
        <f t="shared" si="10"/>
        <v>0</v>
      </c>
      <c r="K209" s="42">
        <f t="shared" si="11"/>
        <v>0</v>
      </c>
      <c r="L209" s="175"/>
    </row>
    <row r="210" spans="1:12" x14ac:dyDescent="0.25">
      <c r="A210" s="38">
        <f>Données!A210</f>
        <v>5747</v>
      </c>
      <c r="B210" s="130" t="str">
        <f>Données!B210</f>
        <v>Bofflens</v>
      </c>
      <c r="C210" s="272">
        <f>VPI!R210</f>
        <v>5777.9618840579697</v>
      </c>
      <c r="D210" s="150">
        <f>(PCS!I216-PCS!F216)/C210</f>
        <v>12.498350698816378</v>
      </c>
      <c r="E210" s="398">
        <f>'Péréquation directe'!E216/C210</f>
        <v>-4.630878983010728</v>
      </c>
      <c r="F210" s="150">
        <f>'Péréquation directe'!F216/Effort!C210</f>
        <v>-13.135166134254996</v>
      </c>
      <c r="G210" s="150">
        <f>'Péréquation directe'!G216/Effort!C210</f>
        <v>-3.5468296621741748</v>
      </c>
      <c r="H210" s="150">
        <f>'Péréquation directe'!J216/Effort!C210</f>
        <v>19.603565040505057</v>
      </c>
      <c r="I210" s="285">
        <f t="shared" si="9"/>
        <v>10.789040959881536</v>
      </c>
      <c r="J210" s="161">
        <f t="shared" si="10"/>
        <v>0</v>
      </c>
      <c r="K210" s="42">
        <f t="shared" si="11"/>
        <v>0</v>
      </c>
      <c r="L210" s="175"/>
    </row>
    <row r="211" spans="1:12" x14ac:dyDescent="0.25">
      <c r="A211" s="38">
        <f>Données!A211</f>
        <v>5748</v>
      </c>
      <c r="B211" s="130" t="str">
        <f>Données!B211</f>
        <v>Bretonnières</v>
      </c>
      <c r="C211" s="272">
        <f>VPI!R211</f>
        <v>6762.44146572104</v>
      </c>
      <c r="D211" s="150">
        <f>(PCS!I217-PCS!F217)/C211</f>
        <v>12.498350698816378</v>
      </c>
      <c r="E211" s="398">
        <f>'Péréquation directe'!E217/C211</f>
        <v>-5.1204525375789292</v>
      </c>
      <c r="F211" s="150">
        <f>'Péréquation directe'!F217/Effort!C211</f>
        <v>-17.258554750074971</v>
      </c>
      <c r="G211" s="150">
        <f>'Péréquation directe'!G217/Effort!C211</f>
        <v>-12.078056033088947</v>
      </c>
      <c r="H211" s="150">
        <f>'Péréquation directe'!J217/Effort!C211</f>
        <v>19.603565040505057</v>
      </c>
      <c r="I211" s="285">
        <f t="shared" si="9"/>
        <v>-2.3551475814214129</v>
      </c>
      <c r="J211" s="161">
        <f t="shared" si="10"/>
        <v>0</v>
      </c>
      <c r="K211" s="42">
        <f t="shared" si="11"/>
        <v>0</v>
      </c>
      <c r="L211" s="175"/>
    </row>
    <row r="212" spans="1:12" x14ac:dyDescent="0.25">
      <c r="A212" s="38">
        <f>Données!A212</f>
        <v>5749</v>
      </c>
      <c r="B212" s="130" t="str">
        <f>Données!B212</f>
        <v>Chavornay</v>
      </c>
      <c r="C212" s="272">
        <f>VPI!R212</f>
        <v>144688.12992907799</v>
      </c>
      <c r="D212" s="150">
        <f>(PCS!I218-PCS!F218)/C212</f>
        <v>12.498350698816378</v>
      </c>
      <c r="E212" s="398">
        <f>'Péréquation directe'!E218/C212</f>
        <v>-14.997385501046116</v>
      </c>
      <c r="F212" s="150">
        <f>'Péréquation directe'!F218/Effort!C212</f>
        <v>-15.659697988883865</v>
      </c>
      <c r="G212" s="150">
        <f>'Péréquation directe'!G218/Effort!C212</f>
        <v>-5.5220884707459712</v>
      </c>
      <c r="H212" s="150">
        <f>'Péréquation directe'!J218/Effort!C212</f>
        <v>19.603565040505057</v>
      </c>
      <c r="I212" s="285">
        <f t="shared" si="9"/>
        <v>-4.0772562213545172</v>
      </c>
      <c r="J212" s="161">
        <f t="shared" si="10"/>
        <v>0</v>
      </c>
      <c r="K212" s="42">
        <f t="shared" si="11"/>
        <v>0</v>
      </c>
      <c r="L212" s="175"/>
    </row>
    <row r="213" spans="1:12" x14ac:dyDescent="0.25">
      <c r="A213" s="38">
        <f>Données!A213</f>
        <v>5750</v>
      </c>
      <c r="B213" s="130" t="str">
        <f>Données!B213</f>
        <v>Les Clées</v>
      </c>
      <c r="C213" s="272">
        <f>VPI!R213</f>
        <v>5460.4397083333333</v>
      </c>
      <c r="D213" s="150">
        <f>(PCS!I219-PCS!F219)/C213</f>
        <v>12.498350698816376</v>
      </c>
      <c r="E213" s="398">
        <f>'Péréquation directe'!E219/C213</f>
        <v>-4.4677952809059951</v>
      </c>
      <c r="F213" s="150">
        <f>'Péréquation directe'!F219/Effort!C213</f>
        <v>-16.135967298740489</v>
      </c>
      <c r="G213" s="150">
        <f>'Péréquation directe'!G219/Effort!C213</f>
        <v>-9.8251010006752413</v>
      </c>
      <c r="H213" s="150">
        <f>'Péréquation directe'!J219/Effort!C213</f>
        <v>19.603565040505057</v>
      </c>
      <c r="I213" s="285">
        <f t="shared" si="9"/>
        <v>1.6730521589997061</v>
      </c>
      <c r="J213" s="161">
        <f t="shared" si="10"/>
        <v>0</v>
      </c>
      <c r="K213" s="42">
        <f t="shared" si="11"/>
        <v>0</v>
      </c>
      <c r="L213" s="175"/>
    </row>
    <row r="214" spans="1:12" x14ac:dyDescent="0.25">
      <c r="A214" s="38">
        <f>Données!A214</f>
        <v>5752</v>
      </c>
      <c r="B214" s="130" t="str">
        <f>Données!B214</f>
        <v>Croy</v>
      </c>
      <c r="C214" s="272">
        <f>VPI!R214</f>
        <v>10204.205250965251</v>
      </c>
      <c r="D214" s="150">
        <f>(PCS!I220-PCS!F220)/C214</f>
        <v>12.498350698816378</v>
      </c>
      <c r="E214" s="398">
        <f>'Péréquation directe'!E220/C214</f>
        <v>-4.9615349634378854</v>
      </c>
      <c r="F214" s="150">
        <f>'Péréquation directe'!F220/Effort!C214</f>
        <v>-17.74650431255542</v>
      </c>
      <c r="G214" s="150">
        <f>'Péréquation directe'!G220/Effort!C214</f>
        <v>-25.177249952313481</v>
      </c>
      <c r="H214" s="150">
        <f>'Péréquation directe'!J220/Effort!C214</f>
        <v>19.603565040505057</v>
      </c>
      <c r="I214" s="285">
        <f t="shared" si="9"/>
        <v>-15.783373488985351</v>
      </c>
      <c r="J214" s="161">
        <f t="shared" si="10"/>
        <v>0</v>
      </c>
      <c r="K214" s="42">
        <f t="shared" si="11"/>
        <v>0</v>
      </c>
      <c r="L214" s="175"/>
    </row>
    <row r="215" spans="1:12" x14ac:dyDescent="0.25">
      <c r="A215" s="38">
        <f>Données!A215</f>
        <v>5754</v>
      </c>
      <c r="B215" s="130" t="str">
        <f>Données!B215</f>
        <v>Juriens</v>
      </c>
      <c r="C215" s="272">
        <f>VPI!R215</f>
        <v>8633.221645569618</v>
      </c>
      <c r="D215" s="150">
        <f>(PCS!I221-PCS!F221)/C215</f>
        <v>12.498350698816376</v>
      </c>
      <c r="E215" s="398">
        <f>'Péréquation directe'!E221/C215</f>
        <v>-5.2566752154232246</v>
      </c>
      <c r="F215" s="150">
        <f>'Péréquation directe'!F221/Effort!C215</f>
        <v>-22.910029482374437</v>
      </c>
      <c r="G215" s="150">
        <f>'Péréquation directe'!G221/Effort!C215</f>
        <v>-3.7178415774613045</v>
      </c>
      <c r="H215" s="150">
        <f>'Péréquation directe'!J221/Effort!C215</f>
        <v>19.603565040505057</v>
      </c>
      <c r="I215" s="285">
        <f t="shared" si="9"/>
        <v>0.21736946406246815</v>
      </c>
      <c r="J215" s="161">
        <f t="shared" si="10"/>
        <v>0</v>
      </c>
      <c r="K215" s="42">
        <f t="shared" si="11"/>
        <v>0</v>
      </c>
      <c r="L215" s="175"/>
    </row>
    <row r="216" spans="1:12" x14ac:dyDescent="0.25">
      <c r="A216" s="38">
        <f>Données!A216</f>
        <v>5755</v>
      </c>
      <c r="B216" s="130" t="str">
        <f>Données!B216</f>
        <v>Lignerolle</v>
      </c>
      <c r="C216" s="272">
        <f>VPI!R216</f>
        <v>10920.772411282986</v>
      </c>
      <c r="D216" s="150">
        <f>(PCS!I222-PCS!F222)/C216</f>
        <v>12.498350698816379</v>
      </c>
      <c r="E216" s="398">
        <f>'Péréquation directe'!E222/C216</f>
        <v>-5.3686130614604428</v>
      </c>
      <c r="F216" s="150">
        <f>'Péréquation directe'!F222/Effort!C216</f>
        <v>-23.626186106045257</v>
      </c>
      <c r="G216" s="150">
        <f>'Péréquation directe'!G222/Effort!C216</f>
        <v>-11.15525739536282</v>
      </c>
      <c r="H216" s="150">
        <f>'Péréquation directe'!J222/Effort!C216</f>
        <v>19.603565040505057</v>
      </c>
      <c r="I216" s="285">
        <f t="shared" si="9"/>
        <v>-8.048140823547083</v>
      </c>
      <c r="J216" s="161">
        <f t="shared" si="10"/>
        <v>0</v>
      </c>
      <c r="K216" s="42">
        <f t="shared" si="11"/>
        <v>0</v>
      </c>
      <c r="L216" s="175"/>
    </row>
    <row r="217" spans="1:12" x14ac:dyDescent="0.25">
      <c r="A217" s="38">
        <f>Données!A217</f>
        <v>5756</v>
      </c>
      <c r="B217" s="130" t="str">
        <f>Données!B217</f>
        <v>Montcherand</v>
      </c>
      <c r="C217" s="272">
        <f>VPI!R217</f>
        <v>17503.013888888887</v>
      </c>
      <c r="D217" s="150">
        <f>(PCS!I223-PCS!F223)/C217</f>
        <v>12.498350698816378</v>
      </c>
      <c r="E217" s="398">
        <f>'Péréquation directe'!E223/C217</f>
        <v>-3.716864903447715</v>
      </c>
      <c r="F217" s="150">
        <f>'Péréquation directe'!F223/Effort!C217</f>
        <v>-7.3970672685869125</v>
      </c>
      <c r="G217" s="150">
        <f>'Péréquation directe'!G223/Effort!C217</f>
        <v>-3.1523535920999564</v>
      </c>
      <c r="H217" s="150">
        <f>'Péréquation directe'!J223/Effort!C217</f>
        <v>19.603565040505057</v>
      </c>
      <c r="I217" s="285">
        <f t="shared" si="9"/>
        <v>17.835629975186851</v>
      </c>
      <c r="J217" s="161">
        <f t="shared" si="10"/>
        <v>0</v>
      </c>
      <c r="K217" s="42">
        <f t="shared" si="11"/>
        <v>0</v>
      </c>
      <c r="L217" s="175"/>
    </row>
    <row r="218" spans="1:12" x14ac:dyDescent="0.25">
      <c r="A218" s="38">
        <f>Données!A218</f>
        <v>5757</v>
      </c>
      <c r="B218" s="130" t="str">
        <f>Données!B218</f>
        <v>Orbe</v>
      </c>
      <c r="C218" s="272">
        <f>VPI!R218</f>
        <v>217746.16132450331</v>
      </c>
      <c r="D218" s="150">
        <f>(PCS!I224-PCS!F224)/C218</f>
        <v>12.498350698816376</v>
      </c>
      <c r="E218" s="398">
        <f>'Péréquation directe'!E224/C218</f>
        <v>-16.361110535378266</v>
      </c>
      <c r="F218" s="150">
        <f>'Péréquation directe'!F224/Effort!C218</f>
        <v>-15.371850972078123</v>
      </c>
      <c r="G218" s="150">
        <f>'Péréquation directe'!G224/Effort!C218</f>
        <v>-9.3394690144948491</v>
      </c>
      <c r="H218" s="150">
        <f>'Péréquation directe'!J224/Effort!C218</f>
        <v>19.603565040505057</v>
      </c>
      <c r="I218" s="285">
        <f t="shared" si="9"/>
        <v>-8.9705147826298059</v>
      </c>
      <c r="J218" s="161">
        <f t="shared" si="10"/>
        <v>0</v>
      </c>
      <c r="K218" s="42">
        <f t="shared" si="11"/>
        <v>0</v>
      </c>
      <c r="L218" s="175"/>
    </row>
    <row r="219" spans="1:12" x14ac:dyDescent="0.25">
      <c r="A219" s="38">
        <f>Données!A219</f>
        <v>5758</v>
      </c>
      <c r="B219" s="130" t="str">
        <f>Données!B219</f>
        <v>La Praz</v>
      </c>
      <c r="C219" s="272">
        <f>VPI!R219</f>
        <v>4500.7037349397597</v>
      </c>
      <c r="D219" s="150">
        <f>(PCS!I225-PCS!F225)/C219</f>
        <v>12.498350698816378</v>
      </c>
      <c r="E219" s="398">
        <f>'Péréquation directe'!E225/C219</f>
        <v>-5.3330861702212635</v>
      </c>
      <c r="F219" s="150">
        <f>'Péréquation directe'!F225/Effort!C219</f>
        <v>-26.05588971343737</v>
      </c>
      <c r="G219" s="150">
        <f>'Péréquation directe'!G225/Effort!C219</f>
        <v>-14.595931068001372</v>
      </c>
      <c r="H219" s="150">
        <f>'Péréquation directe'!J225/Effort!C219</f>
        <v>19.603565040505057</v>
      </c>
      <c r="I219" s="285">
        <f t="shared" si="9"/>
        <v>-13.88299121233857</v>
      </c>
      <c r="J219" s="161">
        <f t="shared" si="10"/>
        <v>0</v>
      </c>
      <c r="K219" s="42">
        <f t="shared" si="11"/>
        <v>0</v>
      </c>
      <c r="L219" s="175"/>
    </row>
    <row r="220" spans="1:12" x14ac:dyDescent="0.25">
      <c r="A220" s="38">
        <f>Données!A220</f>
        <v>5759</v>
      </c>
      <c r="B220" s="130" t="str">
        <f>Données!B220</f>
        <v>Premier</v>
      </c>
      <c r="C220" s="272">
        <f>VPI!R220</f>
        <v>5667.0481761006295</v>
      </c>
      <c r="D220" s="150">
        <f>(PCS!I226-PCS!F226)/C220</f>
        <v>12.498350698816376</v>
      </c>
      <c r="E220" s="398">
        <f>'Péréquation directe'!E226/C220</f>
        <v>-5.4621426164426197</v>
      </c>
      <c r="F220" s="150">
        <f>'Péréquation directe'!F226/Effort!C220</f>
        <v>-25.093423547493018</v>
      </c>
      <c r="G220" s="150">
        <f>'Péréquation directe'!G226/Effort!C220</f>
        <v>-6.2342224196115916</v>
      </c>
      <c r="H220" s="150">
        <f>'Péréquation directe'!J226/Effort!C220</f>
        <v>19.603565040505057</v>
      </c>
      <c r="I220" s="285">
        <f t="shared" si="9"/>
        <v>-4.6878728442257973</v>
      </c>
      <c r="J220" s="161">
        <f t="shared" si="10"/>
        <v>0</v>
      </c>
      <c r="K220" s="42">
        <f t="shared" si="11"/>
        <v>0</v>
      </c>
      <c r="L220" s="175"/>
    </row>
    <row r="221" spans="1:12" x14ac:dyDescent="0.25">
      <c r="A221" s="38">
        <f>Données!A221</f>
        <v>5760</v>
      </c>
      <c r="B221" s="130" t="str">
        <f>Données!B221</f>
        <v>Rances</v>
      </c>
      <c r="C221" s="272">
        <f>VPI!R221</f>
        <v>16308.667189542481</v>
      </c>
      <c r="D221" s="150">
        <f>(PCS!I227-PCS!F227)/C221</f>
        <v>12.498350698816378</v>
      </c>
      <c r="E221" s="398">
        <f>'Péréquation directe'!E227/C221</f>
        <v>-4.1901270367306278</v>
      </c>
      <c r="F221" s="150">
        <f>'Péréquation directe'!F227/Effort!C221</f>
        <v>-12.386843221897028</v>
      </c>
      <c r="G221" s="150">
        <f>'Péréquation directe'!G227/Effort!C221</f>
        <v>-9.3556142226352108</v>
      </c>
      <c r="H221" s="150">
        <f>'Péréquation directe'!J227/Effort!C221</f>
        <v>19.603565040505057</v>
      </c>
      <c r="I221" s="285">
        <f t="shared" si="9"/>
        <v>6.169331258058568</v>
      </c>
      <c r="J221" s="161">
        <f t="shared" si="10"/>
        <v>0</v>
      </c>
      <c r="K221" s="42">
        <f t="shared" si="11"/>
        <v>0</v>
      </c>
      <c r="L221" s="175"/>
    </row>
    <row r="222" spans="1:12" x14ac:dyDescent="0.25">
      <c r="A222" s="38">
        <f>Données!A222</f>
        <v>5761</v>
      </c>
      <c r="B222" s="130" t="str">
        <f>Données!B222</f>
        <v>Romainmôtier-Envy</v>
      </c>
      <c r="C222" s="272">
        <f>VPI!R222</f>
        <v>14407.745072951739</v>
      </c>
      <c r="D222" s="150">
        <f>(PCS!I228-PCS!F228)/C222</f>
        <v>12.498350698816378</v>
      </c>
      <c r="E222" s="398">
        <f>'Péréquation directe'!E228/C222</f>
        <v>-5.0888978033881891</v>
      </c>
      <c r="F222" s="150">
        <f>'Péréquation directe'!F228/Effort!C222</f>
        <v>-22.480521166692366</v>
      </c>
      <c r="G222" s="150">
        <f>'Péréquation directe'!G228/Effort!C222</f>
        <v>-13.184053658760158</v>
      </c>
      <c r="H222" s="150">
        <f>'Péréquation directe'!J228/Effort!C222</f>
        <v>19.603565040505057</v>
      </c>
      <c r="I222" s="285">
        <f t="shared" si="9"/>
        <v>-8.6515568895192807</v>
      </c>
      <c r="J222" s="161">
        <f t="shared" si="10"/>
        <v>0</v>
      </c>
      <c r="K222" s="42">
        <f t="shared" si="11"/>
        <v>0</v>
      </c>
      <c r="L222" s="175"/>
    </row>
    <row r="223" spans="1:12" x14ac:dyDescent="0.25">
      <c r="A223" s="38">
        <f>Données!A223</f>
        <v>5762</v>
      </c>
      <c r="B223" s="130" t="str">
        <f>Données!B223</f>
        <v>Sergey</v>
      </c>
      <c r="C223" s="272">
        <f>VPI!R223</f>
        <v>3741.3970512820511</v>
      </c>
      <c r="D223" s="150">
        <f>(PCS!I229-PCS!F229)/C223</f>
        <v>12.498350698816378</v>
      </c>
      <c r="E223" s="398">
        <f>'Péréquation directe'!E229/C223</f>
        <v>-4.9079730925766754</v>
      </c>
      <c r="F223" s="150">
        <f>'Péréquation directe'!F229/Effort!C223</f>
        <v>-19.242002193896241</v>
      </c>
      <c r="G223" s="150">
        <f>'Péréquation directe'!G229/Effort!C223</f>
        <v>-11.108450516758472</v>
      </c>
      <c r="H223" s="150">
        <f>'Péréquation directe'!J229/Effort!C223</f>
        <v>19.603565040505057</v>
      </c>
      <c r="I223" s="285">
        <f t="shared" si="9"/>
        <v>-3.1565100639099519</v>
      </c>
      <c r="J223" s="161">
        <f t="shared" si="10"/>
        <v>0</v>
      </c>
      <c r="K223" s="42">
        <f t="shared" si="11"/>
        <v>0</v>
      </c>
      <c r="L223" s="175"/>
    </row>
    <row r="224" spans="1:12" x14ac:dyDescent="0.25">
      <c r="A224" s="38">
        <f>Données!A224</f>
        <v>5763</v>
      </c>
      <c r="B224" s="130" t="str">
        <f>Données!B224</f>
        <v>Valeyres-sous-Rances</v>
      </c>
      <c r="C224" s="272">
        <f>VPI!R224</f>
        <v>22296.785352112674</v>
      </c>
      <c r="D224" s="150">
        <f>(PCS!I230-PCS!F230)/C224</f>
        <v>12.498350698816378</v>
      </c>
      <c r="E224" s="398">
        <f>'Péréquation directe'!E230/C224</f>
        <v>-3.5648257663316532</v>
      </c>
      <c r="F224" s="150">
        <f>'Péréquation directe'!F230/Effort!C224</f>
        <v>-6.0760918138548652</v>
      </c>
      <c r="G224" s="150">
        <f>'Péréquation directe'!G230/Effort!C224</f>
        <v>-3.1358803749021118</v>
      </c>
      <c r="H224" s="150">
        <f>'Péréquation directe'!J230/Effort!C224</f>
        <v>19.603565040505057</v>
      </c>
      <c r="I224" s="285">
        <f t="shared" si="9"/>
        <v>19.325117784232805</v>
      </c>
      <c r="J224" s="161">
        <f t="shared" si="10"/>
        <v>0</v>
      </c>
      <c r="K224" s="42">
        <f t="shared" si="11"/>
        <v>0</v>
      </c>
      <c r="L224" s="175"/>
    </row>
    <row r="225" spans="1:12" x14ac:dyDescent="0.25">
      <c r="A225" s="38">
        <f>Données!A225</f>
        <v>5764</v>
      </c>
      <c r="B225" s="130" t="str">
        <f>Données!B225</f>
        <v>Vallorbe</v>
      </c>
      <c r="C225" s="272">
        <f>VPI!R225</f>
        <v>83714.253286713283</v>
      </c>
      <c r="D225" s="150">
        <f>(PCS!I231-PCS!F231)/C225</f>
        <v>12.498350698816378</v>
      </c>
      <c r="E225" s="398">
        <f>'Péréquation directe'!E231/C225</f>
        <v>-16.526414852377606</v>
      </c>
      <c r="F225" s="150">
        <f>'Péréquation directe'!F231/Effort!C225</f>
        <v>-26.142790010220672</v>
      </c>
      <c r="G225" s="150">
        <f>'Péréquation directe'!G231/Effort!C225</f>
        <v>-25.987772566630923</v>
      </c>
      <c r="H225" s="150">
        <f>'Péréquation directe'!J231/Effort!C225</f>
        <v>19.603565040505057</v>
      </c>
      <c r="I225" s="285">
        <f t="shared" si="9"/>
        <v>-36.55506168990776</v>
      </c>
      <c r="J225" s="161">
        <f t="shared" si="10"/>
        <v>0</v>
      </c>
      <c r="K225" s="42">
        <f t="shared" si="11"/>
        <v>0</v>
      </c>
      <c r="L225" s="175"/>
    </row>
    <row r="226" spans="1:12" x14ac:dyDescent="0.25">
      <c r="A226" s="38">
        <f>Données!A226</f>
        <v>5765</v>
      </c>
      <c r="B226" s="130" t="str">
        <f>Données!B226</f>
        <v>Vaulion</v>
      </c>
      <c r="C226" s="272">
        <f>VPI!R226</f>
        <v>9627.8182716049378</v>
      </c>
      <c r="D226" s="150">
        <f>(PCS!I232-PCS!F232)/C226</f>
        <v>12.498350698816378</v>
      </c>
      <c r="E226" s="398">
        <f>'Péréquation directe'!E232/C226</f>
        <v>-6.5800195441168894</v>
      </c>
      <c r="F226" s="150">
        <f>'Péréquation directe'!F232/Effort!C226</f>
        <v>-36.73778967382593</v>
      </c>
      <c r="G226" s="150">
        <f>'Péréquation directe'!G232/Effort!C226</f>
        <v>-17.85368314862292</v>
      </c>
      <c r="H226" s="150">
        <f>'Péréquation directe'!J232/Effort!C226</f>
        <v>19.603565040505057</v>
      </c>
      <c r="I226" s="285">
        <f t="shared" si="9"/>
        <v>-29.069576627244306</v>
      </c>
      <c r="J226" s="161">
        <f t="shared" si="10"/>
        <v>0</v>
      </c>
      <c r="K226" s="42">
        <f t="shared" si="11"/>
        <v>0</v>
      </c>
      <c r="L226" s="175"/>
    </row>
    <row r="227" spans="1:12" x14ac:dyDescent="0.25">
      <c r="A227" s="38">
        <f>Données!A227</f>
        <v>5766</v>
      </c>
      <c r="B227" s="130" t="str">
        <f>Données!B227</f>
        <v>Vuiteboeuf</v>
      </c>
      <c r="C227" s="272">
        <f>VPI!R227</f>
        <v>15422.129161904764</v>
      </c>
      <c r="D227" s="150">
        <f>(PCS!I233-PCS!F233)/C227</f>
        <v>12.498350698816378</v>
      </c>
      <c r="E227" s="398">
        <f>'Péréquation directe'!E233/C227</f>
        <v>-5.0348357550880136</v>
      </c>
      <c r="F227" s="150">
        <f>'Péréquation directe'!F233/Effort!C227</f>
        <v>-18.830255682466674</v>
      </c>
      <c r="G227" s="150">
        <f>'Péréquation directe'!G233/Effort!C227</f>
        <v>-3.6882150243408516</v>
      </c>
      <c r="H227" s="150">
        <f>'Péréquation directe'!J233/Effort!C227</f>
        <v>19.603565040505057</v>
      </c>
      <c r="I227" s="285">
        <f t="shared" si="9"/>
        <v>4.5486092774258928</v>
      </c>
      <c r="J227" s="161">
        <f t="shared" si="10"/>
        <v>0</v>
      </c>
      <c r="K227" s="42">
        <f t="shared" si="11"/>
        <v>0</v>
      </c>
      <c r="L227" s="175"/>
    </row>
    <row r="228" spans="1:12" x14ac:dyDescent="0.25">
      <c r="A228" s="38">
        <f>Données!A228</f>
        <v>5785</v>
      </c>
      <c r="B228" s="130" t="str">
        <f>Données!B228</f>
        <v>Corcelles-le-Jorat</v>
      </c>
      <c r="C228" s="272">
        <f>VPI!R228</f>
        <v>15461.79373333333</v>
      </c>
      <c r="D228" s="150">
        <f>(PCS!I234-PCS!F234)/C228</f>
        <v>12.498350698816378</v>
      </c>
      <c r="E228" s="398">
        <f>'Péréquation directe'!E234/C228</f>
        <v>-4.1142416872944558</v>
      </c>
      <c r="F228" s="150">
        <f>'Péréquation directe'!F234/Effort!C228</f>
        <v>-11.283785029585795</v>
      </c>
      <c r="G228" s="150">
        <f>'Péréquation directe'!G234/Effort!C228</f>
        <v>-5.1285679287838173</v>
      </c>
      <c r="H228" s="150">
        <f>'Péréquation directe'!J234/Effort!C228</f>
        <v>19.603565040505057</v>
      </c>
      <c r="I228" s="285">
        <f t="shared" si="9"/>
        <v>11.575321093657365</v>
      </c>
      <c r="J228" s="161">
        <f t="shared" si="10"/>
        <v>0</v>
      </c>
      <c r="K228" s="42">
        <f t="shared" si="11"/>
        <v>0</v>
      </c>
      <c r="L228" s="175"/>
    </row>
    <row r="229" spans="1:12" x14ac:dyDescent="0.25">
      <c r="A229" s="38">
        <f>Données!A229</f>
        <v>5790</v>
      </c>
      <c r="B229" s="130" t="str">
        <f>Données!B229</f>
        <v>Maracon</v>
      </c>
      <c r="C229" s="272">
        <f>VPI!R229</f>
        <v>16326.326308724832</v>
      </c>
      <c r="D229" s="150">
        <f>(PCS!I235-PCS!F235)/C229</f>
        <v>12.498350698816378</v>
      </c>
      <c r="E229" s="398">
        <f>'Péréquation directe'!E235/C229</f>
        <v>-4.3703715904493201</v>
      </c>
      <c r="F229" s="150">
        <f>'Péréquation directe'!F235/Effort!C229</f>
        <v>-13.205532025643404</v>
      </c>
      <c r="G229" s="150">
        <f>'Péréquation directe'!G235/Effort!C229</f>
        <v>-3.3736442161590903</v>
      </c>
      <c r="H229" s="150">
        <f>'Péréquation directe'!J235/Effort!C229</f>
        <v>19.603565040505057</v>
      </c>
      <c r="I229" s="285">
        <f t="shared" si="9"/>
        <v>11.152367907069621</v>
      </c>
      <c r="J229" s="161">
        <f t="shared" si="10"/>
        <v>0</v>
      </c>
      <c r="K229" s="42">
        <f t="shared" si="11"/>
        <v>0</v>
      </c>
      <c r="L229" s="175"/>
    </row>
    <row r="230" spans="1:12" x14ac:dyDescent="0.25">
      <c r="A230" s="38">
        <f>Données!A230</f>
        <v>5792</v>
      </c>
      <c r="B230" s="130" t="str">
        <f>Données!B230</f>
        <v>Montpreveyres</v>
      </c>
      <c r="C230" s="272">
        <f>VPI!R230</f>
        <v>19363.003178807943</v>
      </c>
      <c r="D230" s="150">
        <f>(PCS!I236-PCS!F236)/C230</f>
        <v>12.498350698816378</v>
      </c>
      <c r="E230" s="398">
        <f>'Péréquation directe'!E236/C230</f>
        <v>-4.4775111887173242</v>
      </c>
      <c r="F230" s="150">
        <f>'Péréquation directe'!F236/Effort!C230</f>
        <v>-14.452436768350426</v>
      </c>
      <c r="G230" s="150">
        <f>'Péréquation directe'!G236/Effort!C230</f>
        <v>-8.2475817084355327</v>
      </c>
      <c r="H230" s="150">
        <f>'Péréquation directe'!J236/Effort!C230</f>
        <v>19.603565040505057</v>
      </c>
      <c r="I230" s="285">
        <f t="shared" si="9"/>
        <v>4.9243860738181517</v>
      </c>
      <c r="J230" s="161">
        <f t="shared" si="10"/>
        <v>0</v>
      </c>
      <c r="K230" s="42">
        <f t="shared" si="11"/>
        <v>0</v>
      </c>
      <c r="L230" s="175"/>
    </row>
    <row r="231" spans="1:12" x14ac:dyDescent="0.25">
      <c r="A231" s="38">
        <f>Données!A231</f>
        <v>5798</v>
      </c>
      <c r="B231" s="130" t="str">
        <f>Données!B231</f>
        <v>Ropraz</v>
      </c>
      <c r="C231" s="272">
        <f>VPI!R231</f>
        <v>16208.095096774196</v>
      </c>
      <c r="D231" s="150">
        <f>(PCS!I237-PCS!F237)/C231</f>
        <v>12.498350698816378</v>
      </c>
      <c r="E231" s="398">
        <f>'Péréquation directe'!E237/C231</f>
        <v>-4.2808659922288319</v>
      </c>
      <c r="F231" s="150">
        <f>'Péréquation directe'!F237/Effort!C231</f>
        <v>-13.507036320626254</v>
      </c>
      <c r="G231" s="150">
        <f>'Péréquation directe'!G237/Effort!C231</f>
        <v>-5.3222774324576365</v>
      </c>
      <c r="H231" s="150">
        <f>'Péréquation directe'!J237/Effort!C231</f>
        <v>19.603565040505057</v>
      </c>
      <c r="I231" s="285">
        <f t="shared" si="9"/>
        <v>8.9917359940087103</v>
      </c>
      <c r="J231" s="161">
        <f t="shared" si="10"/>
        <v>0</v>
      </c>
      <c r="K231" s="42">
        <f t="shared" si="11"/>
        <v>0</v>
      </c>
      <c r="L231" s="175"/>
    </row>
    <row r="232" spans="1:12" x14ac:dyDescent="0.25">
      <c r="A232" s="38">
        <f>Données!A232</f>
        <v>5799</v>
      </c>
      <c r="B232" s="130" t="str">
        <f>Données!B232</f>
        <v>Servion</v>
      </c>
      <c r="C232" s="272">
        <f>VPI!R232</f>
        <v>73170.005797101461</v>
      </c>
      <c r="D232" s="150">
        <f>(PCS!I238-PCS!F238)/C232</f>
        <v>12.498350698816376</v>
      </c>
      <c r="E232" s="398">
        <f>'Péréquation directe'!E238/C232</f>
        <v>-7.4943546314808209</v>
      </c>
      <c r="F232" s="150">
        <f>'Péréquation directe'!F238/Effort!C232</f>
        <v>-7.5709439325510717</v>
      </c>
      <c r="G232" s="150">
        <f>'Péréquation directe'!G238/Effort!C232</f>
        <v>-5.0312206082996509</v>
      </c>
      <c r="H232" s="150">
        <f>'Péréquation directe'!J238/Effort!C232</f>
        <v>19.603565040505057</v>
      </c>
      <c r="I232" s="285">
        <f t="shared" si="9"/>
        <v>12.005396566989889</v>
      </c>
      <c r="J232" s="161">
        <f t="shared" si="10"/>
        <v>0</v>
      </c>
      <c r="K232" s="42">
        <f t="shared" si="11"/>
        <v>0</v>
      </c>
      <c r="L232" s="175"/>
    </row>
    <row r="233" spans="1:12" x14ac:dyDescent="0.25">
      <c r="A233" s="38">
        <f>Données!A233</f>
        <v>5803</v>
      </c>
      <c r="B233" s="130" t="str">
        <f>Données!B233</f>
        <v>Vulliens</v>
      </c>
      <c r="C233" s="272">
        <f>VPI!R233</f>
        <v>16577.495675675673</v>
      </c>
      <c r="D233" s="150">
        <f>(PCS!I239-PCS!F239)/C233</f>
        <v>12.498350698816376</v>
      </c>
      <c r="E233" s="398">
        <f>'Péréquation directe'!E239/C233</f>
        <v>-5.0004154921189228</v>
      </c>
      <c r="F233" s="150">
        <f>'Péréquation directe'!F239/Effort!C233</f>
        <v>-18.056780745353549</v>
      </c>
      <c r="G233" s="150">
        <f>'Péréquation directe'!G239/Effort!C233</f>
        <v>-6.0928014098992476</v>
      </c>
      <c r="H233" s="150">
        <f>'Péréquation directe'!J239/Effort!C233</f>
        <v>19.603565040505057</v>
      </c>
      <c r="I233" s="285">
        <f t="shared" si="9"/>
        <v>2.951918091949711</v>
      </c>
      <c r="J233" s="161">
        <f t="shared" si="10"/>
        <v>0</v>
      </c>
      <c r="K233" s="42">
        <f t="shared" si="11"/>
        <v>0</v>
      </c>
      <c r="L233" s="175"/>
    </row>
    <row r="234" spans="1:12" x14ac:dyDescent="0.25">
      <c r="A234" s="38">
        <f>Données!A234</f>
        <v>5804</v>
      </c>
      <c r="B234" s="130" t="str">
        <f>Données!B234</f>
        <v>Jorat-Menthue</v>
      </c>
      <c r="C234" s="272">
        <f>VPI!R234</f>
        <v>45125.096170212761</v>
      </c>
      <c r="D234" s="150">
        <f>(PCS!I240-PCS!F240)/C234</f>
        <v>12.498350698816378</v>
      </c>
      <c r="E234" s="398">
        <f>'Péréquation directe'!E240/C234</f>
        <v>-7.5049194352998718</v>
      </c>
      <c r="F234" s="150">
        <f>'Péréquation directe'!F240/Effort!C234</f>
        <v>-13.118505601373165</v>
      </c>
      <c r="G234" s="150">
        <f>'Péréquation directe'!G240/Effort!C234</f>
        <v>-9.3095169355349476</v>
      </c>
      <c r="H234" s="150">
        <f>'Péréquation directe'!J240/Effort!C234</f>
        <v>19.603565040505057</v>
      </c>
      <c r="I234" s="285">
        <f t="shared" si="9"/>
        <v>2.1689737671134495</v>
      </c>
      <c r="J234" s="161">
        <f t="shared" si="10"/>
        <v>0</v>
      </c>
      <c r="K234" s="42">
        <f t="shared" si="11"/>
        <v>0</v>
      </c>
      <c r="L234" s="175"/>
    </row>
    <row r="235" spans="1:12" x14ac:dyDescent="0.25">
      <c r="A235" s="38">
        <f>Données!A235</f>
        <v>5805</v>
      </c>
      <c r="B235" s="130" t="str">
        <f>Données!B235</f>
        <v>Oron</v>
      </c>
      <c r="C235" s="272">
        <f>VPI!R235</f>
        <v>174503.6837022398</v>
      </c>
      <c r="D235" s="150">
        <f>(PCS!I241-PCS!F241)/C235</f>
        <v>12.498350698816378</v>
      </c>
      <c r="E235" s="398">
        <f>'Péréquation directe'!E241/C235</f>
        <v>-15.010926510300161</v>
      </c>
      <c r="F235" s="150">
        <f>'Péréquation directe'!F241/Effort!C235</f>
        <v>-12.915478587648208</v>
      </c>
      <c r="G235" s="150">
        <f>'Péréquation directe'!G241/Effort!C235</f>
        <v>-6.9371329662358052</v>
      </c>
      <c r="H235" s="150">
        <f>'Péréquation directe'!J241/Effort!C235</f>
        <v>19.603565040505057</v>
      </c>
      <c r="I235" s="285">
        <f t="shared" si="9"/>
        <v>-2.7616223248627385</v>
      </c>
      <c r="J235" s="161">
        <f t="shared" si="10"/>
        <v>0</v>
      </c>
      <c r="K235" s="42">
        <f t="shared" si="11"/>
        <v>0</v>
      </c>
      <c r="L235" s="175"/>
    </row>
    <row r="236" spans="1:12" x14ac:dyDescent="0.25">
      <c r="A236" s="38">
        <f>Données!A236</f>
        <v>5806</v>
      </c>
      <c r="B236" s="130" t="str">
        <f>Données!B236</f>
        <v>Jorat-Mézières</v>
      </c>
      <c r="C236" s="272">
        <f>VPI!R236</f>
        <v>102976.58753424657</v>
      </c>
      <c r="D236" s="150">
        <f>(PCS!I242-PCS!F242)/C236</f>
        <v>12.498350698816378</v>
      </c>
      <c r="E236" s="398">
        <f>'Péréquation directe'!E242/C236</f>
        <v>-8.9668953283488371</v>
      </c>
      <c r="F236" s="150">
        <f>'Péréquation directe'!F242/Effort!C236</f>
        <v>-9.5016980085887521</v>
      </c>
      <c r="G236" s="150">
        <f>'Péréquation directe'!G242/Effort!C236</f>
        <v>-4.8998122750118078</v>
      </c>
      <c r="H236" s="150">
        <f>'Péréquation directe'!J242/Effort!C236</f>
        <v>19.603565040505057</v>
      </c>
      <c r="I236" s="285">
        <f t="shared" si="9"/>
        <v>8.7335101273720372</v>
      </c>
      <c r="J236" s="161">
        <f t="shared" si="10"/>
        <v>0</v>
      </c>
      <c r="K236" s="42">
        <f t="shared" si="11"/>
        <v>0</v>
      </c>
      <c r="L236" s="175"/>
    </row>
    <row r="237" spans="1:12" x14ac:dyDescent="0.25">
      <c r="A237" s="38">
        <f>Données!A237</f>
        <v>5812</v>
      </c>
      <c r="B237" s="130" t="str">
        <f>Données!B237</f>
        <v>Champtauroz</v>
      </c>
      <c r="C237" s="272">
        <f>VPI!R237</f>
        <v>3659.2728571428574</v>
      </c>
      <c r="D237" s="150">
        <f>(PCS!I243-PCS!F243)/C237</f>
        <v>12.498350698816379</v>
      </c>
      <c r="E237" s="398">
        <f>'Péréquation directe'!E243/C237</f>
        <v>-6.0575896099598356</v>
      </c>
      <c r="F237" s="150">
        <f>'Péréquation directe'!F243/Effort!C237</f>
        <v>-28.684944887929131</v>
      </c>
      <c r="G237" s="150">
        <f>'Péréquation directe'!G243/Effort!C237</f>
        <v>-10.692470973079875</v>
      </c>
      <c r="H237" s="150">
        <f>'Péréquation directe'!J243/Effort!C237</f>
        <v>19.603565040505057</v>
      </c>
      <c r="I237" s="285">
        <f t="shared" si="9"/>
        <v>-13.333089731647409</v>
      </c>
      <c r="J237" s="161">
        <f t="shared" si="10"/>
        <v>0</v>
      </c>
      <c r="K237" s="42">
        <f t="shared" si="11"/>
        <v>0</v>
      </c>
      <c r="L237" s="175"/>
    </row>
    <row r="238" spans="1:12" x14ac:dyDescent="0.25">
      <c r="A238" s="38">
        <f>Données!A238</f>
        <v>5813</v>
      </c>
      <c r="B238" s="130" t="str">
        <f>Données!B238</f>
        <v>Chevroux</v>
      </c>
      <c r="C238" s="272">
        <f>VPI!R238</f>
        <v>17497.520778588809</v>
      </c>
      <c r="D238" s="150">
        <f>(PCS!I244-PCS!F244)/C238</f>
        <v>12.498350698816379</v>
      </c>
      <c r="E238" s="398">
        <f>'Péréquation directe'!E244/C238</f>
        <v>-3.9129285892636343</v>
      </c>
      <c r="F238" s="150">
        <f>'Péréquation directe'!F244/Effort!C238</f>
        <v>-8.0360871625157895</v>
      </c>
      <c r="G238" s="150">
        <f>'Péréquation directe'!G244/Effort!C238</f>
        <v>-9.6427704797992551</v>
      </c>
      <c r="H238" s="150">
        <f>'Péréquation directe'!J244/Effort!C238</f>
        <v>19.603565040505057</v>
      </c>
      <c r="I238" s="285">
        <f t="shared" si="9"/>
        <v>10.510129507742757</v>
      </c>
      <c r="J238" s="161">
        <f t="shared" si="10"/>
        <v>0</v>
      </c>
      <c r="K238" s="42">
        <f t="shared" si="11"/>
        <v>0</v>
      </c>
      <c r="L238" s="175"/>
    </row>
    <row r="239" spans="1:12" x14ac:dyDescent="0.25">
      <c r="A239" s="38">
        <f>Données!A239</f>
        <v>5816</v>
      </c>
      <c r="B239" s="130" t="str">
        <f>Données!B239</f>
        <v>Corcelles-près-Payerne</v>
      </c>
      <c r="C239" s="272">
        <f>VPI!R239</f>
        <v>65699.549864442117</v>
      </c>
      <c r="D239" s="150">
        <f>(PCS!I245-PCS!F245)/C239</f>
        <v>12.498350698816379</v>
      </c>
      <c r="E239" s="398">
        <f>'Péréquation directe'!E245/C239</f>
        <v>-12.37123403005457</v>
      </c>
      <c r="F239" s="150">
        <f>'Péréquation directe'!F245/Effort!C239</f>
        <v>-20.267798153818369</v>
      </c>
      <c r="G239" s="150">
        <f>'Péréquation directe'!G245/Effort!C239</f>
        <v>-5.105132731641242</v>
      </c>
      <c r="H239" s="150">
        <f>'Péréquation directe'!J245/Effort!C239</f>
        <v>19.603565040505057</v>
      </c>
      <c r="I239" s="285">
        <f t="shared" si="9"/>
        <v>-5.6422491761927454</v>
      </c>
      <c r="J239" s="161">
        <f t="shared" si="10"/>
        <v>0</v>
      </c>
      <c r="K239" s="42">
        <f t="shared" si="11"/>
        <v>0</v>
      </c>
      <c r="L239" s="175"/>
    </row>
    <row r="240" spans="1:12" x14ac:dyDescent="0.25">
      <c r="A240" s="38">
        <f>Données!A240</f>
        <v>5817</v>
      </c>
      <c r="B240" s="130" t="str">
        <f>Données!B240</f>
        <v>Grandcour</v>
      </c>
      <c r="C240" s="272">
        <f>VPI!R240</f>
        <v>25916.533605442175</v>
      </c>
      <c r="D240" s="150">
        <f>(PCS!I246-PCS!F246)/C240</f>
        <v>12.498350698816376</v>
      </c>
      <c r="E240" s="398">
        <f>'Péréquation directe'!E246/C240</f>
        <v>-5.0751087068408332</v>
      </c>
      <c r="F240" s="150">
        <f>'Péréquation directe'!F246/Effort!C240</f>
        <v>-18.329918932279789</v>
      </c>
      <c r="G240" s="150">
        <f>'Péréquation directe'!G246/Effort!C240</f>
        <v>-4.5991362776882685</v>
      </c>
      <c r="H240" s="150">
        <f>'Péréquation directe'!J246/Effort!C240</f>
        <v>19.603565040505057</v>
      </c>
      <c r="I240" s="285">
        <f t="shared" si="9"/>
        <v>4.0977518225125422</v>
      </c>
      <c r="J240" s="161">
        <f t="shared" si="10"/>
        <v>0</v>
      </c>
      <c r="K240" s="42">
        <f t="shared" si="11"/>
        <v>0</v>
      </c>
      <c r="L240" s="175"/>
    </row>
    <row r="241" spans="1:13" x14ac:dyDescent="0.25">
      <c r="A241" s="38">
        <f>Données!A241</f>
        <v>5819</v>
      </c>
      <c r="B241" s="130" t="str">
        <f>Données!B241</f>
        <v>Henniez</v>
      </c>
      <c r="C241" s="272">
        <f>VPI!R241</f>
        <v>10275.484492753623</v>
      </c>
      <c r="D241" s="150">
        <f>(PCS!I247-PCS!F247)/C241</f>
        <v>12.498350698816378</v>
      </c>
      <c r="E241" s="398">
        <f>'Péréquation directe'!E247/C241</f>
        <v>-5.2845251604750922</v>
      </c>
      <c r="F241" s="150">
        <f>'Péréquation directe'!F247/Effort!C241</f>
        <v>-17.670341614110772</v>
      </c>
      <c r="G241" s="150">
        <f>'Péréquation directe'!G247/Effort!C241</f>
        <v>-9.9543635482088959</v>
      </c>
      <c r="H241" s="150">
        <f>'Péréquation directe'!J247/Effort!C241</f>
        <v>19.603565040505057</v>
      </c>
      <c r="I241" s="285">
        <f t="shared" si="9"/>
        <v>-0.80731458347332463</v>
      </c>
      <c r="J241" s="161">
        <f t="shared" si="10"/>
        <v>0</v>
      </c>
      <c r="K241" s="42">
        <f t="shared" si="11"/>
        <v>0</v>
      </c>
      <c r="L241" s="175"/>
    </row>
    <row r="242" spans="1:13" x14ac:dyDescent="0.25">
      <c r="A242" s="38">
        <f>Données!A242</f>
        <v>5821</v>
      </c>
      <c r="B242" s="130" t="str">
        <f>Données!B242</f>
        <v>Missy</v>
      </c>
      <c r="C242" s="272">
        <f>VPI!R242</f>
        <v>8375.9038888888899</v>
      </c>
      <c r="D242" s="150">
        <f>(PCS!I248-PCS!F248)/C242</f>
        <v>12.498350698816379</v>
      </c>
      <c r="E242" s="398">
        <f>'Péréquation directe'!E248/C242</f>
        <v>-6.0602036236264754</v>
      </c>
      <c r="F242" s="150">
        <f>'Péréquation directe'!F248/Effort!C242</f>
        <v>-25.100327370113678</v>
      </c>
      <c r="G242" s="150">
        <f>'Péréquation directe'!G248/Effort!C242</f>
        <v>-5.4761871124053041</v>
      </c>
      <c r="H242" s="150">
        <f>'Péréquation directe'!J248/Effort!C242</f>
        <v>19.603565040505057</v>
      </c>
      <c r="I242" s="285">
        <f t="shared" si="9"/>
        <v>-4.5348023668240209</v>
      </c>
      <c r="J242" s="161">
        <f t="shared" si="10"/>
        <v>0</v>
      </c>
      <c r="K242" s="42">
        <f t="shared" si="11"/>
        <v>0</v>
      </c>
      <c r="L242" s="175"/>
    </row>
    <row r="243" spans="1:13" x14ac:dyDescent="0.25">
      <c r="A243" s="38">
        <f>Données!A243</f>
        <v>5822</v>
      </c>
      <c r="B243" s="130" t="str">
        <f>Données!B243</f>
        <v>Payerne</v>
      </c>
      <c r="C243" s="272">
        <f>VPI!R243</f>
        <v>226829.36520547947</v>
      </c>
      <c r="D243" s="150">
        <f>(PCS!I249-PCS!F249)/C243</f>
        <v>12.498350698816378</v>
      </c>
      <c r="E243" s="398">
        <f>'Péréquation directe'!E249/C243</f>
        <v>-24.939290268511648</v>
      </c>
      <c r="F243" s="150">
        <f>'Péréquation directe'!F249/Effort!C243</f>
        <v>-25.315540235320636</v>
      </c>
      <c r="G243" s="150">
        <f>'Péréquation directe'!G249/Effort!C243</f>
        <v>-7.4131682586623562</v>
      </c>
      <c r="H243" s="150">
        <f>'Péréquation directe'!J249/Effort!C243</f>
        <v>19.603565040505057</v>
      </c>
      <c r="I243" s="285">
        <f t="shared" si="9"/>
        <v>-25.56608302317321</v>
      </c>
      <c r="J243" s="161">
        <f t="shared" si="10"/>
        <v>0</v>
      </c>
      <c r="K243" s="42">
        <f t="shared" si="11"/>
        <v>0</v>
      </c>
      <c r="L243" s="175"/>
    </row>
    <row r="244" spans="1:13" x14ac:dyDescent="0.25">
      <c r="A244" s="38">
        <f>Données!A244</f>
        <v>5827</v>
      </c>
      <c r="B244" s="130" t="str">
        <f>Données!B244</f>
        <v>Trey</v>
      </c>
      <c r="C244" s="272">
        <f>VPI!R244</f>
        <v>7714.9719230769242</v>
      </c>
      <c r="D244" s="150">
        <f>(PCS!I250-PCS!F250)/C244</f>
        <v>12.498350698816378</v>
      </c>
      <c r="E244" s="398">
        <f>'Péréquation directe'!E250/C244</f>
        <v>-5.1342915940463874</v>
      </c>
      <c r="F244" s="150">
        <f>'Péréquation directe'!F250/Effort!C244</f>
        <v>-21.248609794381323</v>
      </c>
      <c r="G244" s="150">
        <f>'Péréquation directe'!G250/Effort!C244</f>
        <v>-4.0195597952037954</v>
      </c>
      <c r="H244" s="150">
        <f>'Péréquation directe'!J250/Effort!C244</f>
        <v>19.603565040505057</v>
      </c>
      <c r="I244" s="285">
        <f t="shared" si="9"/>
        <v>1.699454555689929</v>
      </c>
      <c r="J244" s="161">
        <f t="shared" si="10"/>
        <v>0</v>
      </c>
      <c r="K244" s="42">
        <f t="shared" si="11"/>
        <v>0</v>
      </c>
      <c r="L244" s="175"/>
    </row>
    <row r="245" spans="1:13" x14ac:dyDescent="0.25">
      <c r="A245" s="38">
        <f>Données!A245</f>
        <v>5828</v>
      </c>
      <c r="B245" s="130" t="str">
        <f>Données!B245</f>
        <v>Treytorrens (Payerne)</v>
      </c>
      <c r="C245" s="272">
        <f>VPI!R245</f>
        <v>2864.8037627811859</v>
      </c>
      <c r="D245" s="150">
        <f>(PCS!I251-PCS!F251)/C245</f>
        <v>12.498350698816378</v>
      </c>
      <c r="E245" s="398">
        <f>'Péréquation directe'!E251/C245</f>
        <v>-4.8073125360892046</v>
      </c>
      <c r="F245" s="150">
        <f>'Péréquation directe'!F251/Effort!C245</f>
        <v>-20.033213301110855</v>
      </c>
      <c r="G245" s="150">
        <f>'Péréquation directe'!G251/Effort!C245</f>
        <v>-13.892587423502029</v>
      </c>
      <c r="H245" s="150">
        <f>'Péréquation directe'!J251/Effort!C245</f>
        <v>19.603565040505057</v>
      </c>
      <c r="I245" s="285">
        <f t="shared" si="9"/>
        <v>-6.6311975213806527</v>
      </c>
      <c r="J245" s="161">
        <f t="shared" si="10"/>
        <v>0</v>
      </c>
      <c r="K245" s="42">
        <f t="shared" si="11"/>
        <v>0</v>
      </c>
      <c r="L245" s="175"/>
    </row>
    <row r="246" spans="1:13" x14ac:dyDescent="0.25">
      <c r="A246" s="38">
        <f>Données!A246</f>
        <v>5830</v>
      </c>
      <c r="B246" s="130" t="str">
        <f>Données!B246</f>
        <v>Villarzel</v>
      </c>
      <c r="C246" s="272">
        <f>VPI!R246</f>
        <v>12474.066133333334</v>
      </c>
      <c r="D246" s="150">
        <f>(PCS!I252-PCS!F252)/C246</f>
        <v>12.498350698816379</v>
      </c>
      <c r="E246" s="398">
        <f>'Péréquation directe'!E252/C246</f>
        <v>-5.1101796021042265</v>
      </c>
      <c r="F246" s="150">
        <f>'Péréquation directe'!F252/Effort!C246</f>
        <v>-19.447878748130943</v>
      </c>
      <c r="G246" s="150">
        <f>'Péréquation directe'!G252/Effort!C246</f>
        <v>-8.3819315289462448</v>
      </c>
      <c r="H246" s="150">
        <f>'Péréquation directe'!J252/Effort!C246</f>
        <v>19.603565040505057</v>
      </c>
      <c r="I246" s="285">
        <f t="shared" si="9"/>
        <v>-0.83807413985998025</v>
      </c>
      <c r="J246" s="161">
        <f t="shared" si="10"/>
        <v>0</v>
      </c>
      <c r="K246" s="42">
        <f t="shared" si="11"/>
        <v>0</v>
      </c>
      <c r="L246" s="175"/>
      <c r="M246" s="159"/>
    </row>
    <row r="247" spans="1:13" x14ac:dyDescent="0.25">
      <c r="A247" s="38">
        <f>Données!A247</f>
        <v>5831</v>
      </c>
      <c r="B247" s="130" t="str">
        <f>Données!B247</f>
        <v>Valbroye</v>
      </c>
      <c r="C247" s="272">
        <f>VPI!R247</f>
        <v>87465.086477541365</v>
      </c>
      <c r="D247" s="150">
        <f>(PCS!I253-PCS!F253)/C247</f>
        <v>12.498350698816378</v>
      </c>
      <c r="E247" s="398">
        <f>'Péréquation directe'!E253/C247</f>
        <v>-12.062720611147657</v>
      </c>
      <c r="F247" s="150">
        <f>'Péréquation directe'!F253/Effort!C247</f>
        <v>-16.676759707135883</v>
      </c>
      <c r="G247" s="150">
        <f>'Péréquation directe'!G253/Effort!C247</f>
        <v>-10.987891786470781</v>
      </c>
      <c r="H247" s="150">
        <f>'Péréquation directe'!J253/Effort!C247</f>
        <v>19.603565040505057</v>
      </c>
      <c r="I247" s="285">
        <f t="shared" si="9"/>
        <v>-7.6254563654328855</v>
      </c>
      <c r="J247" s="161">
        <f t="shared" si="10"/>
        <v>0</v>
      </c>
      <c r="K247" s="42">
        <f t="shared" si="11"/>
        <v>0</v>
      </c>
      <c r="L247" s="175"/>
    </row>
    <row r="248" spans="1:13" x14ac:dyDescent="0.25">
      <c r="A248" s="38">
        <f>Données!A248</f>
        <v>5841</v>
      </c>
      <c r="B248" s="130" t="str">
        <f>Données!B248</f>
        <v>Château-d'Oex</v>
      </c>
      <c r="C248" s="272">
        <f>VPI!R248</f>
        <v>123825.99529652353</v>
      </c>
      <c r="D248" s="150">
        <f>(PCS!I254-PCS!F254)/C248</f>
        <v>12.498350698816378</v>
      </c>
      <c r="E248" s="398">
        <f>'Péréquation directe'!E254/C248</f>
        <v>-9.3976148651007634</v>
      </c>
      <c r="F248" s="150">
        <f>'Péréquation directe'!F254/Effort!C248</f>
        <v>-10.083018866621778</v>
      </c>
      <c r="G248" s="150">
        <f>'Péréquation directe'!G254/Effort!C248</f>
        <v>-17.095312090175497</v>
      </c>
      <c r="H248" s="150">
        <f>'Péréquation directe'!J254/Effort!C248</f>
        <v>19.603565040505057</v>
      </c>
      <c r="I248" s="285">
        <f t="shared" si="9"/>
        <v>-4.4740300825766042</v>
      </c>
      <c r="J248" s="161">
        <f t="shared" si="10"/>
        <v>0</v>
      </c>
      <c r="K248" s="42">
        <f t="shared" si="11"/>
        <v>0</v>
      </c>
      <c r="L248" s="175"/>
    </row>
    <row r="249" spans="1:13" x14ac:dyDescent="0.25">
      <c r="A249" s="38">
        <f>Données!A249</f>
        <v>5842</v>
      </c>
      <c r="B249" s="130" t="str">
        <f>Données!B249</f>
        <v>Rossinière</v>
      </c>
      <c r="C249" s="272">
        <f>VPI!R249</f>
        <v>16473.108683127575</v>
      </c>
      <c r="D249" s="150">
        <f>(PCS!I255-PCS!F255)/C249</f>
        <v>12.498350698816378</v>
      </c>
      <c r="E249" s="398">
        <f>'Péréquation directe'!E255/C249</f>
        <v>-4.2518078587974575</v>
      </c>
      <c r="F249" s="150">
        <f>'Péréquation directe'!F255/Effort!C249</f>
        <v>-14.476737318152097</v>
      </c>
      <c r="G249" s="150">
        <f>'Péréquation directe'!G255/Effort!C249</f>
        <v>-19.257195548827159</v>
      </c>
      <c r="H249" s="150">
        <f>'Péréquation directe'!J255/Effort!C249</f>
        <v>19.603565040505057</v>
      </c>
      <c r="I249" s="285">
        <f t="shared" si="9"/>
        <v>-5.8838249864552772</v>
      </c>
      <c r="J249" s="161">
        <f t="shared" si="10"/>
        <v>0</v>
      </c>
      <c r="K249" s="42">
        <f t="shared" si="11"/>
        <v>0</v>
      </c>
      <c r="L249" s="175"/>
    </row>
    <row r="250" spans="1:13" x14ac:dyDescent="0.25">
      <c r="A250" s="38">
        <f>Données!A250</f>
        <v>5843</v>
      </c>
      <c r="B250" s="130" t="str">
        <f>Données!B250</f>
        <v>Rougemont</v>
      </c>
      <c r="C250" s="272">
        <f>VPI!R250</f>
        <v>89735.240928270054</v>
      </c>
      <c r="D250" s="150">
        <f>(PCS!I256-PCS!F256)/C250</f>
        <v>28.656471320289132</v>
      </c>
      <c r="E250" s="398">
        <f>'Péréquation directe'!E256/C250</f>
        <v>-1.2073271059582473</v>
      </c>
      <c r="F250" s="150">
        <f>'Péréquation directe'!F256/Effort!C250</f>
        <v>0</v>
      </c>
      <c r="G250" s="150">
        <f>'Péréquation directe'!G256/Effort!C250</f>
        <v>-1.1219475893088011</v>
      </c>
      <c r="H250" s="150">
        <f>'Péréquation directe'!J256/Effort!C250</f>
        <v>19.603565040505057</v>
      </c>
      <c r="I250" s="285">
        <f t="shared" si="9"/>
        <v>45.930761665527143</v>
      </c>
      <c r="J250" s="161">
        <f t="shared" si="10"/>
        <v>0</v>
      </c>
      <c r="K250" s="42">
        <f t="shared" si="11"/>
        <v>0</v>
      </c>
      <c r="L250" s="175"/>
    </row>
    <row r="251" spans="1:13" x14ac:dyDescent="0.25">
      <c r="A251" s="38">
        <f>Données!A251</f>
        <v>5851</v>
      </c>
      <c r="B251" s="130" t="str">
        <f>Données!B251</f>
        <v>Allaman</v>
      </c>
      <c r="C251" s="272">
        <f>VPI!R251</f>
        <v>24650.249641025639</v>
      </c>
      <c r="D251" s="150">
        <f>(PCS!I257-PCS!F257)/C251</f>
        <v>15.019502878093531</v>
      </c>
      <c r="E251" s="398">
        <f>'Péréquation directe'!E257/C251</f>
        <v>-2.2347858123647786</v>
      </c>
      <c r="F251" s="150">
        <f>'Péréquation directe'!F257/Effort!C251</f>
        <v>0</v>
      </c>
      <c r="G251" s="150">
        <f>'Péréquation directe'!G257/Effort!C251</f>
        <v>-0.30076310373409426</v>
      </c>
      <c r="H251" s="150">
        <f>'Péréquation directe'!J257/Effort!C251</f>
        <v>19.603565040505057</v>
      </c>
      <c r="I251" s="285">
        <f t="shared" si="9"/>
        <v>32.087519002499718</v>
      </c>
      <c r="J251" s="161">
        <f t="shared" si="10"/>
        <v>0</v>
      </c>
      <c r="K251" s="42">
        <f t="shared" si="11"/>
        <v>0</v>
      </c>
      <c r="L251" s="175"/>
    </row>
    <row r="252" spans="1:13" x14ac:dyDescent="0.25">
      <c r="A252" s="38">
        <f>Données!A252</f>
        <v>5852</v>
      </c>
      <c r="B252" s="130" t="str">
        <f>Données!B252</f>
        <v>Bursinel</v>
      </c>
      <c r="C252" s="272">
        <f>VPI!R252</f>
        <v>35648.966451612905</v>
      </c>
      <c r="D252" s="150">
        <f>(PCS!I258-PCS!F258)/C252</f>
        <v>17.686780656106002</v>
      </c>
      <c r="E252" s="398">
        <f>'Péréquation directe'!E258/C252</f>
        <v>-1.8506699744166342</v>
      </c>
      <c r="F252" s="150">
        <f>'Péréquation directe'!F258/Effort!C252</f>
        <v>0</v>
      </c>
      <c r="G252" s="150">
        <f>'Péréquation directe'!G258/Effort!C252</f>
        <v>0</v>
      </c>
      <c r="H252" s="150">
        <f>'Péréquation directe'!J258/Effort!C252</f>
        <v>19.603565040505057</v>
      </c>
      <c r="I252" s="285">
        <f t="shared" si="9"/>
        <v>35.439675722194423</v>
      </c>
      <c r="J252" s="161">
        <f t="shared" si="10"/>
        <v>0</v>
      </c>
      <c r="K252" s="42">
        <f t="shared" si="11"/>
        <v>0</v>
      </c>
      <c r="L252" s="175"/>
    </row>
    <row r="253" spans="1:13" x14ac:dyDescent="0.25">
      <c r="A253" s="38">
        <f>Données!A253</f>
        <v>5853</v>
      </c>
      <c r="B253" s="130" t="str">
        <f>Données!B253</f>
        <v>Bursins</v>
      </c>
      <c r="C253" s="272">
        <f>VPI!R253</f>
        <v>47535.713943661962</v>
      </c>
      <c r="D253" s="150">
        <f>(PCS!I259-PCS!F259)/C253</f>
        <v>16.258173035206948</v>
      </c>
      <c r="E253" s="398">
        <f>'Péréquation directe'!E259/C253</f>
        <v>-2.1135702419786857</v>
      </c>
      <c r="F253" s="150">
        <f>'Péréquation directe'!F259/Effort!C253</f>
        <v>0</v>
      </c>
      <c r="G253" s="150">
        <f>'Péréquation directe'!G259/Effort!C253</f>
        <v>0</v>
      </c>
      <c r="H253" s="150">
        <f>'Péréquation directe'!J259/Effort!C253</f>
        <v>19.603565040505057</v>
      </c>
      <c r="I253" s="285">
        <f t="shared" si="9"/>
        <v>33.748167833733319</v>
      </c>
      <c r="J253" s="161">
        <f t="shared" si="10"/>
        <v>0</v>
      </c>
      <c r="K253" s="42">
        <f t="shared" si="11"/>
        <v>0</v>
      </c>
      <c r="L253" s="175"/>
    </row>
    <row r="254" spans="1:13" x14ac:dyDescent="0.25">
      <c r="A254" s="38">
        <f>Données!A254</f>
        <v>5854</v>
      </c>
      <c r="B254" s="130" t="str">
        <f>Données!B254</f>
        <v>Burtigny</v>
      </c>
      <c r="C254" s="272">
        <f>VPI!R254</f>
        <v>15260.82696390658</v>
      </c>
      <c r="D254" s="150">
        <f>(PCS!I260-PCS!F260)/C254</f>
        <v>12.498350698816378</v>
      </c>
      <c r="E254" s="398">
        <f>'Péréquation directe'!E260/C254</f>
        <v>-3.5581988097011861</v>
      </c>
      <c r="F254" s="150">
        <f>'Péréquation directe'!F260/Effort!C254</f>
        <v>-7.3680609695998296</v>
      </c>
      <c r="G254" s="150">
        <f>'Péréquation directe'!G260/Effort!C254</f>
        <v>-2.133945894674377</v>
      </c>
      <c r="H254" s="150">
        <f>'Péréquation directe'!J260/Effort!C254</f>
        <v>19.603565040505057</v>
      </c>
      <c r="I254" s="285">
        <f t="shared" si="9"/>
        <v>19.041710065346042</v>
      </c>
      <c r="J254" s="161">
        <f t="shared" si="10"/>
        <v>0</v>
      </c>
      <c r="K254" s="42">
        <f t="shared" si="11"/>
        <v>0</v>
      </c>
      <c r="L254" s="175"/>
    </row>
    <row r="255" spans="1:13" x14ac:dyDescent="0.25">
      <c r="A255" s="38">
        <f>Données!A255</f>
        <v>5855</v>
      </c>
      <c r="B255" s="130" t="str">
        <f>Données!B255</f>
        <v>Dully</v>
      </c>
      <c r="C255" s="272">
        <f>VPI!R255</f>
        <v>82571.316415094334</v>
      </c>
      <c r="D255" s="150">
        <f>(PCS!I261-PCS!F261)/C255</f>
        <v>25.997620805146834</v>
      </c>
      <c r="E255" s="398">
        <f>'Péréquation directe'!E261/C255</f>
        <v>-1.0023239039728169</v>
      </c>
      <c r="F255" s="150">
        <f>'Péréquation directe'!F261/Effort!C255</f>
        <v>0</v>
      </c>
      <c r="G255" s="150">
        <f>'Péréquation directe'!G261/Effort!C255</f>
        <v>0</v>
      </c>
      <c r="H255" s="150">
        <f>'Péréquation directe'!J261/Effort!C255</f>
        <v>19.603565040505057</v>
      </c>
      <c r="I255" s="285">
        <f t="shared" si="9"/>
        <v>44.598861941679075</v>
      </c>
      <c r="J255" s="161">
        <f t="shared" si="10"/>
        <v>0</v>
      </c>
      <c r="K255" s="42">
        <f t="shared" si="11"/>
        <v>0</v>
      </c>
      <c r="L255" s="175"/>
    </row>
    <row r="256" spans="1:13" x14ac:dyDescent="0.25">
      <c r="A256" s="38">
        <f>Données!A256</f>
        <v>5856</v>
      </c>
      <c r="B256" s="130" t="str">
        <f>Données!B256</f>
        <v>Essertines-sur-Rolle</v>
      </c>
      <c r="C256" s="272">
        <f>VPI!R256</f>
        <v>36460.735639097751</v>
      </c>
      <c r="D256" s="150">
        <f>(PCS!I262-PCS!F262)/C256</f>
        <v>12.708793833021703</v>
      </c>
      <c r="E256" s="398">
        <f>'Péréquation directe'!E262/C256</f>
        <v>-2.6944140094656484</v>
      </c>
      <c r="F256" s="150">
        <f>'Péréquation directe'!F262/Effort!C256</f>
        <v>0</v>
      </c>
      <c r="G256" s="150">
        <f>'Péréquation directe'!G262/Effort!C256</f>
        <v>0</v>
      </c>
      <c r="H256" s="150">
        <f>'Péréquation directe'!J262/Effort!C256</f>
        <v>19.603565040505057</v>
      </c>
      <c r="I256" s="285">
        <f t="shared" si="9"/>
        <v>29.617944864061112</v>
      </c>
      <c r="J256" s="161">
        <f t="shared" si="10"/>
        <v>0</v>
      </c>
      <c r="K256" s="42">
        <f t="shared" si="11"/>
        <v>0</v>
      </c>
      <c r="L256" s="175"/>
    </row>
    <row r="257" spans="1:12" x14ac:dyDescent="0.25">
      <c r="A257" s="38">
        <f>Données!A257</f>
        <v>5857</v>
      </c>
      <c r="B257" s="130" t="str">
        <f>Données!B257</f>
        <v>Gilly</v>
      </c>
      <c r="C257" s="272">
        <f>VPI!R257</f>
        <v>87016.843255813976</v>
      </c>
      <c r="D257" s="150">
        <f>(PCS!I263-PCS!F263)/C257</f>
        <v>15.416307269550314</v>
      </c>
      <c r="E257" s="398">
        <f>'Péréquation directe'!E263/C257</f>
        <v>-3.3896545911967872</v>
      </c>
      <c r="F257" s="150">
        <f>'Péréquation directe'!F263/Effort!C257</f>
        <v>0</v>
      </c>
      <c r="G257" s="150">
        <f>'Péréquation directe'!G263/Effort!C257</f>
        <v>0</v>
      </c>
      <c r="H257" s="150">
        <f>'Péréquation directe'!J263/Effort!C257</f>
        <v>19.603565040505057</v>
      </c>
      <c r="I257" s="285">
        <f t="shared" si="9"/>
        <v>31.630217718858582</v>
      </c>
      <c r="J257" s="161">
        <f t="shared" si="10"/>
        <v>0</v>
      </c>
      <c r="K257" s="42">
        <f t="shared" si="11"/>
        <v>0</v>
      </c>
      <c r="L257" s="175"/>
    </row>
    <row r="258" spans="1:12" x14ac:dyDescent="0.25">
      <c r="A258" s="38">
        <f>Données!A258</f>
        <v>5858</v>
      </c>
      <c r="B258" s="130" t="str">
        <f>Données!B258</f>
        <v>Luins</v>
      </c>
      <c r="C258" s="272">
        <f>VPI!R258</f>
        <v>41161.497549857544</v>
      </c>
      <c r="D258" s="150">
        <f>(PCS!I264-PCS!F264)/C258</f>
        <v>16.582925713876939</v>
      </c>
      <c r="E258" s="398">
        <f>'Péréquation directe'!E264/C258</f>
        <v>-1.9692699103905613</v>
      </c>
      <c r="F258" s="150">
        <f>'Péréquation directe'!F264/Effort!C258</f>
        <v>0</v>
      </c>
      <c r="G258" s="150">
        <f>'Péréquation directe'!G264/Effort!C258</f>
        <v>0</v>
      </c>
      <c r="H258" s="150">
        <f>'Péréquation directe'!J264/Effort!C258</f>
        <v>19.603565040505057</v>
      </c>
      <c r="I258" s="285">
        <f t="shared" si="9"/>
        <v>34.217220843991434</v>
      </c>
      <c r="J258" s="161">
        <f t="shared" si="10"/>
        <v>0</v>
      </c>
      <c r="K258" s="42">
        <f t="shared" si="11"/>
        <v>0</v>
      </c>
      <c r="L258" s="175"/>
    </row>
    <row r="259" spans="1:12" x14ac:dyDescent="0.25">
      <c r="A259" s="38">
        <f>Données!A259</f>
        <v>5859</v>
      </c>
      <c r="B259" s="130" t="str">
        <f>Données!B259</f>
        <v>Mont-sur-Rolle</v>
      </c>
      <c r="C259" s="272">
        <f>VPI!R259</f>
        <v>158432.4612598425</v>
      </c>
      <c r="D259" s="150">
        <f>(PCS!I265-PCS!F265)/C259</f>
        <v>14.602687020383812</v>
      </c>
      <c r="E259" s="398">
        <f>'Péréquation directe'!E265/C259</f>
        <v>-4.9053136542412767</v>
      </c>
      <c r="F259" s="150">
        <f>'Péréquation directe'!F265/Effort!C259</f>
        <v>0</v>
      </c>
      <c r="G259" s="150">
        <f>'Péréquation directe'!G265/Effort!C259</f>
        <v>-1.4405769992274582</v>
      </c>
      <c r="H259" s="150">
        <f>'Péréquation directe'!J265/Effort!C259</f>
        <v>19.603565040505057</v>
      </c>
      <c r="I259" s="285">
        <f t="shared" si="9"/>
        <v>27.860361407420136</v>
      </c>
      <c r="J259" s="161">
        <f t="shared" si="10"/>
        <v>0</v>
      </c>
      <c r="K259" s="42">
        <f t="shared" si="11"/>
        <v>0</v>
      </c>
      <c r="L259" s="175"/>
    </row>
    <row r="260" spans="1:12" x14ac:dyDescent="0.25">
      <c r="A260" s="38">
        <f>Données!A260</f>
        <v>5860</v>
      </c>
      <c r="B260" s="130" t="str">
        <f>Données!B260</f>
        <v>Perroy</v>
      </c>
      <c r="C260" s="272">
        <f>VPI!R260</f>
        <v>132372.96084155163</v>
      </c>
      <c r="D260" s="150">
        <f>(PCS!I266-PCS!F266)/C260</f>
        <v>20.553745213794354</v>
      </c>
      <c r="E260" s="398">
        <f>'Péréquation directe'!E266/C260</f>
        <v>-2.4945682122873296</v>
      </c>
      <c r="F260" s="150">
        <f>'Péréquation directe'!F266/Effort!C260</f>
        <v>0</v>
      </c>
      <c r="G260" s="150">
        <f>'Péréquation directe'!G266/Effort!C260</f>
        <v>0</v>
      </c>
      <c r="H260" s="150">
        <f>'Péréquation directe'!J266/Effort!C260</f>
        <v>19.603565040505057</v>
      </c>
      <c r="I260" s="285">
        <f t="shared" si="9"/>
        <v>37.662742042012084</v>
      </c>
      <c r="J260" s="161">
        <f t="shared" si="10"/>
        <v>0</v>
      </c>
      <c r="K260" s="42">
        <f t="shared" si="11"/>
        <v>0</v>
      </c>
      <c r="L260" s="175"/>
    </row>
    <row r="261" spans="1:12" x14ac:dyDescent="0.25">
      <c r="A261" s="38">
        <f>Données!A261</f>
        <v>5861</v>
      </c>
      <c r="B261" s="130" t="str">
        <f>Données!B261</f>
        <v>Rolle</v>
      </c>
      <c r="C261" s="272">
        <f>VPI!R261</f>
        <v>796252.79529411776</v>
      </c>
      <c r="D261" s="150">
        <f>(PCS!I267-PCS!F267)/C261</f>
        <v>27.086804237237111</v>
      </c>
      <c r="E261" s="398">
        <f>'Péréquation directe'!E267/C261</f>
        <v>-3.4494530329451014</v>
      </c>
      <c r="F261" s="150">
        <f>'Péréquation directe'!F267/Effort!C261</f>
        <v>0</v>
      </c>
      <c r="G261" s="150">
        <f>'Péréquation directe'!G267/Effort!C261</f>
        <v>0</v>
      </c>
      <c r="H261" s="150">
        <f>'Péréquation directe'!J267/Effort!C261</f>
        <v>19.603565040505057</v>
      </c>
      <c r="I261" s="285">
        <f t="shared" si="9"/>
        <v>43.240916244797063</v>
      </c>
      <c r="J261" s="161">
        <f t="shared" si="10"/>
        <v>0</v>
      </c>
      <c r="K261" s="42">
        <f t="shared" si="11"/>
        <v>0</v>
      </c>
      <c r="L261" s="175"/>
    </row>
    <row r="262" spans="1:12" x14ac:dyDescent="0.25">
      <c r="A262" s="38">
        <f>Données!A262</f>
        <v>5862</v>
      </c>
      <c r="B262" s="130" t="str">
        <f>Données!B262</f>
        <v>Tartegnin</v>
      </c>
      <c r="C262" s="272">
        <f>VPI!R262</f>
        <v>10371.38594936709</v>
      </c>
      <c r="D262" s="150">
        <f>(PCS!I268-PCS!F268)/C262</f>
        <v>12.498350698816376</v>
      </c>
      <c r="E262" s="398">
        <f>'Péréquation directe'!E268/C262</f>
        <v>-3.1489842481378791</v>
      </c>
      <c r="F262" s="150">
        <f>'Péréquation directe'!F268/Effort!C262</f>
        <v>-3.7403740980650806</v>
      </c>
      <c r="G262" s="150">
        <f>'Péréquation directe'!G268/Effort!C262</f>
        <v>0</v>
      </c>
      <c r="H262" s="150">
        <f>'Péréquation directe'!J268/Effort!C262</f>
        <v>19.603565040505057</v>
      </c>
      <c r="I262" s="285">
        <f t="shared" si="9"/>
        <v>25.212557393118473</v>
      </c>
      <c r="J262" s="161">
        <f t="shared" si="10"/>
        <v>0</v>
      </c>
      <c r="K262" s="42">
        <f t="shared" si="11"/>
        <v>0</v>
      </c>
      <c r="L262" s="175"/>
    </row>
    <row r="263" spans="1:12" x14ac:dyDescent="0.25">
      <c r="A263" s="38">
        <f>Données!A263</f>
        <v>5863</v>
      </c>
      <c r="B263" s="130" t="str">
        <f>Données!B263</f>
        <v>Vinzel</v>
      </c>
      <c r="C263" s="272">
        <f>VPI!R263</f>
        <v>23660.86104477612</v>
      </c>
      <c r="D263" s="150">
        <f>(PCS!I269-PCS!F269)/C263</f>
        <v>16.188563538669928</v>
      </c>
      <c r="E263" s="398">
        <f>'Péréquation directe'!E269/C263</f>
        <v>-2.0954108668441229</v>
      </c>
      <c r="F263" s="150">
        <f>'Péréquation directe'!F269/Effort!C263</f>
        <v>0</v>
      </c>
      <c r="G263" s="150">
        <f>'Péréquation directe'!G269/Effort!C263</f>
        <v>0</v>
      </c>
      <c r="H263" s="150">
        <f>'Péréquation directe'!J269/Effort!C263</f>
        <v>19.603565040505057</v>
      </c>
      <c r="I263" s="285">
        <f t="shared" ref="I263:I305" si="12">SUM(D263:H263)</f>
        <v>33.696717712330866</v>
      </c>
      <c r="J263" s="161">
        <f t="shared" ref="J263:J305" si="13">IF(I263&gt;J$5,I263-J$5,0)</f>
        <v>0</v>
      </c>
      <c r="K263" s="42">
        <f t="shared" ref="K263:K305" si="14">-J263*C263</f>
        <v>0</v>
      </c>
      <c r="L263" s="175"/>
    </row>
    <row r="264" spans="1:12" x14ac:dyDescent="0.25">
      <c r="A264" s="38">
        <f>Données!A264</f>
        <v>5871</v>
      </c>
      <c r="B264" s="130" t="str">
        <f>Données!B264</f>
        <v>L'Abbaye</v>
      </c>
      <c r="C264" s="272">
        <f>VPI!R264</f>
        <v>50235.576326002578</v>
      </c>
      <c r="D264" s="150">
        <f>(PCS!I270-PCS!F270)/C264</f>
        <v>12.498350698816379</v>
      </c>
      <c r="E264" s="398">
        <f>'Péréquation directe'!E270/C264</f>
        <v>-6.5148123311819974</v>
      </c>
      <c r="F264" s="150">
        <f>'Péréquation directe'!F270/Effort!C264</f>
        <v>-11.036762892706548</v>
      </c>
      <c r="G264" s="150">
        <f>'Péréquation directe'!G270/Effort!C264</f>
        <v>-8.4815113205804877</v>
      </c>
      <c r="H264" s="150">
        <f>'Péréquation directe'!J270/Effort!C264</f>
        <v>19.603565040505057</v>
      </c>
      <c r="I264" s="285">
        <f t="shared" si="12"/>
        <v>6.0688291948524018</v>
      </c>
      <c r="J264" s="161">
        <f t="shared" si="13"/>
        <v>0</v>
      </c>
      <c r="K264" s="42">
        <f t="shared" si="14"/>
        <v>0</v>
      </c>
      <c r="L264" s="175"/>
    </row>
    <row r="265" spans="1:12" x14ac:dyDescent="0.25">
      <c r="A265" s="38">
        <f>Données!A265</f>
        <v>5872</v>
      </c>
      <c r="B265" s="130" t="str">
        <f>Données!B265</f>
        <v>Le Chenit</v>
      </c>
      <c r="C265" s="272">
        <f>VPI!R265</f>
        <v>316919.42630555143</v>
      </c>
      <c r="D265" s="150">
        <f>(PCS!I271-PCS!F271)/C265</f>
        <v>17.63407848020967</v>
      </c>
      <c r="E265" s="398">
        <f>'Péréquation directe'!E271/C265</f>
        <v>-5.4017706528583362</v>
      </c>
      <c r="F265" s="150">
        <f>'Péréquation directe'!F271/Effort!C265</f>
        <v>0</v>
      </c>
      <c r="G265" s="150">
        <f>'Péréquation directe'!G271/Effort!C265</f>
        <v>-3.7477420519139537</v>
      </c>
      <c r="H265" s="150">
        <f>'Péréquation directe'!J271/Effort!C265</f>
        <v>19.603565040505057</v>
      </c>
      <c r="I265" s="285">
        <f t="shared" si="12"/>
        <v>28.088130815942439</v>
      </c>
      <c r="J265" s="161">
        <f t="shared" si="13"/>
        <v>0</v>
      </c>
      <c r="K265" s="42">
        <f t="shared" si="14"/>
        <v>0</v>
      </c>
      <c r="L265" s="175"/>
    </row>
    <row r="266" spans="1:12" x14ac:dyDescent="0.25">
      <c r="A266" s="38">
        <f>Données!A266</f>
        <v>5873</v>
      </c>
      <c r="B266" s="130" t="str">
        <f>Données!B266</f>
        <v>Le Lieu</v>
      </c>
      <c r="C266" s="272">
        <f>VPI!R266</f>
        <v>35203.466500000002</v>
      </c>
      <c r="D266" s="150">
        <f>(PCS!I272-PCS!F272)/C266</f>
        <v>12.498350698816378</v>
      </c>
      <c r="E266" s="398">
        <f>'Péréquation directe'!E272/C266</f>
        <v>-3.3010813591966435</v>
      </c>
      <c r="F266" s="150">
        <f>'Péréquation directe'!F272/Effort!C266</f>
        <v>-4.0227831657872422</v>
      </c>
      <c r="G266" s="150">
        <f>'Péréquation directe'!G272/Effort!C266</f>
        <v>-18.685010557306892</v>
      </c>
      <c r="H266" s="150">
        <f>'Péréquation directe'!J272/Effort!C266</f>
        <v>19.603565040505057</v>
      </c>
      <c r="I266" s="285">
        <f t="shared" si="12"/>
        <v>6.0930406570306559</v>
      </c>
      <c r="J266" s="161">
        <f t="shared" si="13"/>
        <v>0</v>
      </c>
      <c r="K266" s="42">
        <f t="shared" si="14"/>
        <v>0</v>
      </c>
      <c r="L266" s="175"/>
    </row>
    <row r="267" spans="1:12" x14ac:dyDescent="0.25">
      <c r="A267" s="38">
        <f>Données!A267</f>
        <v>5882</v>
      </c>
      <c r="B267" s="130" t="str">
        <f>Données!B267</f>
        <v>Chardonne</v>
      </c>
      <c r="C267" s="272">
        <f>VPI!R267</f>
        <v>201755.16911764705</v>
      </c>
      <c r="D267" s="150">
        <f>(PCS!I273-PCS!F273)/C267</f>
        <v>16.404805476643801</v>
      </c>
      <c r="E267" s="398">
        <f>'Péréquation directe'!E273/C267</f>
        <v>-4.7899709964168409</v>
      </c>
      <c r="F267" s="150">
        <f>'Péréquation directe'!F273/Effort!C267</f>
        <v>0</v>
      </c>
      <c r="G267" s="150">
        <f>'Péréquation directe'!G273/Effort!C267</f>
        <v>-1.33432365827247</v>
      </c>
      <c r="H267" s="150">
        <f>'Péréquation directe'!J273/Effort!C267</f>
        <v>19.603565040505057</v>
      </c>
      <c r="I267" s="285">
        <f t="shared" si="12"/>
        <v>29.884075862459547</v>
      </c>
      <c r="J267" s="161">
        <f t="shared" si="13"/>
        <v>0</v>
      </c>
      <c r="K267" s="42">
        <f t="shared" si="14"/>
        <v>0</v>
      </c>
      <c r="L267" s="175"/>
    </row>
    <row r="268" spans="1:12" x14ac:dyDescent="0.25">
      <c r="A268" s="38">
        <f>Données!A268</f>
        <v>5883</v>
      </c>
      <c r="B268" s="130" t="str">
        <f>Données!B268</f>
        <v>Corseaux</v>
      </c>
      <c r="C268" s="272">
        <f>VPI!R268</f>
        <v>180895.17037037041</v>
      </c>
      <c r="D268" s="150">
        <f>(PCS!I274-PCS!F274)/C268</f>
        <v>20.114539742691246</v>
      </c>
      <c r="E268" s="398">
        <f>'Péréquation directe'!E274/C268</f>
        <v>-3.3785441739121564</v>
      </c>
      <c r="F268" s="150">
        <f>'Péréquation directe'!F274/Effort!C268</f>
        <v>0</v>
      </c>
      <c r="G268" s="150">
        <f>'Péréquation directe'!G274/Effort!C268</f>
        <v>0</v>
      </c>
      <c r="H268" s="150">
        <f>'Péréquation directe'!J274/Effort!C268</f>
        <v>19.603565040505057</v>
      </c>
      <c r="I268" s="285">
        <f t="shared" si="12"/>
        <v>36.339560609284149</v>
      </c>
      <c r="J268" s="161">
        <f t="shared" si="13"/>
        <v>0</v>
      </c>
      <c r="K268" s="42">
        <f t="shared" si="14"/>
        <v>0</v>
      </c>
      <c r="L268" s="175"/>
    </row>
    <row r="269" spans="1:12" x14ac:dyDescent="0.25">
      <c r="A269" s="38">
        <f>Données!A269</f>
        <v>5884</v>
      </c>
      <c r="B269" s="130" t="str">
        <f>Données!B269</f>
        <v>Corsier-sur-Vevey</v>
      </c>
      <c r="C269" s="272">
        <f>VPI!R269</f>
        <v>128040.06408268733</v>
      </c>
      <c r="D269" s="150">
        <f>(PCS!I275-PCS!F275)/C269</f>
        <v>12.498350698816378</v>
      </c>
      <c r="E269" s="398">
        <f>'Péréquation directe'!E275/C269</f>
        <v>-8.2606186463794771</v>
      </c>
      <c r="F269" s="150">
        <f>'Péréquation directe'!F275/Effort!C269</f>
        <v>-4.3066319287899839</v>
      </c>
      <c r="G269" s="150">
        <f>'Péréquation directe'!G275/Effort!C269</f>
        <v>-10.966499505326233</v>
      </c>
      <c r="H269" s="150">
        <f>'Péréquation directe'!J275/Effort!C269</f>
        <v>19.603565040505053</v>
      </c>
      <c r="I269" s="285">
        <f t="shared" si="12"/>
        <v>8.5681656588257376</v>
      </c>
      <c r="J269" s="161">
        <f t="shared" si="13"/>
        <v>0</v>
      </c>
      <c r="K269" s="42">
        <f t="shared" si="14"/>
        <v>0</v>
      </c>
      <c r="L269" s="175"/>
    </row>
    <row r="270" spans="1:12" x14ac:dyDescent="0.25">
      <c r="A270" s="38">
        <f>Données!A270</f>
        <v>5885</v>
      </c>
      <c r="B270" s="130" t="str">
        <f>Données!B270</f>
        <v>Jongny</v>
      </c>
      <c r="C270" s="272">
        <f>VPI!R270</f>
        <v>104088.6996882494</v>
      </c>
      <c r="D270" s="150">
        <f>(PCS!I276-PCS!F276)/C270</f>
        <v>14.613671756980377</v>
      </c>
      <c r="E270" s="398">
        <f>'Péréquation directe'!E276/C270</f>
        <v>-4.2309053522496249</v>
      </c>
      <c r="F270" s="150">
        <f>'Péréquation directe'!F276/Effort!C270</f>
        <v>0</v>
      </c>
      <c r="G270" s="150">
        <f>'Péréquation directe'!G276/Effort!C270</f>
        <v>-0.58967633577422851</v>
      </c>
      <c r="H270" s="150">
        <f>'Péréquation directe'!J276/Effort!C270</f>
        <v>19.603565040505057</v>
      </c>
      <c r="I270" s="285">
        <f t="shared" si="12"/>
        <v>29.39665510946158</v>
      </c>
      <c r="J270" s="161">
        <f t="shared" si="13"/>
        <v>0</v>
      </c>
      <c r="K270" s="42">
        <f t="shared" si="14"/>
        <v>0</v>
      </c>
      <c r="L270" s="175"/>
    </row>
    <row r="271" spans="1:12" x14ac:dyDescent="0.25">
      <c r="A271" s="38">
        <f>Données!A271</f>
        <v>5886</v>
      </c>
      <c r="B271" s="130" t="str">
        <f>Données!B271</f>
        <v>Montreux</v>
      </c>
      <c r="C271" s="272">
        <f>VPI!R271</f>
        <v>1153058.3310769231</v>
      </c>
      <c r="D271" s="150">
        <f>(PCS!I277-PCS!F277)/C271</f>
        <v>12.498350698816378</v>
      </c>
      <c r="E271" s="398">
        <f>'Péréquation directe'!E277/C271</f>
        <v>-19.483381191147458</v>
      </c>
      <c r="F271" s="150">
        <f>'Péréquation directe'!F277/Effort!C271</f>
        <v>-1.4100929122531036</v>
      </c>
      <c r="G271" s="150">
        <f>'Péréquation directe'!G277/Effort!C271</f>
        <v>-5.6765969805134926</v>
      </c>
      <c r="H271" s="150">
        <f>'Péréquation directe'!J277/Effort!C271</f>
        <v>19.603565040505057</v>
      </c>
      <c r="I271" s="285">
        <f t="shared" si="12"/>
        <v>5.5318446554073795</v>
      </c>
      <c r="J271" s="161">
        <f t="shared" si="13"/>
        <v>0</v>
      </c>
      <c r="K271" s="42">
        <f t="shared" si="14"/>
        <v>0</v>
      </c>
      <c r="L271" s="175"/>
    </row>
    <row r="272" spans="1:12" x14ac:dyDescent="0.25">
      <c r="A272" s="38">
        <f>Données!A272</f>
        <v>5889</v>
      </c>
      <c r="B272" s="130" t="str">
        <f>Données!B272</f>
        <v>La Tour-de-Peilz</v>
      </c>
      <c r="C272" s="272">
        <f>VPI!R272</f>
        <v>709087.81846354157</v>
      </c>
      <c r="D272" s="150">
        <f>(PCS!I278-PCS!F278)/C272</f>
        <v>14.574554729235377</v>
      </c>
      <c r="E272" s="398">
        <f>'Péréquation directe'!E278/C272</f>
        <v>-10.617439740273419</v>
      </c>
      <c r="F272" s="150">
        <f>'Péréquation directe'!F278/Effort!C272</f>
        <v>0</v>
      </c>
      <c r="G272" s="150">
        <f>'Péréquation directe'!G278/Effort!C272</f>
        <v>-1.0705190398588418</v>
      </c>
      <c r="H272" s="150">
        <f>'Péréquation directe'!J278/Effort!C272</f>
        <v>19.603565040505057</v>
      </c>
      <c r="I272" s="285">
        <f t="shared" si="12"/>
        <v>22.490160989608174</v>
      </c>
      <c r="J272" s="161">
        <f t="shared" si="13"/>
        <v>0</v>
      </c>
      <c r="K272" s="42">
        <f t="shared" si="14"/>
        <v>0</v>
      </c>
      <c r="L272" s="175"/>
    </row>
    <row r="273" spans="1:12" x14ac:dyDescent="0.25">
      <c r="A273" s="38">
        <f>Données!A273</f>
        <v>5890</v>
      </c>
      <c r="B273" s="130" t="str">
        <f>Données!B273</f>
        <v>Vevey</v>
      </c>
      <c r="C273" s="272">
        <f>VPI!R273</f>
        <v>944872.98138702475</v>
      </c>
      <c r="D273" s="150">
        <f>(PCS!I279-PCS!F279)/C273</f>
        <v>12.498350698816378</v>
      </c>
      <c r="E273" s="398">
        <f>'Péréquation directe'!E279/C273</f>
        <v>-16.385817834020649</v>
      </c>
      <c r="F273" s="150">
        <f>'Péréquation directe'!F279/Effort!C273</f>
        <v>-2.329499803774162E-2</v>
      </c>
      <c r="G273" s="150">
        <f>'Péréquation directe'!G279/Effort!C273</f>
        <v>-3.870885988051556</v>
      </c>
      <c r="H273" s="150">
        <f>'Péréquation directe'!J279/Effort!C273</f>
        <v>19.603565040505057</v>
      </c>
      <c r="I273" s="285">
        <f t="shared" si="12"/>
        <v>11.821916919211487</v>
      </c>
      <c r="J273" s="161">
        <f t="shared" si="13"/>
        <v>0</v>
      </c>
      <c r="K273" s="42">
        <f t="shared" si="14"/>
        <v>0</v>
      </c>
      <c r="L273" s="175"/>
    </row>
    <row r="274" spans="1:12" x14ac:dyDescent="0.25">
      <c r="A274" s="38">
        <f>Données!A274</f>
        <v>5891</v>
      </c>
      <c r="B274" s="130" t="str">
        <f>Données!B274</f>
        <v>Veytaux</v>
      </c>
      <c r="C274" s="272">
        <f>VPI!R274</f>
        <v>41112.713045563549</v>
      </c>
      <c r="D274" s="150">
        <f>(PCS!I280-PCS!F280)/C274</f>
        <v>12.498350698816378</v>
      </c>
      <c r="E274" s="398">
        <f>'Péréquation directe'!E280/C274</f>
        <v>-3.0945929677532029</v>
      </c>
      <c r="F274" s="150">
        <f>'Péréquation directe'!F280/Effort!C274</f>
        <v>-2.5120086901465637</v>
      </c>
      <c r="G274" s="150">
        <f>'Péréquation directe'!G280/Effort!C274</f>
        <v>-16.919801046820929</v>
      </c>
      <c r="H274" s="150">
        <f>'Péréquation directe'!J280/Effort!C274</f>
        <v>19.603565040505057</v>
      </c>
      <c r="I274" s="285">
        <f t="shared" si="12"/>
        <v>9.5755130346007391</v>
      </c>
      <c r="J274" s="161">
        <f t="shared" si="13"/>
        <v>0</v>
      </c>
      <c r="K274" s="42">
        <f t="shared" si="14"/>
        <v>0</v>
      </c>
      <c r="L274" s="175"/>
    </row>
    <row r="275" spans="1:12" x14ac:dyDescent="0.25">
      <c r="A275" s="38">
        <f>Données!A275</f>
        <v>5892</v>
      </c>
      <c r="B275" s="130" t="str">
        <f>Données!B275</f>
        <v>Blonay-St-Légier</v>
      </c>
      <c r="C275" s="272">
        <f>VPI!R275</f>
        <v>749721.2351824817</v>
      </c>
      <c r="D275" s="150">
        <f>(PCS!I281-PCS!F281)/C275</f>
        <v>16.067175008655731</v>
      </c>
      <c r="E275" s="398">
        <f>'Péréquation directe'!E281/C275</f>
        <v>-9.6543113811620795</v>
      </c>
      <c r="F275" s="150">
        <f>'Péréquation directe'!F281/Effort!C275</f>
        <v>0</v>
      </c>
      <c r="G275" s="150">
        <f>'Péréquation directe'!G281/Effort!C275</f>
        <v>-2.7200446970013101</v>
      </c>
      <c r="H275" s="150">
        <f>'Péréquation directe'!J281/Effort!C275</f>
        <v>19.603565040505057</v>
      </c>
      <c r="I275" s="285">
        <f t="shared" si="12"/>
        <v>23.296383970997397</v>
      </c>
      <c r="J275" s="161">
        <f t="shared" si="13"/>
        <v>0</v>
      </c>
      <c r="K275" s="42">
        <f t="shared" si="14"/>
        <v>0</v>
      </c>
      <c r="L275" s="175"/>
    </row>
    <row r="276" spans="1:12" x14ac:dyDescent="0.25">
      <c r="A276" s="38">
        <f>Données!A276</f>
        <v>5902</v>
      </c>
      <c r="B276" s="130" t="str">
        <f>Données!B276</f>
        <v>Belmont-sur-Yverdon</v>
      </c>
      <c r="C276" s="272">
        <f>VPI!R276</f>
        <v>11917.701714285715</v>
      </c>
      <c r="D276" s="150">
        <f>(PCS!I282-PCS!F282)/C276</f>
        <v>12.498350698816378</v>
      </c>
      <c r="E276" s="398">
        <f>'Péréquation directe'!E282/C276</f>
        <v>-4.7764491123664294</v>
      </c>
      <c r="F276" s="150">
        <f>'Péréquation directe'!F282/Effort!C276</f>
        <v>-14.558147418735988</v>
      </c>
      <c r="G276" s="150">
        <f>'Péréquation directe'!G282/Effort!C276</f>
        <v>-0.52878267163559045</v>
      </c>
      <c r="H276" s="150">
        <f>'Péréquation directe'!J282/Effort!C276</f>
        <v>19.603565040505057</v>
      </c>
      <c r="I276" s="285">
        <f t="shared" si="12"/>
        <v>12.238536536583426</v>
      </c>
      <c r="J276" s="161">
        <f t="shared" si="13"/>
        <v>0</v>
      </c>
      <c r="K276" s="42">
        <f t="shared" si="14"/>
        <v>0</v>
      </c>
      <c r="L276" s="175"/>
    </row>
    <row r="277" spans="1:12" x14ac:dyDescent="0.25">
      <c r="A277" s="38">
        <f>Données!A277</f>
        <v>5903</v>
      </c>
      <c r="B277" s="130" t="str">
        <f>Données!B277</f>
        <v>Bioley-Magnoux</v>
      </c>
      <c r="C277" s="272">
        <f>VPI!R277</f>
        <v>6275.3681349206354</v>
      </c>
      <c r="D277" s="150">
        <f>(PCS!I283-PCS!F283)/C277</f>
        <v>12.498350698816378</v>
      </c>
      <c r="E277" s="398">
        <f>'Péréquation directe'!E283/C277</f>
        <v>-5.1625667762777772</v>
      </c>
      <c r="F277" s="150">
        <f>'Péréquation directe'!F283/Effort!C277</f>
        <v>-18.318935312495892</v>
      </c>
      <c r="G277" s="150">
        <f>'Péréquation directe'!G283/Effort!C277</f>
        <v>-22.688162893386298</v>
      </c>
      <c r="H277" s="150">
        <f>'Péréquation directe'!J283/Effort!C277</f>
        <v>19.603565040505057</v>
      </c>
      <c r="I277" s="285">
        <f t="shared" si="12"/>
        <v>-14.067749242838534</v>
      </c>
      <c r="J277" s="161">
        <f t="shared" si="13"/>
        <v>0</v>
      </c>
      <c r="K277" s="42">
        <f t="shared" si="14"/>
        <v>0</v>
      </c>
      <c r="L277" s="175"/>
    </row>
    <row r="278" spans="1:12" x14ac:dyDescent="0.25">
      <c r="A278" s="38">
        <f>Données!A278</f>
        <v>5904</v>
      </c>
      <c r="B278" s="130" t="str">
        <f>Données!B278</f>
        <v>Chamblon</v>
      </c>
      <c r="C278" s="272">
        <f>VPI!R278</f>
        <v>18889.911515151514</v>
      </c>
      <c r="D278" s="150">
        <f>(PCS!I284-PCS!F284)/C278</f>
        <v>12.498350698816378</v>
      </c>
      <c r="E278" s="398">
        <f>'Péréquation directe'!E284/C278</f>
        <v>-3.9369606347027135</v>
      </c>
      <c r="F278" s="150">
        <f>'Péréquation directe'!F284/Effort!C278</f>
        <v>-7.6127722727580736</v>
      </c>
      <c r="G278" s="150">
        <f>'Péréquation directe'!G284/Effort!C278</f>
        <v>0</v>
      </c>
      <c r="H278" s="150">
        <f>'Péréquation directe'!J284/Effort!C278</f>
        <v>19.603565040505057</v>
      </c>
      <c r="I278" s="285">
        <f t="shared" si="12"/>
        <v>20.552182831860648</v>
      </c>
      <c r="J278" s="161">
        <f t="shared" si="13"/>
        <v>0</v>
      </c>
      <c r="K278" s="42">
        <f t="shared" si="14"/>
        <v>0</v>
      </c>
      <c r="L278" s="175"/>
    </row>
    <row r="279" spans="1:12" x14ac:dyDescent="0.25">
      <c r="A279" s="38">
        <f>Données!A279</f>
        <v>5905</v>
      </c>
      <c r="B279" s="130" t="str">
        <f>Données!B279</f>
        <v>Champvent</v>
      </c>
      <c r="C279" s="272">
        <f>VPI!R279</f>
        <v>21532.633285714288</v>
      </c>
      <c r="D279" s="150">
        <f>(PCS!I285-PCS!F285)/C279</f>
        <v>12.498350698816381</v>
      </c>
      <c r="E279" s="398">
        <f>'Péréquation directe'!E285/C279</f>
        <v>-4.4710224730300583</v>
      </c>
      <c r="F279" s="150">
        <f>'Péréquation directe'!F285/Effort!C279</f>
        <v>-12.377144823925736</v>
      </c>
      <c r="G279" s="150">
        <f>'Péréquation directe'!G285/Effort!C279</f>
        <v>-3.8076379942968668</v>
      </c>
      <c r="H279" s="150">
        <f>'Péréquation directe'!J285/Effort!C279</f>
        <v>19.603565040505057</v>
      </c>
      <c r="I279" s="285">
        <f t="shared" si="12"/>
        <v>11.446110448068778</v>
      </c>
      <c r="J279" s="161">
        <f t="shared" si="13"/>
        <v>0</v>
      </c>
      <c r="K279" s="42">
        <f t="shared" si="14"/>
        <v>0</v>
      </c>
      <c r="L279" s="175"/>
    </row>
    <row r="280" spans="1:12" x14ac:dyDescent="0.25">
      <c r="A280" s="38">
        <f>Données!A280</f>
        <v>5907</v>
      </c>
      <c r="B280" s="130" t="str">
        <f>Données!B280</f>
        <v>Chavannes-le-Chêne</v>
      </c>
      <c r="C280" s="272">
        <f>VPI!R280</f>
        <v>8453.4518666666645</v>
      </c>
      <c r="D280" s="150">
        <f>(PCS!I286-PCS!F286)/C280</f>
        <v>12.498350698816378</v>
      </c>
      <c r="E280" s="398">
        <f>'Péréquation directe'!E286/C280</f>
        <v>-4.9029891874140228</v>
      </c>
      <c r="F280" s="150">
        <f>'Péréquation directe'!F286/Effort!C280</f>
        <v>-17.749457653842001</v>
      </c>
      <c r="G280" s="150">
        <f>'Péréquation directe'!G286/Effort!C280</f>
        <v>-5.4036698997841919</v>
      </c>
      <c r="H280" s="150">
        <f>'Péréquation directe'!J286/Effort!C280</f>
        <v>19.603565040505057</v>
      </c>
      <c r="I280" s="285">
        <f t="shared" si="12"/>
        <v>4.0457989982812208</v>
      </c>
      <c r="J280" s="161">
        <f t="shared" si="13"/>
        <v>0</v>
      </c>
      <c r="K280" s="42">
        <f t="shared" si="14"/>
        <v>0</v>
      </c>
      <c r="L280" s="175"/>
    </row>
    <row r="281" spans="1:12" x14ac:dyDescent="0.25">
      <c r="A281" s="38">
        <f>Données!A281</f>
        <v>5908</v>
      </c>
      <c r="B281" s="130" t="str">
        <f>Données!B281</f>
        <v>Chêne-Pâquier</v>
      </c>
      <c r="C281" s="272">
        <f>VPI!R281</f>
        <v>4917.7774666666683</v>
      </c>
      <c r="D281" s="150">
        <f>(PCS!I287-PCS!F287)/C281</f>
        <v>12.498350698816379</v>
      </c>
      <c r="E281" s="398">
        <f>'Péréquation directe'!E287/C281</f>
        <v>-4.3473706472818359</v>
      </c>
      <c r="F281" s="150">
        <f>'Péréquation directe'!F287/Effort!C281</f>
        <v>-13.1948345533982</v>
      </c>
      <c r="G281" s="150">
        <f>'Péréquation directe'!G287/Effort!C281</f>
        <v>-7.9889590189833095</v>
      </c>
      <c r="H281" s="150">
        <f>'Péréquation directe'!J287/Effort!C281</f>
        <v>19.603565040505057</v>
      </c>
      <c r="I281" s="285">
        <f t="shared" si="12"/>
        <v>6.5707515196580886</v>
      </c>
      <c r="J281" s="161">
        <f t="shared" si="13"/>
        <v>0</v>
      </c>
      <c r="K281" s="42">
        <f t="shared" si="14"/>
        <v>0</v>
      </c>
      <c r="L281" s="175"/>
    </row>
    <row r="282" spans="1:12" x14ac:dyDescent="0.25">
      <c r="A282" s="38">
        <f>Données!A282</f>
        <v>5909</v>
      </c>
      <c r="B282" s="130" t="str">
        <f>Données!B282</f>
        <v>Cheseaux-Noréaz</v>
      </c>
      <c r="C282" s="272">
        <f>VPI!R282</f>
        <v>34184.486119402987</v>
      </c>
      <c r="D282" s="150">
        <f>(PCS!I288-PCS!F288)/C282</f>
        <v>12.498350698816376</v>
      </c>
      <c r="E282" s="398">
        <f>'Péréquation directe'!E288/C282</f>
        <v>-2.8162742300022323</v>
      </c>
      <c r="F282" s="150">
        <f>'Péréquation directe'!F288/Effort!C282</f>
        <v>-0.51381029202571604</v>
      </c>
      <c r="G282" s="150">
        <f>'Péréquation directe'!G288/Effort!C282</f>
        <v>-1.4958371287442007</v>
      </c>
      <c r="H282" s="150">
        <f>'Péréquation directe'!J288/Effort!C282</f>
        <v>19.603565040505057</v>
      </c>
      <c r="I282" s="285">
        <f t="shared" si="12"/>
        <v>27.275994088549282</v>
      </c>
      <c r="J282" s="161">
        <f t="shared" si="13"/>
        <v>0</v>
      </c>
      <c r="K282" s="42">
        <f t="shared" si="14"/>
        <v>0</v>
      </c>
      <c r="L282" s="175"/>
    </row>
    <row r="283" spans="1:12" x14ac:dyDescent="0.25">
      <c r="A283" s="38">
        <f>Données!A283</f>
        <v>5910</v>
      </c>
      <c r="B283" s="130" t="str">
        <f>Données!B283</f>
        <v>Cronay</v>
      </c>
      <c r="C283" s="272">
        <f>VPI!R283</f>
        <v>10619.844545454544</v>
      </c>
      <c r="D283" s="150">
        <f>(PCS!I289-PCS!F289)/C283</f>
        <v>12.498350698816376</v>
      </c>
      <c r="E283" s="398">
        <f>'Péréquation directe'!E289/C283</f>
        <v>-5.0637660674347007</v>
      </c>
      <c r="F283" s="150">
        <f>'Péréquation directe'!F289/Effort!C283</f>
        <v>-20.09789631552588</v>
      </c>
      <c r="G283" s="150">
        <f>'Péréquation directe'!G289/Effort!C283</f>
        <v>-5.1821644276269394</v>
      </c>
      <c r="H283" s="150">
        <f>'Péréquation directe'!J289/Effort!C283</f>
        <v>19.603565040505057</v>
      </c>
      <c r="I283" s="285">
        <f t="shared" si="12"/>
        <v>1.7580889287339119</v>
      </c>
      <c r="J283" s="161">
        <f t="shared" si="13"/>
        <v>0</v>
      </c>
      <c r="K283" s="42">
        <f t="shared" si="14"/>
        <v>0</v>
      </c>
      <c r="L283" s="175"/>
    </row>
    <row r="284" spans="1:12" x14ac:dyDescent="0.25">
      <c r="A284" s="38">
        <f>Données!A284</f>
        <v>5911</v>
      </c>
      <c r="B284" s="130" t="str">
        <f>Données!B284</f>
        <v>Cuarny</v>
      </c>
      <c r="C284" s="272">
        <f>VPI!R284</f>
        <v>7630.6846753246737</v>
      </c>
      <c r="D284" s="150">
        <f>(PCS!I290-PCS!F290)/C284</f>
        <v>12.498350698816376</v>
      </c>
      <c r="E284" s="398">
        <f>'Péréquation directe'!E290/C284</f>
        <v>-4.0565462562238057</v>
      </c>
      <c r="F284" s="150">
        <f>'Péréquation directe'!F290/Effort!C284</f>
        <v>-11.395098412410139</v>
      </c>
      <c r="G284" s="150">
        <f>'Péréquation directe'!G290/Effort!C284</f>
        <v>-1.0713942573697726</v>
      </c>
      <c r="H284" s="150">
        <f>'Péréquation directe'!J290/Effort!C284</f>
        <v>19.603565040505057</v>
      </c>
      <c r="I284" s="285">
        <f t="shared" si="12"/>
        <v>15.578876813317716</v>
      </c>
      <c r="J284" s="161">
        <f t="shared" si="13"/>
        <v>0</v>
      </c>
      <c r="K284" s="42">
        <f t="shared" si="14"/>
        <v>0</v>
      </c>
      <c r="L284" s="175"/>
    </row>
    <row r="285" spans="1:12" x14ac:dyDescent="0.25">
      <c r="A285" s="38">
        <f>Données!A285</f>
        <v>5912</v>
      </c>
      <c r="B285" s="130" t="str">
        <f>Données!B285</f>
        <v>Démoret</v>
      </c>
      <c r="C285" s="272">
        <f>VPI!R285</f>
        <v>3035.5676923076921</v>
      </c>
      <c r="D285" s="150">
        <f>(PCS!I291-PCS!F291)/C285</f>
        <v>12.498350698816378</v>
      </c>
      <c r="E285" s="398">
        <f>'Péréquation directe'!E291/C285</f>
        <v>-7.2157999807682751</v>
      </c>
      <c r="F285" s="150">
        <f>'Péréquation directe'!F291/Effort!C285</f>
        <v>-39.703886416246831</v>
      </c>
      <c r="G285" s="150">
        <f>'Péréquation directe'!G291/Effort!C285</f>
        <v>-4.9634271262242464</v>
      </c>
      <c r="H285" s="150">
        <f>'Péréquation directe'!J291/Effort!C285</f>
        <v>19.603565040505057</v>
      </c>
      <c r="I285" s="285">
        <f t="shared" si="12"/>
        <v>-19.781197783917921</v>
      </c>
      <c r="J285" s="161">
        <f t="shared" si="13"/>
        <v>0</v>
      </c>
      <c r="K285" s="42">
        <f t="shared" si="14"/>
        <v>0</v>
      </c>
      <c r="L285" s="175"/>
    </row>
    <row r="286" spans="1:12" s="158" customFormat="1" x14ac:dyDescent="0.25">
      <c r="A286" s="38">
        <f>Données!A286</f>
        <v>5913</v>
      </c>
      <c r="B286" s="130" t="str">
        <f>Données!B286</f>
        <v>Donneloye</v>
      </c>
      <c r="C286" s="272">
        <f>VPI!R286</f>
        <v>21868.154383561647</v>
      </c>
      <c r="D286" s="150">
        <f>(PCS!I292-PCS!F292)/C286</f>
        <v>12.498350698816378</v>
      </c>
      <c r="E286" s="398">
        <f>'Péréquation directe'!E292/C286</f>
        <v>-5.4280568183783515</v>
      </c>
      <c r="F286" s="150">
        <f>'Péréquation directe'!F292/Effort!C286</f>
        <v>-20.893131267908039</v>
      </c>
      <c r="G286" s="150">
        <f>'Péréquation directe'!G292/Effort!C286</f>
        <v>-4.2622772660408819</v>
      </c>
      <c r="H286" s="150">
        <f>'Péréquation directe'!J292/Effort!C286</f>
        <v>19.603565040505057</v>
      </c>
      <c r="I286" s="285">
        <f t="shared" si="12"/>
        <v>1.5184503869941608</v>
      </c>
      <c r="J286" s="161">
        <f t="shared" si="13"/>
        <v>0</v>
      </c>
      <c r="K286" s="42">
        <f t="shared" si="14"/>
        <v>0</v>
      </c>
      <c r="L286" s="175"/>
    </row>
    <row r="287" spans="1:12" s="158" customFormat="1" x14ac:dyDescent="0.25">
      <c r="A287" s="38">
        <f>Données!A287</f>
        <v>5914</v>
      </c>
      <c r="B287" s="130" t="str">
        <f>Données!B287</f>
        <v>Ependes</v>
      </c>
      <c r="C287" s="272">
        <f>VPI!R287</f>
        <v>9825.9911564625836</v>
      </c>
      <c r="D287" s="150">
        <f>(PCS!I293-PCS!F293)/C287</f>
        <v>12.498350698816378</v>
      </c>
      <c r="E287" s="398">
        <f>'Péréquation directe'!E293/C287</f>
        <v>-4.965631735688663</v>
      </c>
      <c r="F287" s="150">
        <f>'Péréquation directe'!F293/Effort!C287</f>
        <v>-17.539749849564306</v>
      </c>
      <c r="G287" s="150">
        <f>'Péréquation directe'!G293/Effort!C287</f>
        <v>-7.429260052725235</v>
      </c>
      <c r="H287" s="150">
        <f>'Péréquation directe'!J293/Effort!C287</f>
        <v>19.603565040505057</v>
      </c>
      <c r="I287" s="285">
        <f t="shared" si="12"/>
        <v>2.167274101343228</v>
      </c>
      <c r="J287" s="161">
        <f t="shared" si="13"/>
        <v>0</v>
      </c>
      <c r="K287" s="42">
        <f t="shared" si="14"/>
        <v>0</v>
      </c>
      <c r="L287" s="175"/>
    </row>
    <row r="288" spans="1:12" s="158" customFormat="1" x14ac:dyDescent="0.25">
      <c r="A288" s="38">
        <f>Données!A288</f>
        <v>5919</v>
      </c>
      <c r="B288" s="130" t="str">
        <f>Données!B288</f>
        <v>Mathod</v>
      </c>
      <c r="C288" s="272">
        <f>VPI!R288</f>
        <v>20853.913634259261</v>
      </c>
      <c r="D288" s="150">
        <f>(PCS!I294-PCS!F294)/C288</f>
        <v>12.498350698816378</v>
      </c>
      <c r="E288" s="398">
        <f>'Péréquation directe'!E294/C288</f>
        <v>-4.302060050014255</v>
      </c>
      <c r="F288" s="150">
        <f>'Péréquation directe'!F294/Effort!C288</f>
        <v>-11.818050799737817</v>
      </c>
      <c r="G288" s="150">
        <f>'Péréquation directe'!G294/Effort!C288</f>
        <v>-4.7057428656962221</v>
      </c>
      <c r="H288" s="150">
        <f>'Péréquation directe'!J294/Effort!C288</f>
        <v>19.603565040505057</v>
      </c>
      <c r="I288" s="285">
        <f t="shared" si="12"/>
        <v>11.276062023873141</v>
      </c>
      <c r="J288" s="161">
        <f t="shared" si="13"/>
        <v>0</v>
      </c>
      <c r="K288" s="42">
        <f t="shared" si="14"/>
        <v>0</v>
      </c>
      <c r="L288" s="175"/>
    </row>
    <row r="289" spans="1:12" s="158" customFormat="1" x14ac:dyDescent="0.25">
      <c r="A289" s="38">
        <f>Données!A289</f>
        <v>5921</v>
      </c>
      <c r="B289" s="130" t="str">
        <f>Données!B289</f>
        <v>Molondin</v>
      </c>
      <c r="C289" s="272">
        <f>VPI!R289</f>
        <v>5090.9581481481491</v>
      </c>
      <c r="D289" s="150">
        <f>(PCS!I295-PCS!F295)/C289</f>
        <v>12.498350698816379</v>
      </c>
      <c r="E289" s="398">
        <f>'Péréquation directe'!E295/C289</f>
        <v>-6.6212735951924859</v>
      </c>
      <c r="F289" s="150">
        <f>'Péréquation directe'!F295/Effort!C289</f>
        <v>-37.132237737405461</v>
      </c>
      <c r="G289" s="150">
        <f>'Péréquation directe'!G295/Effort!C289</f>
        <v>-1.8467502960782118</v>
      </c>
      <c r="H289" s="150">
        <f>'Péréquation directe'!J295/Effort!C289</f>
        <v>19.603565040505057</v>
      </c>
      <c r="I289" s="285">
        <f t="shared" si="12"/>
        <v>-13.49834588935472</v>
      </c>
      <c r="J289" s="161">
        <f t="shared" si="13"/>
        <v>0</v>
      </c>
      <c r="K289" s="42">
        <f t="shared" si="14"/>
        <v>0</v>
      </c>
      <c r="L289" s="175"/>
    </row>
    <row r="290" spans="1:12" s="158" customFormat="1" x14ac:dyDescent="0.25">
      <c r="A290" s="38">
        <f>Données!A290</f>
        <v>5922</v>
      </c>
      <c r="B290" s="130" t="str">
        <f>Données!B290</f>
        <v>Montagny-près-Yverdon</v>
      </c>
      <c r="C290" s="272">
        <f>VPI!R290</f>
        <v>39793.407325581393</v>
      </c>
      <c r="D290" s="150">
        <f>(PCS!I296-PCS!F296)/C290</f>
        <v>13.439588762796117</v>
      </c>
      <c r="E290" s="398">
        <f>'Péréquation directe'!E296/C290</f>
        <v>-2.5379761397042815</v>
      </c>
      <c r="F290" s="150">
        <f>'Péréquation directe'!F296/Effort!C290</f>
        <v>0</v>
      </c>
      <c r="G290" s="150">
        <f>'Péréquation directe'!G296/Effort!C290</f>
        <v>-4.0131717252781485</v>
      </c>
      <c r="H290" s="150">
        <f>'Péréquation directe'!J296/Effort!C290</f>
        <v>19.603565040505057</v>
      </c>
      <c r="I290" s="285">
        <f t="shared" si="12"/>
        <v>26.492005938318744</v>
      </c>
      <c r="J290" s="161">
        <f t="shared" si="13"/>
        <v>0</v>
      </c>
      <c r="K290" s="42">
        <f t="shared" si="14"/>
        <v>0</v>
      </c>
      <c r="L290" s="175"/>
    </row>
    <row r="291" spans="1:12" s="158" customFormat="1" x14ac:dyDescent="0.25">
      <c r="A291" s="38">
        <f>Données!A291</f>
        <v>5923</v>
      </c>
      <c r="B291" s="130" t="str">
        <f>Données!B291</f>
        <v>Oppens</v>
      </c>
      <c r="C291" s="272">
        <f>VPI!R291</f>
        <v>4459.1672839506173</v>
      </c>
      <c r="D291" s="150">
        <f>(PCS!I297-PCS!F297)/C291</f>
        <v>12.498350698816379</v>
      </c>
      <c r="E291" s="398">
        <f>'Péréquation directe'!E297/C291</f>
        <v>-5.941629147939488</v>
      </c>
      <c r="F291" s="150">
        <f>'Péréquation directe'!F297/Effort!C291</f>
        <v>-30.633859295727728</v>
      </c>
      <c r="G291" s="150">
        <f>'Péréquation directe'!G297/Effort!C291</f>
        <v>-9.0101522475819475</v>
      </c>
      <c r="H291" s="150">
        <f>'Péréquation directe'!J297/Effort!C291</f>
        <v>19.603565040505057</v>
      </c>
      <c r="I291" s="285">
        <f t="shared" si="12"/>
        <v>-13.48372495192773</v>
      </c>
      <c r="J291" s="161">
        <f t="shared" si="13"/>
        <v>0</v>
      </c>
      <c r="K291" s="42">
        <f t="shared" si="14"/>
        <v>0</v>
      </c>
      <c r="L291" s="175"/>
    </row>
    <row r="292" spans="1:12" s="158" customFormat="1" x14ac:dyDescent="0.25">
      <c r="A292" s="38">
        <f>Données!A292</f>
        <v>5924</v>
      </c>
      <c r="B292" s="130" t="str">
        <f>Données!B292</f>
        <v>Orges</v>
      </c>
      <c r="C292" s="272">
        <f>VPI!R292</f>
        <v>11637.444864864863</v>
      </c>
      <c r="D292" s="150">
        <f>(PCS!I298-PCS!F298)/C292</f>
        <v>12.498350698816378</v>
      </c>
      <c r="E292" s="398">
        <f>'Péréquation directe'!E298/C292</f>
        <v>-4.5871686744898836</v>
      </c>
      <c r="F292" s="150">
        <f>'Péréquation directe'!F298/Effort!C292</f>
        <v>-14.758966832096426</v>
      </c>
      <c r="G292" s="150">
        <f>'Péréquation directe'!G298/Effort!C292</f>
        <v>-2.8638409193420342</v>
      </c>
      <c r="H292" s="150">
        <f>'Péréquation directe'!J298/Effort!C292</f>
        <v>19.603565040505057</v>
      </c>
      <c r="I292" s="285">
        <f t="shared" si="12"/>
        <v>9.89193931339309</v>
      </c>
      <c r="J292" s="161">
        <f t="shared" si="13"/>
        <v>0</v>
      </c>
      <c r="K292" s="42">
        <f t="shared" si="14"/>
        <v>0</v>
      </c>
      <c r="L292" s="175"/>
    </row>
    <row r="293" spans="1:12" s="158" customFormat="1" x14ac:dyDescent="0.25">
      <c r="A293" s="38">
        <f>Données!A293</f>
        <v>5925</v>
      </c>
      <c r="B293" s="130" t="str">
        <f>Données!B293</f>
        <v>Orzens</v>
      </c>
      <c r="C293" s="272">
        <f>VPI!R293</f>
        <v>5255.7039240506319</v>
      </c>
      <c r="D293" s="150">
        <f>(PCS!I299-PCS!F299)/C293</f>
        <v>12.498350698816378</v>
      </c>
      <c r="E293" s="398">
        <f>'Péréquation directe'!E299/C293</f>
        <v>-5.2906971986995686</v>
      </c>
      <c r="F293" s="150">
        <f>'Péréquation directe'!F299/Effort!C293</f>
        <v>-23.219462746083988</v>
      </c>
      <c r="G293" s="150">
        <f>'Péréquation directe'!G299/Effort!C293</f>
        <v>-9.8087747497546918</v>
      </c>
      <c r="H293" s="150">
        <f>'Péréquation directe'!J299/Effort!C293</f>
        <v>19.603565040505057</v>
      </c>
      <c r="I293" s="285">
        <f t="shared" si="12"/>
        <v>-6.2170189552168118</v>
      </c>
      <c r="J293" s="161">
        <f t="shared" si="13"/>
        <v>0</v>
      </c>
      <c r="K293" s="42">
        <f t="shared" si="14"/>
        <v>0</v>
      </c>
      <c r="L293" s="175"/>
    </row>
    <row r="294" spans="1:12" x14ac:dyDescent="0.25">
      <c r="A294" s="38">
        <f>Données!A294</f>
        <v>5926</v>
      </c>
      <c r="B294" s="130" t="str">
        <f>Données!B294</f>
        <v>Pomy</v>
      </c>
      <c r="C294" s="272">
        <f>VPI!R294</f>
        <v>26782.091549295772</v>
      </c>
      <c r="D294" s="150">
        <f>(PCS!I300-PCS!F300)/C294</f>
        <v>12.498350698816378</v>
      </c>
      <c r="E294" s="398">
        <f>'Péréquation directe'!E300/C294</f>
        <v>-4.2509223500988806</v>
      </c>
      <c r="F294" s="150">
        <f>'Péréquation directe'!F300/Effort!C294</f>
        <v>-11.116377381605322</v>
      </c>
      <c r="G294" s="150">
        <f>'Péréquation directe'!G300/Effort!C294</f>
        <v>-1.9974822836405695</v>
      </c>
      <c r="H294" s="150">
        <f>'Péréquation directe'!J300/Effort!C294</f>
        <v>19.603565040505057</v>
      </c>
      <c r="I294" s="285">
        <f t="shared" si="12"/>
        <v>14.737133723976662</v>
      </c>
      <c r="J294" s="161">
        <f t="shared" si="13"/>
        <v>0</v>
      </c>
      <c r="K294" s="42">
        <f t="shared" si="14"/>
        <v>0</v>
      </c>
      <c r="L294" s="175"/>
    </row>
    <row r="295" spans="1:12" x14ac:dyDescent="0.25">
      <c r="A295" s="38">
        <f>Données!A295</f>
        <v>5928</v>
      </c>
      <c r="B295" s="130" t="str">
        <f>Données!B295</f>
        <v>Rovray</v>
      </c>
      <c r="C295" s="272">
        <f>VPI!R295</f>
        <v>5095.4959440559442</v>
      </c>
      <c r="D295" s="150">
        <f>(PCS!I301-PCS!F301)/C295</f>
        <v>12.498350698816378</v>
      </c>
      <c r="E295" s="398">
        <f>'Péréquation directe'!E301/C295</f>
        <v>-5.0709310211199599</v>
      </c>
      <c r="F295" s="150">
        <f>'Péréquation directe'!F301/Effort!C295</f>
        <v>-17.382688568868506</v>
      </c>
      <c r="G295" s="150">
        <f>'Péréquation directe'!G301/Effort!C295</f>
        <v>-1.1048420978100606</v>
      </c>
      <c r="H295" s="150">
        <f>'Péréquation directe'!J301/Effort!C295</f>
        <v>19.603565040505057</v>
      </c>
      <c r="I295" s="285">
        <f t="shared" si="12"/>
        <v>8.5434540515229074</v>
      </c>
      <c r="J295" s="161">
        <f t="shared" si="13"/>
        <v>0</v>
      </c>
      <c r="K295" s="42">
        <f t="shared" si="14"/>
        <v>0</v>
      </c>
      <c r="L295" s="175"/>
    </row>
    <row r="296" spans="1:12" x14ac:dyDescent="0.25">
      <c r="A296" s="38">
        <f>Données!A296</f>
        <v>5929</v>
      </c>
      <c r="B296" s="130" t="str">
        <f>Données!B296</f>
        <v>Suchy</v>
      </c>
      <c r="C296" s="272">
        <f>VPI!R296</f>
        <v>21602.649857142853</v>
      </c>
      <c r="D296" s="150">
        <f>(PCS!I302-PCS!F302)/C296</f>
        <v>12.498350698816374</v>
      </c>
      <c r="E296" s="398">
        <f>'Péréquation directe'!E302/C296</f>
        <v>-4.0740225704066297</v>
      </c>
      <c r="F296" s="150">
        <f>'Péréquation directe'!F302/Effort!C296</f>
        <v>-9.5422322582030965</v>
      </c>
      <c r="G296" s="150">
        <f>'Péréquation directe'!G302/Effort!C296</f>
        <v>-0.55494230551947776</v>
      </c>
      <c r="H296" s="150">
        <f>'Péréquation directe'!J302/Effort!C296</f>
        <v>19.603565040505057</v>
      </c>
      <c r="I296" s="285">
        <f t="shared" si="12"/>
        <v>17.930718605192226</v>
      </c>
      <c r="J296" s="161">
        <f t="shared" si="13"/>
        <v>0</v>
      </c>
      <c r="K296" s="42">
        <f t="shared" si="14"/>
        <v>0</v>
      </c>
      <c r="L296" s="175"/>
    </row>
    <row r="297" spans="1:12" x14ac:dyDescent="0.25">
      <c r="A297" s="38">
        <f>Données!A297</f>
        <v>5930</v>
      </c>
      <c r="B297" s="130" t="str">
        <f>Données!B297</f>
        <v>Suscévaz</v>
      </c>
      <c r="C297" s="272">
        <f>VPI!R297</f>
        <v>5749.1573611111107</v>
      </c>
      <c r="D297" s="150">
        <f>(PCS!I303-PCS!F303)/C297</f>
        <v>12.498350698816378</v>
      </c>
      <c r="E297" s="398">
        <f>'Péréquation directe'!E303/C297</f>
        <v>-5.0191066256081944</v>
      </c>
      <c r="F297" s="150">
        <f>'Péréquation directe'!F303/Effort!C297</f>
        <v>-17.235134520216867</v>
      </c>
      <c r="G297" s="150">
        <f>'Péréquation directe'!G303/Effort!C297</f>
        <v>-6.4605947462470041</v>
      </c>
      <c r="H297" s="150">
        <f>'Péréquation directe'!J303/Effort!C297</f>
        <v>19.603565040505057</v>
      </c>
      <c r="I297" s="285">
        <f t="shared" si="12"/>
        <v>3.3870798472493675</v>
      </c>
      <c r="J297" s="161">
        <f t="shared" si="13"/>
        <v>0</v>
      </c>
      <c r="K297" s="42">
        <f t="shared" si="14"/>
        <v>0</v>
      </c>
      <c r="L297" s="175"/>
    </row>
    <row r="298" spans="1:12" x14ac:dyDescent="0.25">
      <c r="A298" s="38">
        <f>Données!A298</f>
        <v>5931</v>
      </c>
      <c r="B298" s="130" t="str">
        <f>Données!B298</f>
        <v>Treycovagnes</v>
      </c>
      <c r="C298" s="272">
        <f>VPI!R298</f>
        <v>16306.589199999997</v>
      </c>
      <c r="D298" s="150">
        <f>(PCS!I304-PCS!F304)/C298</f>
        <v>12.498350698816378</v>
      </c>
      <c r="E298" s="398">
        <f>'Péréquation directe'!E304/C298</f>
        <v>-4.1826174999314194</v>
      </c>
      <c r="F298" s="150">
        <f>'Péréquation directe'!F304/Effort!C298</f>
        <v>-11.844288384412364</v>
      </c>
      <c r="G298" s="150">
        <f>'Péréquation directe'!G304/Effort!C298</f>
        <v>-3.1685319297629011</v>
      </c>
      <c r="H298" s="150">
        <f>'Péréquation directe'!J304/Effort!C298</f>
        <v>19.603565040505057</v>
      </c>
      <c r="I298" s="285">
        <f t="shared" si="12"/>
        <v>12.90647792521475</v>
      </c>
      <c r="J298" s="161">
        <f t="shared" si="13"/>
        <v>0</v>
      </c>
      <c r="K298" s="42">
        <f t="shared" si="14"/>
        <v>0</v>
      </c>
      <c r="L298" s="175"/>
    </row>
    <row r="299" spans="1:12" x14ac:dyDescent="0.25">
      <c r="A299" s="38">
        <f>Données!A299</f>
        <v>5932</v>
      </c>
      <c r="B299" s="130" t="str">
        <f>Données!B299</f>
        <v>Ursins</v>
      </c>
      <c r="C299" s="272">
        <f>VPI!R299</f>
        <v>7945.6270666666669</v>
      </c>
      <c r="D299" s="150">
        <f>(PCS!I305-PCS!F305)/C299</f>
        <v>12.498350698816378</v>
      </c>
      <c r="E299" s="398">
        <f>'Péréquation directe'!E305/C299</f>
        <v>-3.7967114826825692</v>
      </c>
      <c r="F299" s="150">
        <f>'Péréquation directe'!F305/Effort!C299</f>
        <v>-8.6808653993843432</v>
      </c>
      <c r="G299" s="150">
        <f>'Péréquation directe'!G305/Effort!C299</f>
        <v>-1.0278074994876076</v>
      </c>
      <c r="H299" s="150">
        <f>'Péréquation directe'!J305/Effort!C299</f>
        <v>19.603565040505057</v>
      </c>
      <c r="I299" s="285">
        <f t="shared" si="12"/>
        <v>18.596531357766914</v>
      </c>
      <c r="J299" s="161">
        <f t="shared" si="13"/>
        <v>0</v>
      </c>
      <c r="K299" s="42">
        <f t="shared" si="14"/>
        <v>0</v>
      </c>
      <c r="L299" s="175"/>
    </row>
    <row r="300" spans="1:12" x14ac:dyDescent="0.25">
      <c r="A300" s="38">
        <f>Données!A300</f>
        <v>5933</v>
      </c>
      <c r="B300" s="130" t="str">
        <f>Données!B300</f>
        <v>Valeyres-sous-Montagny</v>
      </c>
      <c r="C300" s="272">
        <f>VPI!R300</f>
        <v>23478.000425531918</v>
      </c>
      <c r="D300" s="150">
        <f>(PCS!I306-PCS!F306)/C300</f>
        <v>12.498350698816379</v>
      </c>
      <c r="E300" s="398">
        <f>'Péréquation directe'!E306/C300</f>
        <v>-3.9273730524729746</v>
      </c>
      <c r="F300" s="150">
        <f>'Péréquation directe'!F306/Effort!C300</f>
        <v>-8.6168226096318925</v>
      </c>
      <c r="G300" s="150">
        <f>'Péréquation directe'!G306/Effort!C300</f>
        <v>-14.362628392681088</v>
      </c>
      <c r="H300" s="150">
        <f>'Péréquation directe'!J306/Effort!C300</f>
        <v>19.603565040505057</v>
      </c>
      <c r="I300" s="285">
        <f t="shared" si="12"/>
        <v>5.1950916845354804</v>
      </c>
      <c r="J300" s="161">
        <f t="shared" si="13"/>
        <v>0</v>
      </c>
      <c r="K300" s="42">
        <f t="shared" si="14"/>
        <v>0</v>
      </c>
      <c r="L300" s="175"/>
    </row>
    <row r="301" spans="1:12" x14ac:dyDescent="0.25">
      <c r="A301" s="38">
        <f>Données!A301</f>
        <v>5934</v>
      </c>
      <c r="B301" s="130" t="str">
        <f>Données!B301</f>
        <v>Valeyres-sous-Ursins</v>
      </c>
      <c r="C301" s="272">
        <f>VPI!R301</f>
        <v>6917.5551948051934</v>
      </c>
      <c r="D301" s="150">
        <f>(PCS!I307-PCS!F307)/C301</f>
        <v>12.498350698816378</v>
      </c>
      <c r="E301" s="398">
        <f>'Péréquation directe'!E307/C301</f>
        <v>-4.5695385611097787</v>
      </c>
      <c r="F301" s="150">
        <f>'Péréquation directe'!F307/Effort!C301</f>
        <v>-15.827565194322329</v>
      </c>
      <c r="G301" s="150">
        <f>'Péréquation directe'!G307/Effort!C301</f>
        <v>-0.60064523378281987</v>
      </c>
      <c r="H301" s="150">
        <f>'Péréquation directe'!J307/Effort!C301</f>
        <v>19.603565040505057</v>
      </c>
      <c r="I301" s="285">
        <f t="shared" si="12"/>
        <v>11.104166750106508</v>
      </c>
      <c r="J301" s="161">
        <f t="shared" si="13"/>
        <v>0</v>
      </c>
      <c r="K301" s="42">
        <f t="shared" si="14"/>
        <v>0</v>
      </c>
      <c r="L301" s="175"/>
    </row>
    <row r="302" spans="1:12" x14ac:dyDescent="0.25">
      <c r="A302" s="38">
        <f>Données!A302</f>
        <v>5935</v>
      </c>
      <c r="B302" s="130" t="str">
        <f>Données!B302</f>
        <v>Villars-Epeney</v>
      </c>
      <c r="C302" s="272">
        <f>VPI!R302</f>
        <v>6724.3836764705884</v>
      </c>
      <c r="D302" s="150">
        <f>(PCS!I308-PCS!F308)/C302</f>
        <v>18.749556749526867</v>
      </c>
      <c r="E302" s="398">
        <f>'Péréquation directe'!E308/C302</f>
        <v>-1.7944992417184957</v>
      </c>
      <c r="F302" s="150">
        <f>'Péréquation directe'!F308/Effort!C302</f>
        <v>0</v>
      </c>
      <c r="G302" s="150">
        <f>'Péréquation directe'!G308/Effort!C302</f>
        <v>-0.48652738754051167</v>
      </c>
      <c r="H302" s="150">
        <f>'Péréquation directe'!J308/Effort!C302</f>
        <v>19.603565040505057</v>
      </c>
      <c r="I302" s="285">
        <f t="shared" si="12"/>
        <v>36.072095160772918</v>
      </c>
      <c r="J302" s="161">
        <f t="shared" si="13"/>
        <v>0</v>
      </c>
      <c r="K302" s="42">
        <f t="shared" si="14"/>
        <v>0</v>
      </c>
      <c r="L302" s="175"/>
    </row>
    <row r="303" spans="1:12" x14ac:dyDescent="0.25">
      <c r="A303" s="38">
        <f>Données!A303</f>
        <v>5937</v>
      </c>
      <c r="B303" s="130" t="str">
        <f>Données!B303</f>
        <v>Vugelles-La Mothe</v>
      </c>
      <c r="C303" s="272">
        <f>VPI!R303</f>
        <v>3343.8780000000002</v>
      </c>
      <c r="D303" s="150">
        <f>(PCS!I309-PCS!F309)/C303</f>
        <v>12.498350698816376</v>
      </c>
      <c r="E303" s="398">
        <f>'Péréquation directe'!E309/C303</f>
        <v>-5.3737576971543426</v>
      </c>
      <c r="F303" s="150">
        <f>'Péréquation directe'!F309/Effort!C303</f>
        <v>-18.823432123945206</v>
      </c>
      <c r="G303" s="150">
        <f>'Péréquation directe'!G309/Effort!C303</f>
        <v>-6.9023310709263468</v>
      </c>
      <c r="H303" s="150">
        <f>'Péréquation directe'!J309/Effort!C303</f>
        <v>19.60356504050506</v>
      </c>
      <c r="I303" s="285">
        <f t="shared" si="12"/>
        <v>1.0023948472955411</v>
      </c>
      <c r="J303" s="161">
        <f t="shared" si="13"/>
        <v>0</v>
      </c>
      <c r="K303" s="42">
        <f t="shared" si="14"/>
        <v>0</v>
      </c>
      <c r="L303" s="175"/>
    </row>
    <row r="304" spans="1:12" x14ac:dyDescent="0.25">
      <c r="A304" s="38">
        <f>Données!A304</f>
        <v>5938</v>
      </c>
      <c r="B304" s="130" t="str">
        <f>Données!B304</f>
        <v>Yverdon-les-Bains</v>
      </c>
      <c r="C304" s="272">
        <f>VPI!R304</f>
        <v>780545.69493333355</v>
      </c>
      <c r="D304" s="150">
        <f>(PCS!I310-PCS!F310)/C304</f>
        <v>12.498350698816379</v>
      </c>
      <c r="E304" s="398">
        <f>'Péréquation directe'!E310/C304</f>
        <v>-34.139907851093241</v>
      </c>
      <c r="F304" s="150">
        <f>'Péréquation directe'!F310/Effort!C304</f>
        <v>-18.712703863184839</v>
      </c>
      <c r="G304" s="150">
        <f>'Péréquation directe'!G310/Effort!C304</f>
        <v>-12.902719353683924</v>
      </c>
      <c r="H304" s="150">
        <f>'Péréquation directe'!J310/Effort!C304</f>
        <v>19.603565040505057</v>
      </c>
      <c r="I304" s="285">
        <f t="shared" si="12"/>
        <v>-33.653415328640563</v>
      </c>
      <c r="J304" s="161">
        <f t="shared" si="13"/>
        <v>0</v>
      </c>
      <c r="K304" s="42">
        <f t="shared" si="14"/>
        <v>0</v>
      </c>
      <c r="L304" s="175"/>
    </row>
    <row r="305" spans="1:14" x14ac:dyDescent="0.25">
      <c r="A305" s="38">
        <f>Données!A305</f>
        <v>5939</v>
      </c>
      <c r="B305" s="130" t="str">
        <f>Données!B305</f>
        <v>Yvonand</v>
      </c>
      <c r="C305" s="272">
        <f>VPI!R305</f>
        <v>97389.711048951052</v>
      </c>
      <c r="D305" s="152">
        <f>(PCS!I311-PCS!F311)/C305</f>
        <v>12.498350698816378</v>
      </c>
      <c r="E305" s="398">
        <f>'Péréquation directe'!E311/C305</f>
        <v>-11.74926005970366</v>
      </c>
      <c r="F305" s="150">
        <f>'Péréquation directe'!F311/Effort!C305</f>
        <v>-15.032384371585998</v>
      </c>
      <c r="G305" s="150">
        <f>'Péréquation directe'!G311/Effort!C305</f>
        <v>-5.6476361288460737</v>
      </c>
      <c r="H305" s="150">
        <f>'Péréquation directe'!J311/Effort!C305</f>
        <v>19.603565040505057</v>
      </c>
      <c r="I305" s="285">
        <f t="shared" si="12"/>
        <v>-0.32736482081429941</v>
      </c>
      <c r="J305" s="161">
        <f t="shared" si="13"/>
        <v>0</v>
      </c>
      <c r="K305" s="42">
        <f t="shared" si="14"/>
        <v>0</v>
      </c>
      <c r="L305" s="175"/>
    </row>
    <row r="306" spans="1:14" x14ac:dyDescent="0.25">
      <c r="A306" s="25"/>
      <c r="B306" s="134">
        <f>COUNTA(B6:B305)</f>
        <v>300</v>
      </c>
      <c r="C306" s="61">
        <f>SUM(C6:C305)</f>
        <v>39802348.273186527</v>
      </c>
      <c r="D306" s="62">
        <f>(PCS!I312-PCS!F312)/C306</f>
        <v>15.656847670839914</v>
      </c>
      <c r="E306" s="62">
        <f>'Péréquation directe'!E312/C306</f>
        <v>-11.755430399425922</v>
      </c>
      <c r="F306" s="62">
        <f>'Péréquation directe'!F312/Effort!C306</f>
        <v>-3.413815380711414</v>
      </c>
      <c r="G306" s="62">
        <f>'Péréquation directe'!G312/Effort!C306</f>
        <v>-4.4999999999999991</v>
      </c>
      <c r="H306" s="62">
        <f>'Péréquation directe'!J312/Effort!C306</f>
        <v>19.603565040505057</v>
      </c>
      <c r="I306" s="270">
        <f t="shared" ref="I306" si="15">SUM(D306:H306)</f>
        <v>15.591166931207635</v>
      </c>
      <c r="J306" s="326">
        <f t="shared" ref="J306" si="16">IF(I306&gt;J$5,J$5-I306,0)</f>
        <v>0</v>
      </c>
      <c r="K306" s="30">
        <f>SUM(K6:K305)</f>
        <v>-2728120.6449110564</v>
      </c>
      <c r="L306" s="13"/>
      <c r="M306" s="10"/>
      <c r="N306" s="10"/>
    </row>
    <row r="307" spans="1:14" x14ac:dyDescent="0.25">
      <c r="I307" s="5"/>
    </row>
    <row r="310" spans="1:14" x14ac:dyDescent="0.25">
      <c r="H310" s="23"/>
      <c r="I310" s="23"/>
    </row>
    <row r="312" spans="1:14" x14ac:dyDescent="0.25">
      <c r="I312" s="23"/>
    </row>
  </sheetData>
  <sheetProtection sheet="1" objects="1" scenarios="1"/>
  <mergeCells count="10">
    <mergeCell ref="C4:C5"/>
    <mergeCell ref="B4:B5"/>
    <mergeCell ref="A4:A5"/>
    <mergeCell ref="K4:K5"/>
    <mergeCell ref="I4:I5"/>
    <mergeCell ref="E4:E5"/>
    <mergeCell ref="D4:D5"/>
    <mergeCell ref="F4:F5"/>
    <mergeCell ref="H4:H5"/>
    <mergeCell ref="G4:G5"/>
  </mergeCells>
  <phoneticPr fontId="0" type="noConversion"/>
  <conditionalFormatting sqref="D6:I306">
    <cfRule type="cellIs" dxfId="10" priority="5" operator="lessThan">
      <formula>0</formula>
    </cfRule>
    <cfRule type="cellIs" dxfId="9" priority="6" operator="greaterThan">
      <formula>0</formula>
    </cfRule>
  </conditionalFormatting>
  <conditionalFormatting sqref="J5">
    <cfRule type="cellIs" dxfId="8" priority="1" operator="lessThan">
      <formula>0</formula>
    </cfRule>
    <cfRule type="cellIs" dxfId="7" priority="2" operator="greaterThan">
      <formula>0</formula>
    </cfRule>
  </conditionalFormatting>
  <hyperlinks>
    <hyperlink ref="C1" location="DT!A1" display="← Précédent" xr:uid="{0324FF71-E272-4507-A06C-68FB6D7F6A39}"/>
    <hyperlink ref="E1" location="Aide!A1" display="Suivant →" xr:uid="{714C2376-5506-440A-A3BB-74D004A26952}"/>
    <hyperlink ref="D1" location="'Table des matières'!A1" display="Table des             matières" xr:uid="{F4DD9665-E693-4988-9116-9650F129F802}"/>
  </hyperlinks>
  <printOptions horizontalCentered="1"/>
  <pageMargins left="0" right="0" top="0" bottom="0" header="0.51181102362204722" footer="0.51181102362204722"/>
  <pageSetup paperSize="9" scale="64" orientation="portrait" horizontalDpi="4294967292" verticalDpi="4294967292"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theme="6" tint="0.39997558519241921"/>
  </sheetPr>
  <dimension ref="A1:Y308"/>
  <sheetViews>
    <sheetView workbookViewId="0">
      <pane ySplit="5" topLeftCell="A6" activePane="bottomLeft" state="frozen"/>
      <selection pane="bottomLeft" activeCell="A6" sqref="A6"/>
    </sheetView>
  </sheetViews>
  <sheetFormatPr baseColWidth="10" defaultColWidth="10.75" defaultRowHeight="15" x14ac:dyDescent="0.25"/>
  <cols>
    <col min="1" max="1" width="7.25" style="11" customWidth="1"/>
    <col min="2" max="2" width="22.75" style="11" customWidth="1"/>
    <col min="3" max="3" width="16" style="11" customWidth="1"/>
    <col min="4" max="4" width="13.375" style="11" customWidth="1"/>
    <col min="5" max="6" width="13" style="11" customWidth="1"/>
    <col min="7" max="7" width="24.375" style="11" customWidth="1"/>
    <col min="8" max="8" width="9.875" style="11" bestFit="1" customWidth="1"/>
    <col min="9" max="9" width="10" style="11" customWidth="1"/>
    <col min="10" max="10" width="12.875" style="11" customWidth="1"/>
    <col min="11" max="14" width="12.125" style="11" customWidth="1"/>
    <col min="15" max="17" width="8.125" style="11" customWidth="1"/>
    <col min="18" max="16384" width="10.75" style="11"/>
  </cols>
  <sheetData>
    <row r="1" spans="1:25" s="220" customFormat="1" ht="26.25" x14ac:dyDescent="0.4">
      <c r="A1" s="207" t="s">
        <v>400</v>
      </c>
      <c r="B1" s="212"/>
      <c r="C1" s="314" t="s">
        <v>403</v>
      </c>
      <c r="D1" s="230" t="s">
        <v>395</v>
      </c>
      <c r="E1" s="389" t="s">
        <v>404</v>
      </c>
      <c r="G1" s="216"/>
      <c r="H1" s="216"/>
      <c r="I1" s="216"/>
      <c r="J1" s="216"/>
      <c r="L1" s="223"/>
      <c r="N1" s="214"/>
      <c r="O1" s="214"/>
      <c r="P1" s="214"/>
      <c r="Q1" s="214"/>
      <c r="R1" s="214"/>
      <c r="Y1" s="214"/>
    </row>
    <row r="2" spans="1:25" s="33" customFormat="1" ht="15.75" x14ac:dyDescent="0.25">
      <c r="A2" s="278" t="str">
        <f>Paramètres!B4</f>
        <v>Acomptes 2024</v>
      </c>
      <c r="B2" s="32"/>
      <c r="C2" s="160"/>
      <c r="D2" s="160"/>
      <c r="E2" s="160"/>
      <c r="F2" s="160"/>
      <c r="G2" s="160"/>
      <c r="H2" s="160"/>
      <c r="I2" s="160"/>
      <c r="J2" s="160"/>
      <c r="L2" s="43"/>
      <c r="N2" s="158"/>
      <c r="O2" s="158"/>
      <c r="P2" s="158"/>
      <c r="Q2" s="158"/>
      <c r="R2" s="158"/>
      <c r="Y2" s="158"/>
    </row>
    <row r="4" spans="1:25" ht="45" customHeight="1" x14ac:dyDescent="0.25">
      <c r="A4" s="701" t="s">
        <v>44</v>
      </c>
      <c r="B4" s="701" t="s">
        <v>84</v>
      </c>
      <c r="C4" s="701" t="s">
        <v>410</v>
      </c>
      <c r="D4" s="701" t="s">
        <v>432</v>
      </c>
      <c r="E4" s="386" t="s">
        <v>424</v>
      </c>
      <c r="F4" s="387" t="s">
        <v>501</v>
      </c>
      <c r="G4" s="701" t="s">
        <v>531</v>
      </c>
      <c r="H4" s="386" t="s">
        <v>430</v>
      </c>
      <c r="I4" s="701" t="s">
        <v>558</v>
      </c>
    </row>
    <row r="5" spans="1:25" x14ac:dyDescent="0.25">
      <c r="A5" s="702"/>
      <c r="B5" s="703"/>
      <c r="C5" s="702"/>
      <c r="D5" s="702"/>
      <c r="E5" s="399" t="s">
        <v>487</v>
      </c>
      <c r="F5" s="363" t="s">
        <v>488</v>
      </c>
      <c r="G5" s="703"/>
      <c r="H5" s="270">
        <f>-Paramètres!B45</f>
        <v>-10</v>
      </c>
      <c r="I5" s="702"/>
    </row>
    <row r="6" spans="1:25" x14ac:dyDescent="0.25">
      <c r="A6" s="36">
        <f>Données!A6</f>
        <v>5401</v>
      </c>
      <c r="B6" s="130" t="str">
        <f>Données!B6</f>
        <v>Aigle</v>
      </c>
      <c r="C6" s="271">
        <f>VPI!R6</f>
        <v>294617.5415151515</v>
      </c>
      <c r="D6" s="151">
        <f>Effort!I6-IF(PCS!I12&lt;0, Effort!D6, 0)</f>
        <v>-15.135776812337713</v>
      </c>
      <c r="E6" s="397">
        <f>IF(PCS!I12&lt;0, 0, PCS!F12/Aide!C6)</f>
        <v>4.5726436995969486</v>
      </c>
      <c r="F6" s="397">
        <f>Effort!G6</f>
        <v>-12.796248629371171</v>
      </c>
      <c r="G6" s="327">
        <f>D6+E6-F6</f>
        <v>2.2331155166304058</v>
      </c>
      <c r="H6" s="161">
        <f>IF(G6&lt;H$5,G6-H$5,0)</f>
        <v>0</v>
      </c>
      <c r="I6" s="63">
        <f t="shared" ref="I6" si="0">-H6*C6</f>
        <v>0</v>
      </c>
      <c r="J6" s="29"/>
    </row>
    <row r="7" spans="1:25" x14ac:dyDescent="0.25">
      <c r="A7" s="38">
        <f>Données!A7</f>
        <v>5402</v>
      </c>
      <c r="B7" s="130" t="str">
        <f>Données!B7</f>
        <v>Bex</v>
      </c>
      <c r="C7" s="272">
        <f>VPI!R7</f>
        <v>191952.18042253522</v>
      </c>
      <c r="D7" s="150">
        <f>Effort!I7-IF(PCS!I13&lt;0, Effort!D7, 0)</f>
        <v>-24.025519280498617</v>
      </c>
      <c r="E7" s="398">
        <f>IF(PCS!I13&lt;0, 0, PCS!F13/Aide!C7)</f>
        <v>4.7949881734812729</v>
      </c>
      <c r="F7" s="398">
        <f>Effort!G7</f>
        <v>-15.012343512356098</v>
      </c>
      <c r="G7" s="285">
        <f t="shared" ref="G7:G70" si="1">D7+E7-F7</f>
        <v>-4.2181875946612468</v>
      </c>
      <c r="H7" s="161">
        <f t="shared" ref="H7:H70" si="2">IF(G7&lt;H$5,G7-H$5,0)</f>
        <v>0</v>
      </c>
      <c r="I7" s="42">
        <f t="shared" ref="I7:I70" si="3">-H7*C7</f>
        <v>0</v>
      </c>
      <c r="J7" s="29"/>
    </row>
    <row r="8" spans="1:25" x14ac:dyDescent="0.25">
      <c r="A8" s="38">
        <f>Données!A8</f>
        <v>5403</v>
      </c>
      <c r="B8" s="130" t="str">
        <f>Données!B8</f>
        <v>Chessel</v>
      </c>
      <c r="C8" s="272">
        <f>VPI!R8</f>
        <v>13520.577538461539</v>
      </c>
      <c r="D8" s="150">
        <f>Effort!I8-IF(PCS!I14&lt;0, Effort!D8, 0)</f>
        <v>10.60841149764919</v>
      </c>
      <c r="E8" s="398">
        <f>IF(PCS!I14&lt;0, 0, PCS!F14/Aide!C8)</f>
        <v>1.2104900810222559</v>
      </c>
      <c r="F8" s="398">
        <f>Effort!G8</f>
        <v>-1.6906119857849957</v>
      </c>
      <c r="G8" s="285">
        <f t="shared" si="1"/>
        <v>13.509513564456441</v>
      </c>
      <c r="H8" s="161">
        <f t="shared" si="2"/>
        <v>0</v>
      </c>
      <c r="I8" s="42">
        <f t="shared" si="3"/>
        <v>0</v>
      </c>
      <c r="J8" s="29"/>
    </row>
    <row r="9" spans="1:25" x14ac:dyDescent="0.25">
      <c r="A9" s="38">
        <f>Données!A9</f>
        <v>5404</v>
      </c>
      <c r="B9" s="130" t="str">
        <f>Données!B9</f>
        <v>Corbeyrier</v>
      </c>
      <c r="C9" s="272">
        <f>VPI!R9</f>
        <v>11663.176261261262</v>
      </c>
      <c r="D9" s="150">
        <f>Effort!I9-IF(PCS!I15&lt;0, Effort!D9, 0)</f>
        <v>-6.9038144629771665</v>
      </c>
      <c r="E9" s="398">
        <f>IF(PCS!I15&lt;0, 0, PCS!F15/Aide!C9)</f>
        <v>8.9659435523862676</v>
      </c>
      <c r="F9" s="398">
        <f>Effort!G9</f>
        <v>-16.417797349495675</v>
      </c>
      <c r="G9" s="285">
        <f t="shared" si="1"/>
        <v>18.479926438904776</v>
      </c>
      <c r="H9" s="161">
        <f t="shared" si="2"/>
        <v>0</v>
      </c>
      <c r="I9" s="42">
        <f t="shared" si="3"/>
        <v>0</v>
      </c>
      <c r="J9" s="29"/>
    </row>
    <row r="10" spans="1:25" x14ac:dyDescent="0.25">
      <c r="A10" s="38">
        <f>Données!A10</f>
        <v>5405</v>
      </c>
      <c r="B10" s="130" t="str">
        <f>Données!B10</f>
        <v>Gryon</v>
      </c>
      <c r="C10" s="272">
        <f>VPI!R10</f>
        <v>73284.694739229046</v>
      </c>
      <c r="D10" s="150">
        <f>Effort!I10-IF(PCS!I16&lt;0, Effort!D10, 0)</f>
        <v>21.540586990596729</v>
      </c>
      <c r="E10" s="398">
        <f>IF(PCS!I16&lt;0, 0, PCS!F16/Aide!C10)</f>
        <v>8.0966305053376555</v>
      </c>
      <c r="F10" s="398">
        <f>Effort!G10</f>
        <v>-8.173947890178356</v>
      </c>
      <c r="G10" s="285">
        <f t="shared" si="1"/>
        <v>37.811165386112741</v>
      </c>
      <c r="H10" s="161">
        <f t="shared" si="2"/>
        <v>0</v>
      </c>
      <c r="I10" s="42">
        <f t="shared" si="3"/>
        <v>0</v>
      </c>
      <c r="J10" s="29"/>
    </row>
    <row r="11" spans="1:25" x14ac:dyDescent="0.25">
      <c r="A11" s="38">
        <f>Données!A11</f>
        <v>5406</v>
      </c>
      <c r="B11" s="130" t="str">
        <f>Données!B11</f>
        <v>Lavey-Morcles</v>
      </c>
      <c r="C11" s="272">
        <f>VPI!R11</f>
        <v>22110.99022054868</v>
      </c>
      <c r="D11" s="150">
        <f>Effort!I11-IF(PCS!I17&lt;0, Effort!D11, 0)</f>
        <v>-4.2558680935427127</v>
      </c>
      <c r="E11" s="398">
        <f>IF(PCS!I17&lt;0, 0, PCS!F17/Aide!C11)</f>
        <v>7.5685818830707827</v>
      </c>
      <c r="F11" s="398">
        <f>Effort!G11</f>
        <v>-7.6808090173622769</v>
      </c>
      <c r="G11" s="285">
        <f t="shared" si="1"/>
        <v>10.993522806890347</v>
      </c>
      <c r="H11" s="161">
        <f t="shared" si="2"/>
        <v>0</v>
      </c>
      <c r="I11" s="42">
        <f t="shared" si="3"/>
        <v>0</v>
      </c>
      <c r="J11" s="29"/>
    </row>
    <row r="12" spans="1:25" x14ac:dyDescent="0.25">
      <c r="A12" s="38">
        <f>Données!A12</f>
        <v>5407</v>
      </c>
      <c r="B12" s="130" t="str">
        <f>Données!B12</f>
        <v>Leysin</v>
      </c>
      <c r="C12" s="272">
        <f>VPI!R12</f>
        <v>89840.418034188027</v>
      </c>
      <c r="D12" s="150">
        <f>Effort!I12-IF(PCS!I18&lt;0, Effort!D12, 0)</f>
        <v>-23.669311254546809</v>
      </c>
      <c r="E12" s="398">
        <f>IF(PCS!I18&lt;0, 0, PCS!F18/Aide!C12)</f>
        <v>5.2945003530481287</v>
      </c>
      <c r="F12" s="398">
        <f>Effort!G12</f>
        <v>-17.619686052440628</v>
      </c>
      <c r="G12" s="285">
        <f t="shared" si="1"/>
        <v>-0.75512484905805266</v>
      </c>
      <c r="H12" s="161">
        <f t="shared" si="2"/>
        <v>0</v>
      </c>
      <c r="I12" s="42">
        <f t="shared" si="3"/>
        <v>0</v>
      </c>
      <c r="J12" s="29"/>
    </row>
    <row r="13" spans="1:25" x14ac:dyDescent="0.25">
      <c r="A13" s="38">
        <f>Données!A13</f>
        <v>5408</v>
      </c>
      <c r="B13" s="130" t="str">
        <f>Données!B13</f>
        <v>Noville</v>
      </c>
      <c r="C13" s="272">
        <f>VPI!R13</f>
        <v>41970.812088888903</v>
      </c>
      <c r="D13" s="150">
        <f>Effort!I13-IF(PCS!I19&lt;0, Effort!D13, 0)</f>
        <v>16.943414432883543</v>
      </c>
      <c r="E13" s="398">
        <f>IF(PCS!I19&lt;0, 0, PCS!F19/Aide!C13)</f>
        <v>3.0490615651889761</v>
      </c>
      <c r="F13" s="398">
        <f>Effort!G13</f>
        <v>-3.0500818803706577</v>
      </c>
      <c r="G13" s="285">
        <f t="shared" si="1"/>
        <v>23.042557878443176</v>
      </c>
      <c r="H13" s="161">
        <f t="shared" si="2"/>
        <v>0</v>
      </c>
      <c r="I13" s="42">
        <f t="shared" si="3"/>
        <v>0</v>
      </c>
      <c r="J13" s="29"/>
    </row>
    <row r="14" spans="1:25" x14ac:dyDescent="0.25">
      <c r="A14" s="38">
        <f>Données!A14</f>
        <v>5409</v>
      </c>
      <c r="B14" s="130" t="str">
        <f>Données!B14</f>
        <v>Ollon</v>
      </c>
      <c r="C14" s="272">
        <f>VPI!R14</f>
        <v>405929.69030542986</v>
      </c>
      <c r="D14" s="150">
        <f>Effort!I14-IF(PCS!I20&lt;0, Effort!D14, 0)</f>
        <v>14.971493941441006</v>
      </c>
      <c r="E14" s="398">
        <f>IF(PCS!I20&lt;0, 0, PCS!F20/Aide!C14)</f>
        <v>6.023686425006721</v>
      </c>
      <c r="F14" s="398">
        <f>Effort!G14</f>
        <v>-8.6233508752991828</v>
      </c>
      <c r="G14" s="285">
        <f t="shared" si="1"/>
        <v>29.618531241746908</v>
      </c>
      <c r="H14" s="161">
        <f t="shared" si="2"/>
        <v>0</v>
      </c>
      <c r="I14" s="42">
        <f t="shared" si="3"/>
        <v>0</v>
      </c>
      <c r="J14" s="29"/>
    </row>
    <row r="15" spans="1:25" x14ac:dyDescent="0.25">
      <c r="A15" s="38">
        <f>Données!A15</f>
        <v>5410</v>
      </c>
      <c r="B15" s="130" t="str">
        <f>Données!B15</f>
        <v>Ormont-Dessous</v>
      </c>
      <c r="C15" s="272">
        <f>VPI!R15</f>
        <v>38412.928528138524</v>
      </c>
      <c r="D15" s="150">
        <f>Effort!I15-IF(PCS!I21&lt;0, Effort!D15, 0)</f>
        <v>-7.5556395172829696</v>
      </c>
      <c r="E15" s="398">
        <f>IF(PCS!I21&lt;0, 0, PCS!F21/Aide!C15)</f>
        <v>6.7344245781860455</v>
      </c>
      <c r="F15" s="398">
        <f>Effort!G15</f>
        <v>-23.441923801444322</v>
      </c>
      <c r="G15" s="285">
        <f t="shared" si="1"/>
        <v>22.620708862347399</v>
      </c>
      <c r="H15" s="161">
        <f t="shared" si="2"/>
        <v>0</v>
      </c>
      <c r="I15" s="42">
        <f t="shared" si="3"/>
        <v>0</v>
      </c>
      <c r="J15" s="29"/>
    </row>
    <row r="16" spans="1:25" x14ac:dyDescent="0.25">
      <c r="A16" s="38">
        <f>Données!A16</f>
        <v>5411</v>
      </c>
      <c r="B16" s="130" t="str">
        <f>Données!B16</f>
        <v>Ormont-Dessus</v>
      </c>
      <c r="C16" s="272">
        <f>VPI!R16</f>
        <v>76159.947763157907</v>
      </c>
      <c r="D16" s="150">
        <f>Effort!I16-IF(PCS!I22&lt;0, Effort!D16, 0)</f>
        <v>20.894006717736751</v>
      </c>
      <c r="E16" s="398">
        <f>IF(PCS!I22&lt;0, 0, PCS!F22/Aide!C16)</f>
        <v>7.8905979803035793</v>
      </c>
      <c r="F16" s="398">
        <f>Effort!G16</f>
        <v>-9.010927608604625</v>
      </c>
      <c r="G16" s="285">
        <f t="shared" si="1"/>
        <v>37.795532306644958</v>
      </c>
      <c r="H16" s="161">
        <f t="shared" si="2"/>
        <v>0</v>
      </c>
      <c r="I16" s="42">
        <f t="shared" si="3"/>
        <v>0</v>
      </c>
      <c r="J16" s="29"/>
    </row>
    <row r="17" spans="1:10" x14ac:dyDescent="0.25">
      <c r="A17" s="38">
        <f>Données!A17</f>
        <v>5412</v>
      </c>
      <c r="B17" s="130" t="str">
        <f>Données!B17</f>
        <v>Rennaz</v>
      </c>
      <c r="C17" s="272">
        <f>VPI!R17</f>
        <v>32236.510434782613</v>
      </c>
      <c r="D17" s="150">
        <f>Effort!I17-IF(PCS!I23&lt;0, Effort!D17, 0)</f>
        <v>19.240176523980942</v>
      </c>
      <c r="E17" s="398">
        <f>IF(PCS!I23&lt;0, 0, PCS!F23/Aide!C17)</f>
        <v>13.235711751841084</v>
      </c>
      <c r="F17" s="398">
        <f>Effort!G17</f>
        <v>-1.8513209582784114</v>
      </c>
      <c r="G17" s="285">
        <f t="shared" si="1"/>
        <v>34.327209234100444</v>
      </c>
      <c r="H17" s="161">
        <f t="shared" si="2"/>
        <v>0</v>
      </c>
      <c r="I17" s="42">
        <f t="shared" si="3"/>
        <v>0</v>
      </c>
      <c r="J17" s="29"/>
    </row>
    <row r="18" spans="1:10" x14ac:dyDescent="0.25">
      <c r="A18" s="38">
        <f>Données!A18</f>
        <v>5413</v>
      </c>
      <c r="B18" s="130" t="str">
        <f>Données!B18</f>
        <v>Roche</v>
      </c>
      <c r="C18" s="272">
        <f>VPI!R18</f>
        <v>42591.589534313724</v>
      </c>
      <c r="D18" s="150">
        <f>Effort!I18-IF(PCS!I24&lt;0, Effort!D18, 0)</f>
        <v>-3.1514181529651992</v>
      </c>
      <c r="E18" s="398">
        <f>IF(PCS!I24&lt;0, 0, PCS!F24/Aide!C18)</f>
        <v>9.5091366494717509</v>
      </c>
      <c r="F18" s="398">
        <f>Effort!G18</f>
        <v>-2.2586016649453184</v>
      </c>
      <c r="G18" s="285">
        <f t="shared" si="1"/>
        <v>8.6163201614518705</v>
      </c>
      <c r="H18" s="161">
        <f t="shared" si="2"/>
        <v>0</v>
      </c>
      <c r="I18" s="42">
        <f t="shared" si="3"/>
        <v>0</v>
      </c>
      <c r="J18" s="29"/>
    </row>
    <row r="19" spans="1:10" x14ac:dyDescent="0.25">
      <c r="A19" s="38">
        <f>Données!A19</f>
        <v>5414</v>
      </c>
      <c r="B19" s="130" t="str">
        <f>Données!B19</f>
        <v>Villeneuve</v>
      </c>
      <c r="C19" s="272">
        <f>VPI!R19</f>
        <v>165869.64903703702</v>
      </c>
      <c r="D19" s="150">
        <f>Effort!I19-IF(PCS!I25&lt;0, Effort!D19, 0)</f>
        <v>-7.8442418325043519</v>
      </c>
      <c r="E19" s="398">
        <f>IF(PCS!I25&lt;0, 0, PCS!F25/Aide!C19)</f>
        <v>6.3871312874330606</v>
      </c>
      <c r="F19" s="398">
        <f>Effort!G19</f>
        <v>-11.470670679900159</v>
      </c>
      <c r="G19" s="285">
        <f t="shared" si="1"/>
        <v>10.013560134828868</v>
      </c>
      <c r="H19" s="161">
        <f t="shared" si="2"/>
        <v>0</v>
      </c>
      <c r="I19" s="42">
        <f t="shared" si="3"/>
        <v>0</v>
      </c>
      <c r="J19" s="29"/>
    </row>
    <row r="20" spans="1:10" x14ac:dyDescent="0.25">
      <c r="A20" s="38">
        <f>Données!A20</f>
        <v>5415</v>
      </c>
      <c r="B20" s="130" t="str">
        <f>Données!B20</f>
        <v>Yvorne</v>
      </c>
      <c r="C20" s="272">
        <f>VPI!R20</f>
        <v>33673.599766899759</v>
      </c>
      <c r="D20" s="150">
        <f>Effort!I20-IF(PCS!I26&lt;0, Effort!D20, 0)</f>
        <v>5.3353919732470025</v>
      </c>
      <c r="E20" s="398">
        <f>IF(PCS!I26&lt;0, 0, PCS!F26/Aide!C20)</f>
        <v>5.7828355550930217</v>
      </c>
      <c r="F20" s="398">
        <f>Effort!G20</f>
        <v>-10.735443216863862</v>
      </c>
      <c r="G20" s="285">
        <f t="shared" si="1"/>
        <v>21.853670745203885</v>
      </c>
      <c r="H20" s="161">
        <f t="shared" si="2"/>
        <v>0</v>
      </c>
      <c r="I20" s="42">
        <f t="shared" si="3"/>
        <v>0</v>
      </c>
      <c r="J20" s="29"/>
    </row>
    <row r="21" spans="1:10" x14ac:dyDescent="0.25">
      <c r="A21" s="38">
        <f>Données!A21</f>
        <v>5422</v>
      </c>
      <c r="B21" s="130" t="str">
        <f>Données!B21</f>
        <v>Aubonne</v>
      </c>
      <c r="C21" s="272">
        <f>VPI!R21</f>
        <v>297528.5668571429</v>
      </c>
      <c r="D21" s="150">
        <f>Effort!I21-IF(PCS!I27&lt;0, Effort!D21, 0)</f>
        <v>35.707078349783906</v>
      </c>
      <c r="E21" s="398">
        <f>IF(PCS!I27&lt;0, 0, PCS!F27/Aide!C21)</f>
        <v>5.0991465660789785</v>
      </c>
      <c r="F21" s="398">
        <f>Effort!G21</f>
        <v>0</v>
      </c>
      <c r="G21" s="285">
        <f t="shared" si="1"/>
        <v>40.806224915862884</v>
      </c>
      <c r="H21" s="161">
        <f t="shared" si="2"/>
        <v>0</v>
      </c>
      <c r="I21" s="42">
        <f t="shared" si="3"/>
        <v>0</v>
      </c>
      <c r="J21" s="29"/>
    </row>
    <row r="22" spans="1:10" x14ac:dyDescent="0.25">
      <c r="A22" s="38">
        <f>Données!A22</f>
        <v>5423</v>
      </c>
      <c r="B22" s="130" t="str">
        <f>Données!B22</f>
        <v>Ballens</v>
      </c>
      <c r="C22" s="272">
        <f>VPI!R22</f>
        <v>17345.56260273973</v>
      </c>
      <c r="D22" s="150">
        <f>Effort!I22-IF(PCS!I28&lt;0, Effort!D22, 0)</f>
        <v>9.9986348232482101</v>
      </c>
      <c r="E22" s="398">
        <f>IF(PCS!I28&lt;0, 0, PCS!F28/Aide!C22)</f>
        <v>6.5480066920435451</v>
      </c>
      <c r="F22" s="398">
        <f>Effort!G22</f>
        <v>-4.2557972500528969</v>
      </c>
      <c r="G22" s="285">
        <f t="shared" si="1"/>
        <v>20.80243876534465</v>
      </c>
      <c r="H22" s="161">
        <f t="shared" si="2"/>
        <v>0</v>
      </c>
      <c r="I22" s="42">
        <f t="shared" si="3"/>
        <v>0</v>
      </c>
      <c r="J22" s="29"/>
    </row>
    <row r="23" spans="1:10" x14ac:dyDescent="0.25">
      <c r="A23" s="38">
        <f>Données!A23</f>
        <v>5424</v>
      </c>
      <c r="B23" s="130" t="str">
        <f>Données!B23</f>
        <v>Berolle</v>
      </c>
      <c r="C23" s="272">
        <f>VPI!R23</f>
        <v>10263.233774834438</v>
      </c>
      <c r="D23" s="150">
        <f>Effort!I23-IF(PCS!I29&lt;0, Effort!D23, 0)</f>
        <v>10.638092615321016</v>
      </c>
      <c r="E23" s="398">
        <f>IF(PCS!I29&lt;0, 0, PCS!F29/Aide!C23)</f>
        <v>3.755875179859852</v>
      </c>
      <c r="F23" s="398">
        <f>Effort!G23</f>
        <v>-8.1668291288942143</v>
      </c>
      <c r="G23" s="285">
        <f t="shared" si="1"/>
        <v>22.560796924075081</v>
      </c>
      <c r="H23" s="161">
        <f t="shared" si="2"/>
        <v>0</v>
      </c>
      <c r="I23" s="42">
        <f t="shared" si="3"/>
        <v>0</v>
      </c>
      <c r="J23" s="29"/>
    </row>
    <row r="24" spans="1:10" x14ac:dyDescent="0.25">
      <c r="A24" s="38">
        <f>Données!A24</f>
        <v>5425</v>
      </c>
      <c r="B24" s="130" t="str">
        <f>Données!B24</f>
        <v>Bière</v>
      </c>
      <c r="C24" s="272">
        <f>VPI!R24</f>
        <v>42246.57887556222</v>
      </c>
      <c r="D24" s="150">
        <f>Effort!I24-IF(PCS!I30&lt;0, Effort!D24, 0)</f>
        <v>-6.9072865032136193</v>
      </c>
      <c r="E24" s="398">
        <f>IF(PCS!I30&lt;0, 0, PCS!F30/Aide!C24)</f>
        <v>2.8006561276478132</v>
      </c>
      <c r="F24" s="398">
        <f>Effort!G24</f>
        <v>-12.708615406836053</v>
      </c>
      <c r="G24" s="285">
        <f t="shared" si="1"/>
        <v>8.6019850312702459</v>
      </c>
      <c r="H24" s="161">
        <f t="shared" si="2"/>
        <v>0</v>
      </c>
      <c r="I24" s="42">
        <f t="shared" si="3"/>
        <v>0</v>
      </c>
      <c r="J24" s="29"/>
    </row>
    <row r="25" spans="1:10" x14ac:dyDescent="0.25">
      <c r="A25" s="38">
        <f>Données!A25</f>
        <v>5426</v>
      </c>
      <c r="B25" s="130" t="str">
        <f>Données!B25</f>
        <v>Bougy-Villars</v>
      </c>
      <c r="C25" s="272">
        <f>VPI!R25</f>
        <v>61944.740516795857</v>
      </c>
      <c r="D25" s="150">
        <f>Effort!I25-IF(PCS!I31&lt;0, Effort!D25, 0)</f>
        <v>46.368411030367206</v>
      </c>
      <c r="E25" s="398">
        <f>IF(PCS!I31&lt;0, 0, PCS!F31/Aide!C25)</f>
        <v>5.7942501172102032</v>
      </c>
      <c r="F25" s="398">
        <f>Effort!G25</f>
        <v>0</v>
      </c>
      <c r="G25" s="285">
        <f t="shared" si="1"/>
        <v>52.16266114757741</v>
      </c>
      <c r="H25" s="161">
        <f t="shared" si="2"/>
        <v>0</v>
      </c>
      <c r="I25" s="42">
        <f t="shared" si="3"/>
        <v>0</v>
      </c>
      <c r="J25" s="29"/>
    </row>
    <row r="26" spans="1:10" x14ac:dyDescent="0.25">
      <c r="A26" s="38">
        <f>Données!A26</f>
        <v>5427</v>
      </c>
      <c r="B26" s="130" t="str">
        <f>Données!B26</f>
        <v>Féchy</v>
      </c>
      <c r="C26" s="272">
        <f>VPI!R26</f>
        <v>86921.388449519218</v>
      </c>
      <c r="D26" s="150">
        <f>Effort!I26-IF(PCS!I32&lt;0, Effort!D26, 0)</f>
        <v>41.799722617356686</v>
      </c>
      <c r="E26" s="398">
        <f>IF(PCS!I32&lt;0, 0, PCS!F32/Aide!C26)</f>
        <v>3.089687530198276</v>
      </c>
      <c r="F26" s="398">
        <f>Effort!G26</f>
        <v>0</v>
      </c>
      <c r="G26" s="285">
        <f t="shared" si="1"/>
        <v>44.889410147554962</v>
      </c>
      <c r="H26" s="161">
        <f t="shared" si="2"/>
        <v>0</v>
      </c>
      <c r="I26" s="42">
        <f t="shared" si="3"/>
        <v>0</v>
      </c>
      <c r="J26" s="29"/>
    </row>
    <row r="27" spans="1:10" x14ac:dyDescent="0.25">
      <c r="A27" s="38">
        <f>Données!A27</f>
        <v>5428</v>
      </c>
      <c r="B27" s="130" t="str">
        <f>Données!B27</f>
        <v>Gimel</v>
      </c>
      <c r="C27" s="272">
        <f>VPI!R27</f>
        <v>71357.07080536912</v>
      </c>
      <c r="D27" s="150">
        <f>Effort!I27-IF(PCS!I33&lt;0, Effort!D27, 0)</f>
        <v>1.7573643372744101</v>
      </c>
      <c r="E27" s="398">
        <f>IF(PCS!I33&lt;0, 0, PCS!F33/Aide!C27)</f>
        <v>6.2753271672455897</v>
      </c>
      <c r="F27" s="398">
        <f>Effort!G27</f>
        <v>-7.4830049417416875</v>
      </c>
      <c r="G27" s="285">
        <f t="shared" si="1"/>
        <v>15.515696446261686</v>
      </c>
      <c r="H27" s="161">
        <f t="shared" si="2"/>
        <v>0</v>
      </c>
      <c r="I27" s="42">
        <f t="shared" si="3"/>
        <v>0</v>
      </c>
      <c r="J27" s="29"/>
    </row>
    <row r="28" spans="1:10" x14ac:dyDescent="0.25">
      <c r="A28" s="38">
        <f>Données!A28</f>
        <v>5429</v>
      </c>
      <c r="B28" s="130" t="str">
        <f>Données!B28</f>
        <v>Longirod</v>
      </c>
      <c r="C28" s="272">
        <f>VPI!R28</f>
        <v>17141.954451612906</v>
      </c>
      <c r="D28" s="150">
        <f>Effort!I28-IF(PCS!I34&lt;0, Effort!D28, 0)</f>
        <v>11.79800369453759</v>
      </c>
      <c r="E28" s="398">
        <f>IF(PCS!I34&lt;0, 0, PCS!F34/Aide!C28)</f>
        <v>3.541544528738835</v>
      </c>
      <c r="F28" s="398">
        <f>Effort!G28</f>
        <v>-3.8950321885403345</v>
      </c>
      <c r="G28" s="285">
        <f t="shared" si="1"/>
        <v>19.234580411816758</v>
      </c>
      <c r="H28" s="161">
        <f t="shared" si="2"/>
        <v>0</v>
      </c>
      <c r="I28" s="42">
        <f t="shared" si="3"/>
        <v>0</v>
      </c>
      <c r="J28" s="29"/>
    </row>
    <row r="29" spans="1:10" x14ac:dyDescent="0.25">
      <c r="A29" s="38">
        <f>Données!A29</f>
        <v>5430</v>
      </c>
      <c r="B29" s="130" t="str">
        <f>Données!B29</f>
        <v>Marchissy</v>
      </c>
      <c r="C29" s="272">
        <f>VPI!R29</f>
        <v>17121.702064516132</v>
      </c>
      <c r="D29" s="150">
        <f>Effort!I29-IF(PCS!I35&lt;0, Effort!D29, 0)</f>
        <v>15.323929784622843</v>
      </c>
      <c r="E29" s="398">
        <f>IF(PCS!I35&lt;0, 0, PCS!F35/Aide!C29)</f>
        <v>3.5409823609562596</v>
      </c>
      <c r="F29" s="398">
        <f>Effort!G29</f>
        <v>-3.4593177128822195</v>
      </c>
      <c r="G29" s="285">
        <f t="shared" si="1"/>
        <v>22.324229858461322</v>
      </c>
      <c r="H29" s="161">
        <f t="shared" si="2"/>
        <v>0</v>
      </c>
      <c r="I29" s="42">
        <f t="shared" si="3"/>
        <v>0</v>
      </c>
      <c r="J29" s="29"/>
    </row>
    <row r="30" spans="1:10" x14ac:dyDescent="0.25">
      <c r="A30" s="38">
        <f>Données!A30</f>
        <v>5431</v>
      </c>
      <c r="B30" s="130" t="str">
        <f>Données!B30</f>
        <v>Mollens</v>
      </c>
      <c r="C30" s="272">
        <f>VPI!R30</f>
        <v>9475.2202702702707</v>
      </c>
      <c r="D30" s="150">
        <f>Effort!I30-IF(PCS!I36&lt;0, Effort!D30, 0)</f>
        <v>7.6753841276699539</v>
      </c>
      <c r="E30" s="398">
        <f>IF(PCS!I36&lt;0, 0, PCS!F36/Aide!C30)</f>
        <v>3.0715676437957726</v>
      </c>
      <c r="F30" s="398">
        <f>Effort!G30</f>
        <v>-5.9977866871272889</v>
      </c>
      <c r="G30" s="285">
        <f t="shared" si="1"/>
        <v>16.744738458593016</v>
      </c>
      <c r="H30" s="161">
        <f t="shared" si="2"/>
        <v>0</v>
      </c>
      <c r="I30" s="42">
        <f t="shared" si="3"/>
        <v>0</v>
      </c>
      <c r="J30" s="29"/>
    </row>
    <row r="31" spans="1:10" x14ac:dyDescent="0.25">
      <c r="A31" s="38">
        <f>Données!A31</f>
        <v>5434</v>
      </c>
      <c r="B31" s="130" t="str">
        <f>Données!B31</f>
        <v>Saint-George</v>
      </c>
      <c r="C31" s="272">
        <f>VPI!R31</f>
        <v>40910.420311750597</v>
      </c>
      <c r="D31" s="150">
        <f>Effort!I31-IF(PCS!I37&lt;0, Effort!D31, 0)</f>
        <v>19.613108709374565</v>
      </c>
      <c r="E31" s="398">
        <f>IF(PCS!I37&lt;0, 0, PCS!F37/Aide!C31)</f>
        <v>8.3025462073397502</v>
      </c>
      <c r="F31" s="398">
        <f>Effort!G31</f>
        <v>-3.8093415807082329</v>
      </c>
      <c r="G31" s="285">
        <f t="shared" si="1"/>
        <v>31.724996497422548</v>
      </c>
      <c r="H31" s="161">
        <f t="shared" si="2"/>
        <v>0</v>
      </c>
      <c r="I31" s="42">
        <f t="shared" si="3"/>
        <v>0</v>
      </c>
      <c r="J31" s="29"/>
    </row>
    <row r="32" spans="1:10" x14ac:dyDescent="0.25">
      <c r="A32" s="38">
        <f>Données!A32</f>
        <v>5435</v>
      </c>
      <c r="B32" s="130" t="str">
        <f>Données!B32</f>
        <v>Saint-Livres</v>
      </c>
      <c r="C32" s="272">
        <f>VPI!R32</f>
        <v>25462.062463768114</v>
      </c>
      <c r="D32" s="150">
        <f>Effort!I32-IF(PCS!I38&lt;0, Effort!D32, 0)</f>
        <v>21.275330684664596</v>
      </c>
      <c r="E32" s="398">
        <f>IF(PCS!I38&lt;0, 0, PCS!F38/Aide!C32)</f>
        <v>7.1002064446764237</v>
      </c>
      <c r="F32" s="398">
        <f>Effort!G32</f>
        <v>-1.3198636818032494</v>
      </c>
      <c r="G32" s="285">
        <f t="shared" si="1"/>
        <v>29.695400811144268</v>
      </c>
      <c r="H32" s="161">
        <f t="shared" si="2"/>
        <v>0</v>
      </c>
      <c r="I32" s="42">
        <f t="shared" si="3"/>
        <v>0</v>
      </c>
      <c r="J32" s="29"/>
    </row>
    <row r="33" spans="1:10" x14ac:dyDescent="0.25">
      <c r="A33" s="38">
        <f>Données!A33</f>
        <v>5436</v>
      </c>
      <c r="B33" s="130" t="str">
        <f>Données!B33</f>
        <v>Saint-Oyens</v>
      </c>
      <c r="C33" s="272">
        <f>VPI!R33</f>
        <v>16425.302151898733</v>
      </c>
      <c r="D33" s="150">
        <f>Effort!I33-IF(PCS!I39&lt;0, Effort!D33, 0)</f>
        <v>20.242331957808521</v>
      </c>
      <c r="E33" s="398">
        <f>IF(PCS!I39&lt;0, 0, PCS!F39/Aide!C33)</f>
        <v>1.3399205564967858</v>
      </c>
      <c r="F33" s="398">
        <f>Effort!G33</f>
        <v>0</v>
      </c>
      <c r="G33" s="285">
        <f t="shared" si="1"/>
        <v>21.582252514305306</v>
      </c>
      <c r="H33" s="161">
        <f t="shared" si="2"/>
        <v>0</v>
      </c>
      <c r="I33" s="42">
        <f t="shared" si="3"/>
        <v>0</v>
      </c>
      <c r="J33" s="29"/>
    </row>
    <row r="34" spans="1:10" x14ac:dyDescent="0.25">
      <c r="A34" s="38">
        <f>Données!A34</f>
        <v>5437</v>
      </c>
      <c r="B34" s="130" t="str">
        <f>Données!B34</f>
        <v>Saubraz</v>
      </c>
      <c r="C34" s="272">
        <f>VPI!R34</f>
        <v>12131.165499999999</v>
      </c>
      <c r="D34" s="150">
        <f>Effort!I34-IF(PCS!I40&lt;0, Effort!D34, 0)</f>
        <v>7.2082868201300538</v>
      </c>
      <c r="E34" s="398">
        <f>IF(PCS!I40&lt;0, 0, PCS!F40/Aide!C34)</f>
        <v>6.9819589881944975</v>
      </c>
      <c r="F34" s="398">
        <f>Effort!G34</f>
        <v>-0.29560359726398261</v>
      </c>
      <c r="G34" s="285">
        <f t="shared" si="1"/>
        <v>14.485849405588533</v>
      </c>
      <c r="H34" s="161">
        <f t="shared" si="2"/>
        <v>0</v>
      </c>
      <c r="I34" s="42">
        <f t="shared" si="3"/>
        <v>0</v>
      </c>
      <c r="J34" s="29"/>
    </row>
    <row r="35" spans="1:10" x14ac:dyDescent="0.25">
      <c r="A35" s="38">
        <f>Données!A35</f>
        <v>5451</v>
      </c>
      <c r="B35" s="130" t="str">
        <f>Données!B35</f>
        <v>Avenches</v>
      </c>
      <c r="C35" s="272">
        <f>VPI!R35</f>
        <v>142603.64295739346</v>
      </c>
      <c r="D35" s="150">
        <f>Effort!I35-IF(PCS!I41&lt;0, Effort!D35, 0)</f>
        <v>0.88099313332092422</v>
      </c>
      <c r="E35" s="398">
        <f>IF(PCS!I41&lt;0, 0, PCS!F41/Aide!C35)</f>
        <v>4.2190428135118454</v>
      </c>
      <c r="F35" s="398">
        <f>Effort!G35</f>
        <v>-8.7187045037232132</v>
      </c>
      <c r="G35" s="285">
        <f t="shared" si="1"/>
        <v>13.818740450555982</v>
      </c>
      <c r="H35" s="161">
        <f t="shared" si="2"/>
        <v>0</v>
      </c>
      <c r="I35" s="42">
        <f t="shared" si="3"/>
        <v>0</v>
      </c>
      <c r="J35" s="29"/>
    </row>
    <row r="36" spans="1:10" x14ac:dyDescent="0.25">
      <c r="A36" s="38">
        <f>Données!A36</f>
        <v>5456</v>
      </c>
      <c r="B36" s="130" t="str">
        <f>Données!B36</f>
        <v>Cudrefin</v>
      </c>
      <c r="C36" s="272">
        <f>VPI!R36</f>
        <v>64059.429152542369</v>
      </c>
      <c r="D36" s="150">
        <f>Effort!I36-IF(PCS!I42&lt;0, Effort!D36, 0)</f>
        <v>17.058187557777675</v>
      </c>
      <c r="E36" s="398">
        <f>IF(PCS!I42&lt;0, 0, PCS!F42/Aide!C36)</f>
        <v>5.0533780004368403</v>
      </c>
      <c r="F36" s="398">
        <f>Effort!G36</f>
        <v>-2.3767263017065532</v>
      </c>
      <c r="G36" s="285">
        <f t="shared" si="1"/>
        <v>24.48829185992107</v>
      </c>
      <c r="H36" s="161">
        <f t="shared" si="2"/>
        <v>0</v>
      </c>
      <c r="I36" s="42">
        <f t="shared" si="3"/>
        <v>0</v>
      </c>
      <c r="J36" s="29"/>
    </row>
    <row r="37" spans="1:10" x14ac:dyDescent="0.25">
      <c r="A37" s="38">
        <f>Données!A37</f>
        <v>5458</v>
      </c>
      <c r="B37" s="130" t="str">
        <f>Données!B37</f>
        <v>Faoug</v>
      </c>
      <c r="C37" s="272">
        <f>VPI!R37</f>
        <v>32630.608820512818</v>
      </c>
      <c r="D37" s="150">
        <f>Effort!I37-IF(PCS!I43&lt;0, Effort!D37, 0)</f>
        <v>19.592811918110424</v>
      </c>
      <c r="E37" s="398">
        <f>IF(PCS!I43&lt;0, 0, PCS!F43/Aide!C37)</f>
        <v>2.4872789057180849</v>
      </c>
      <c r="F37" s="398">
        <f>Effort!G37</f>
        <v>-3.3874377341083228</v>
      </c>
      <c r="G37" s="285">
        <f t="shared" si="1"/>
        <v>25.467528557936831</v>
      </c>
      <c r="H37" s="161">
        <f t="shared" si="2"/>
        <v>0</v>
      </c>
      <c r="I37" s="42">
        <f t="shared" si="3"/>
        <v>0</v>
      </c>
      <c r="J37" s="29"/>
    </row>
    <row r="38" spans="1:10" x14ac:dyDescent="0.25">
      <c r="A38" s="38">
        <f>Données!A38</f>
        <v>5464</v>
      </c>
      <c r="B38" s="130" t="str">
        <f>Données!B38</f>
        <v>Vully-les-Lacs</v>
      </c>
      <c r="C38" s="272">
        <f>VPI!R38</f>
        <v>117932.28119402986</v>
      </c>
      <c r="D38" s="150">
        <f>Effort!I38-IF(PCS!I44&lt;0, Effort!D38, 0)</f>
        <v>11.227020478336161</v>
      </c>
      <c r="E38" s="398">
        <f>IF(PCS!I44&lt;0, 0, PCS!F44/Aide!C38)</f>
        <v>4.3955790539413577</v>
      </c>
      <c r="F38" s="398">
        <f>Effort!G38</f>
        <v>-3.2859514248827848</v>
      </c>
      <c r="G38" s="285">
        <f t="shared" si="1"/>
        <v>18.908550957160305</v>
      </c>
      <c r="H38" s="161">
        <f t="shared" si="2"/>
        <v>0</v>
      </c>
      <c r="I38" s="42">
        <f t="shared" si="3"/>
        <v>0</v>
      </c>
      <c r="J38" s="29"/>
    </row>
    <row r="39" spans="1:10" x14ac:dyDescent="0.25">
      <c r="A39" s="38">
        <f>Données!A39</f>
        <v>5471</v>
      </c>
      <c r="B39" s="130" t="str">
        <f>Données!B39</f>
        <v>Bettens</v>
      </c>
      <c r="C39" s="272">
        <f>VPI!R39</f>
        <v>22692.008412698411</v>
      </c>
      <c r="D39" s="150">
        <f>Effort!I39-IF(PCS!I45&lt;0, Effort!D39, 0)</f>
        <v>21.065986320408673</v>
      </c>
      <c r="E39" s="398">
        <f>IF(PCS!I45&lt;0, 0, PCS!F45/Aide!C39)</f>
        <v>1.687738445336042</v>
      </c>
      <c r="F39" s="398">
        <f>Effort!G39</f>
        <v>0</v>
      </c>
      <c r="G39" s="285">
        <f t="shared" si="1"/>
        <v>22.753724765744714</v>
      </c>
      <c r="H39" s="161">
        <f t="shared" si="2"/>
        <v>0</v>
      </c>
      <c r="I39" s="42">
        <f t="shared" si="3"/>
        <v>0</v>
      </c>
      <c r="J39" s="29"/>
    </row>
    <row r="40" spans="1:10" x14ac:dyDescent="0.25">
      <c r="A40" s="38">
        <f>Données!A40</f>
        <v>5472</v>
      </c>
      <c r="B40" s="130" t="str">
        <f>Données!B40</f>
        <v>Bournens</v>
      </c>
      <c r="C40" s="272">
        <f>VPI!R40</f>
        <v>19974.815147058827</v>
      </c>
      <c r="D40" s="150">
        <f>Effort!I40-IF(PCS!I46&lt;0, Effort!D40, 0)</f>
        <v>24.049830225949471</v>
      </c>
      <c r="E40" s="398">
        <f>IF(PCS!I46&lt;0, 0, PCS!F46/Aide!C40)</f>
        <v>3.5787828059337916</v>
      </c>
      <c r="F40" s="398">
        <f>Effort!G40</f>
        <v>-0.3819094587345383</v>
      </c>
      <c r="G40" s="285">
        <f t="shared" si="1"/>
        <v>28.010522490617799</v>
      </c>
      <c r="H40" s="161">
        <f t="shared" si="2"/>
        <v>0</v>
      </c>
      <c r="I40" s="42">
        <f t="shared" si="3"/>
        <v>0</v>
      </c>
      <c r="J40" s="29"/>
    </row>
    <row r="41" spans="1:10" x14ac:dyDescent="0.25">
      <c r="A41" s="38">
        <f>Données!A41</f>
        <v>5473</v>
      </c>
      <c r="B41" s="130" t="str">
        <f>Données!B41</f>
        <v>Boussens</v>
      </c>
      <c r="C41" s="272">
        <f>VPI!R41</f>
        <v>40042.684696969693</v>
      </c>
      <c r="D41" s="150">
        <f>Effort!I41-IF(PCS!I47&lt;0, Effort!D41, 0)</f>
        <v>25.14255490667674</v>
      </c>
      <c r="E41" s="398">
        <f>IF(PCS!I47&lt;0, 0, PCS!F47/Aide!C41)</f>
        <v>2.7655442145811082</v>
      </c>
      <c r="F41" s="398">
        <f>Effort!G41</f>
        <v>0</v>
      </c>
      <c r="G41" s="285">
        <f t="shared" si="1"/>
        <v>27.908099121257848</v>
      </c>
      <c r="H41" s="161">
        <f t="shared" si="2"/>
        <v>0</v>
      </c>
      <c r="I41" s="42">
        <f t="shared" si="3"/>
        <v>0</v>
      </c>
      <c r="J41" s="29"/>
    </row>
    <row r="42" spans="1:10" x14ac:dyDescent="0.25">
      <c r="A42" s="38">
        <f>Données!A42</f>
        <v>5474</v>
      </c>
      <c r="B42" s="130" t="str">
        <f>Données!B42</f>
        <v>La Chaux (Cossonay)</v>
      </c>
      <c r="C42" s="272">
        <f>VPI!R42</f>
        <v>13862.371951754385</v>
      </c>
      <c r="D42" s="150">
        <f>Effort!I42-IF(PCS!I48&lt;0, Effort!D42, 0)</f>
        <v>5.9214529311942634</v>
      </c>
      <c r="E42" s="398">
        <f>IF(PCS!I48&lt;0, 0, PCS!F48/Aide!C42)</f>
        <v>3.2737395272572098</v>
      </c>
      <c r="F42" s="398">
        <f>Effort!G42</f>
        <v>-12.513795343608512</v>
      </c>
      <c r="G42" s="285">
        <f t="shared" si="1"/>
        <v>21.708987802059987</v>
      </c>
      <c r="H42" s="161">
        <f t="shared" si="2"/>
        <v>0</v>
      </c>
      <c r="I42" s="42">
        <f t="shared" si="3"/>
        <v>0</v>
      </c>
      <c r="J42" s="29"/>
    </row>
    <row r="43" spans="1:10" x14ac:dyDescent="0.25">
      <c r="A43" s="38">
        <f>Données!A43</f>
        <v>5475</v>
      </c>
      <c r="B43" s="130" t="str">
        <f>Données!B43</f>
        <v>Chavannes-le-Veyron</v>
      </c>
      <c r="C43" s="272">
        <f>VPI!R43</f>
        <v>4297.1488000000008</v>
      </c>
      <c r="D43" s="150">
        <f>Effort!I43-IF(PCS!I49&lt;0, Effort!D43, 0)</f>
        <v>-2.7390297195935709</v>
      </c>
      <c r="E43" s="398">
        <f>IF(PCS!I49&lt;0, 0, PCS!F49/Aide!C43)</f>
        <v>2.5854352541852861</v>
      </c>
      <c r="F43" s="398">
        <f>Effort!G43</f>
        <v>-11.52386223748098</v>
      </c>
      <c r="G43" s="285">
        <f t="shared" si="1"/>
        <v>11.370267772072696</v>
      </c>
      <c r="H43" s="161">
        <f t="shared" si="2"/>
        <v>0</v>
      </c>
      <c r="I43" s="42">
        <f t="shared" si="3"/>
        <v>0</v>
      </c>
      <c r="J43" s="29"/>
    </row>
    <row r="44" spans="1:10" x14ac:dyDescent="0.25">
      <c r="A44" s="38">
        <f>Données!A44</f>
        <v>5476</v>
      </c>
      <c r="B44" s="130" t="str">
        <f>Données!B44</f>
        <v>Chevilly</v>
      </c>
      <c r="C44" s="272">
        <f>VPI!R44</f>
        <v>13558.448137931036</v>
      </c>
      <c r="D44" s="150">
        <f>Effort!I44-IF(PCS!I50&lt;0, Effort!D44, 0)</f>
        <v>25.343328864535547</v>
      </c>
      <c r="E44" s="398">
        <f>IF(PCS!I50&lt;0, 0, PCS!F50/Aide!C44)</f>
        <v>2.1527721832960456</v>
      </c>
      <c r="F44" s="398">
        <f>Effort!G44</f>
        <v>0</v>
      </c>
      <c r="G44" s="285">
        <f t="shared" si="1"/>
        <v>27.496101047831594</v>
      </c>
      <c r="H44" s="161">
        <f t="shared" si="2"/>
        <v>0</v>
      </c>
      <c r="I44" s="42">
        <f t="shared" si="3"/>
        <v>0</v>
      </c>
      <c r="J44" s="29"/>
    </row>
    <row r="45" spans="1:10" x14ac:dyDescent="0.25">
      <c r="A45" s="38">
        <f>Données!A45</f>
        <v>5477</v>
      </c>
      <c r="B45" s="130" t="str">
        <f>Données!B45</f>
        <v>Cossonay</v>
      </c>
      <c r="C45" s="272">
        <f>VPI!R45</f>
        <v>151484.78088235293</v>
      </c>
      <c r="D45" s="150">
        <f>Effort!I45-IF(PCS!I51&lt;0, Effort!D45, 0)</f>
        <v>8.2635814119848199</v>
      </c>
      <c r="E45" s="398">
        <f>IF(PCS!I51&lt;0, 0, PCS!F51/Aide!C45)</f>
        <v>5.0641797514681413</v>
      </c>
      <c r="F45" s="398">
        <f>Effort!G45</f>
        <v>-6.1537014107749828</v>
      </c>
      <c r="G45" s="285">
        <f t="shared" si="1"/>
        <v>19.481462574227944</v>
      </c>
      <c r="H45" s="161">
        <f t="shared" si="2"/>
        <v>0</v>
      </c>
      <c r="I45" s="42">
        <f t="shared" si="3"/>
        <v>0</v>
      </c>
      <c r="J45" s="29"/>
    </row>
    <row r="46" spans="1:10" x14ac:dyDescent="0.25">
      <c r="A46" s="38">
        <f>Données!A46</f>
        <v>5479</v>
      </c>
      <c r="B46" s="130" t="str">
        <f>Données!B46</f>
        <v>Cuarnens</v>
      </c>
      <c r="C46" s="272">
        <f>VPI!R46</f>
        <v>14331.03077922078</v>
      </c>
      <c r="D46" s="150">
        <f>Effort!I46-IF(PCS!I52&lt;0, Effort!D46, 0)</f>
        <v>-9.3237884624459006</v>
      </c>
      <c r="E46" s="398">
        <f>IF(PCS!I52&lt;0, 0, PCS!F52/Aide!C46)</f>
        <v>4.0472873789441213</v>
      </c>
      <c r="F46" s="398">
        <f>Effort!G46</f>
        <v>-16.994395565171562</v>
      </c>
      <c r="G46" s="285">
        <f t="shared" si="1"/>
        <v>11.717894481669783</v>
      </c>
      <c r="H46" s="161">
        <f t="shared" si="2"/>
        <v>0</v>
      </c>
      <c r="I46" s="42">
        <f t="shared" si="3"/>
        <v>0</v>
      </c>
      <c r="J46" s="29"/>
    </row>
    <row r="47" spans="1:10" x14ac:dyDescent="0.25">
      <c r="A47" s="38">
        <f>Données!A47</f>
        <v>5480</v>
      </c>
      <c r="B47" s="130" t="str">
        <f>Données!B47</f>
        <v>Daillens</v>
      </c>
      <c r="C47" s="272">
        <f>VPI!R47</f>
        <v>42741.079141414142</v>
      </c>
      <c r="D47" s="150">
        <f>Effort!I47-IF(PCS!I53&lt;0, Effort!D47, 0)</f>
        <v>23.065604467771525</v>
      </c>
      <c r="E47" s="398">
        <f>IF(PCS!I53&lt;0, 0, PCS!F53/Aide!C47)</f>
        <v>10.306132153158023</v>
      </c>
      <c r="F47" s="398">
        <f>Effort!G47</f>
        <v>-2.266022839613874</v>
      </c>
      <c r="G47" s="285">
        <f t="shared" si="1"/>
        <v>35.637759460543421</v>
      </c>
      <c r="H47" s="161">
        <f t="shared" si="2"/>
        <v>0</v>
      </c>
      <c r="I47" s="42">
        <f t="shared" si="3"/>
        <v>0</v>
      </c>
      <c r="J47" s="29"/>
    </row>
    <row r="48" spans="1:10" x14ac:dyDescent="0.25">
      <c r="A48" s="38">
        <f>Données!A48</f>
        <v>5481</v>
      </c>
      <c r="B48" s="130" t="str">
        <f>Données!B48</f>
        <v>Dizy</v>
      </c>
      <c r="C48" s="272">
        <f>VPI!R48</f>
        <v>8551.9890666666652</v>
      </c>
      <c r="D48" s="150">
        <f>Effort!I48-IF(PCS!I54&lt;0, Effort!D48, 0)</f>
        <v>18.120921487994213</v>
      </c>
      <c r="E48" s="398">
        <f>IF(PCS!I54&lt;0, 0, PCS!F54/Aide!C48)</f>
        <v>2.5124710558563548</v>
      </c>
      <c r="F48" s="398">
        <f>Effort!G48</f>
        <v>-3.6972193616005722</v>
      </c>
      <c r="G48" s="285">
        <f t="shared" si="1"/>
        <v>24.330611905451143</v>
      </c>
      <c r="H48" s="161">
        <f t="shared" si="2"/>
        <v>0</v>
      </c>
      <c r="I48" s="42">
        <f t="shared" si="3"/>
        <v>0</v>
      </c>
      <c r="J48" s="29"/>
    </row>
    <row r="49" spans="1:10" x14ac:dyDescent="0.25">
      <c r="A49" s="38">
        <f>Données!A49</f>
        <v>5482</v>
      </c>
      <c r="B49" s="130" t="str">
        <f>Données!B49</f>
        <v>Eclépens</v>
      </c>
      <c r="C49" s="272">
        <f>VPI!R49</f>
        <v>48311.561086956521</v>
      </c>
      <c r="D49" s="150">
        <f>Effort!I49-IF(PCS!I55&lt;0, Effort!D49, 0)</f>
        <v>23.321363736689438</v>
      </c>
      <c r="E49" s="398">
        <f>IF(PCS!I55&lt;0, 0, PCS!F55/Aide!C49)</f>
        <v>4.554324059286178</v>
      </c>
      <c r="F49" s="398">
        <f>Effort!G49</f>
        <v>-2.9572155998253855</v>
      </c>
      <c r="G49" s="285">
        <f t="shared" si="1"/>
        <v>30.832903395801001</v>
      </c>
      <c r="H49" s="161">
        <f t="shared" si="2"/>
        <v>0</v>
      </c>
      <c r="I49" s="42">
        <f t="shared" si="3"/>
        <v>0</v>
      </c>
      <c r="J49" s="29"/>
    </row>
    <row r="50" spans="1:10" x14ac:dyDescent="0.25">
      <c r="A50" s="38">
        <f>Données!A50</f>
        <v>5483</v>
      </c>
      <c r="B50" s="130" t="str">
        <f>Données!B50</f>
        <v>Ferreyres</v>
      </c>
      <c r="C50" s="272">
        <f>VPI!R50</f>
        <v>10284.191184210527</v>
      </c>
      <c r="D50" s="150">
        <f>Effort!I50-IF(PCS!I56&lt;0, Effort!D50, 0)</f>
        <v>18.109738337962309</v>
      </c>
      <c r="E50" s="398">
        <f>IF(PCS!I56&lt;0, 0, PCS!F56/Aide!C50)</f>
        <v>0.55669424045615834</v>
      </c>
      <c r="F50" s="398">
        <f>Effort!G50</f>
        <v>-4.371407664065171E-2</v>
      </c>
      <c r="G50" s="285">
        <f t="shared" si="1"/>
        <v>18.710146655059116</v>
      </c>
      <c r="H50" s="161">
        <f t="shared" si="2"/>
        <v>0</v>
      </c>
      <c r="I50" s="42">
        <f t="shared" si="3"/>
        <v>0</v>
      </c>
      <c r="J50" s="29"/>
    </row>
    <row r="51" spans="1:10" x14ac:dyDescent="0.25">
      <c r="A51" s="38">
        <f>Données!A51</f>
        <v>5484</v>
      </c>
      <c r="B51" s="130" t="str">
        <f>Données!B51</f>
        <v>Gollion</v>
      </c>
      <c r="C51" s="272">
        <f>VPI!R51</f>
        <v>32601.092837837834</v>
      </c>
      <c r="D51" s="150">
        <f>Effort!I51-IF(PCS!I57&lt;0, Effort!D51, 0)</f>
        <v>7.884470655236866</v>
      </c>
      <c r="E51" s="398">
        <f>IF(PCS!I57&lt;0, 0, PCS!F57/Aide!C51)</f>
        <v>3.4030282528209232</v>
      </c>
      <c r="F51" s="398">
        <f>Effort!G51</f>
        <v>-8.5042845160076439</v>
      </c>
      <c r="G51" s="285">
        <f t="shared" si="1"/>
        <v>19.791783424065432</v>
      </c>
      <c r="H51" s="161">
        <f t="shared" si="2"/>
        <v>0</v>
      </c>
      <c r="I51" s="42">
        <f t="shared" si="3"/>
        <v>0</v>
      </c>
      <c r="J51" s="29"/>
    </row>
    <row r="52" spans="1:10" x14ac:dyDescent="0.25">
      <c r="A52" s="38">
        <f>Données!A52</f>
        <v>5485</v>
      </c>
      <c r="B52" s="130" t="str">
        <f>Données!B52</f>
        <v>Grancy</v>
      </c>
      <c r="C52" s="272">
        <f>VPI!R52</f>
        <v>18961.04185714286</v>
      </c>
      <c r="D52" s="150">
        <f>Effort!I52-IF(PCS!I58&lt;0, Effort!D52, 0)</f>
        <v>20.230369056883653</v>
      </c>
      <c r="E52" s="398">
        <f>IF(PCS!I58&lt;0, 0, PCS!F58/Aide!C52)</f>
        <v>2.161259402766543</v>
      </c>
      <c r="F52" s="398">
        <f>Effort!G52</f>
        <v>-3.8838012358853735</v>
      </c>
      <c r="G52" s="285">
        <f t="shared" si="1"/>
        <v>26.275429695535571</v>
      </c>
      <c r="H52" s="161">
        <f t="shared" si="2"/>
        <v>0</v>
      </c>
      <c r="I52" s="42">
        <f t="shared" si="3"/>
        <v>0</v>
      </c>
      <c r="J52" s="29"/>
    </row>
    <row r="53" spans="1:10" x14ac:dyDescent="0.25">
      <c r="A53" s="38">
        <f>Données!A53</f>
        <v>5486</v>
      </c>
      <c r="B53" s="130" t="str">
        <f>Données!B53</f>
        <v>L'Isle</v>
      </c>
      <c r="C53" s="272">
        <f>VPI!R53</f>
        <v>34755.462666666674</v>
      </c>
      <c r="D53" s="150">
        <f>Effort!I53-IF(PCS!I59&lt;0, Effort!D53, 0)</f>
        <v>5.7207538113191987</v>
      </c>
      <c r="E53" s="398">
        <f>IF(PCS!I59&lt;0, 0, PCS!F59/Aide!C53)</f>
        <v>5.2193523285759156</v>
      </c>
      <c r="F53" s="398">
        <f>Effort!G53</f>
        <v>-10.171092400331894</v>
      </c>
      <c r="G53" s="285">
        <f t="shared" si="1"/>
        <v>21.111198540227008</v>
      </c>
      <c r="H53" s="161">
        <f t="shared" si="2"/>
        <v>0</v>
      </c>
      <c r="I53" s="42">
        <f t="shared" si="3"/>
        <v>0</v>
      </c>
      <c r="J53" s="29"/>
    </row>
    <row r="54" spans="1:10" x14ac:dyDescent="0.25">
      <c r="A54" s="38">
        <f>Données!A54</f>
        <v>5487</v>
      </c>
      <c r="B54" s="130" t="str">
        <f>Données!B54</f>
        <v>Lussery-Villars</v>
      </c>
      <c r="C54" s="272">
        <f>VPI!R54</f>
        <v>12042.578266666667</v>
      </c>
      <c r="D54" s="150">
        <f>Effort!I54-IF(PCS!I60&lt;0, Effort!D54, 0)</f>
        <v>5.8819095178598513</v>
      </c>
      <c r="E54" s="398">
        <f>IF(PCS!I60&lt;0, 0, PCS!F60/Aide!C54)</f>
        <v>3.5002429767614434</v>
      </c>
      <c r="F54" s="398">
        <f>Effort!G54</f>
        <v>-0.37861155273775771</v>
      </c>
      <c r="G54" s="285">
        <f t="shared" si="1"/>
        <v>9.7607640473590518</v>
      </c>
      <c r="H54" s="161">
        <f t="shared" si="2"/>
        <v>0</v>
      </c>
      <c r="I54" s="42">
        <f t="shared" si="3"/>
        <v>0</v>
      </c>
      <c r="J54" s="29"/>
    </row>
    <row r="55" spans="1:10" x14ac:dyDescent="0.25">
      <c r="A55" s="38">
        <f>Données!A55</f>
        <v>5488</v>
      </c>
      <c r="B55" s="130" t="str">
        <f>Données!B55</f>
        <v>Mauraz</v>
      </c>
      <c r="C55" s="272">
        <f>VPI!R55</f>
        <v>2131.605194805195</v>
      </c>
      <c r="D55" s="150">
        <f>Effort!I55-IF(PCS!I61&lt;0, Effort!D55, 0)</f>
        <v>17.199437415306381</v>
      </c>
      <c r="E55" s="398">
        <f>IF(PCS!I61&lt;0, 0, PCS!F61/Aide!C55)</f>
        <v>9.1139180216604032</v>
      </c>
      <c r="F55" s="398">
        <f>Effort!G55</f>
        <v>0</v>
      </c>
      <c r="G55" s="285">
        <f t="shared" si="1"/>
        <v>26.313355436966784</v>
      </c>
      <c r="H55" s="161">
        <f t="shared" si="2"/>
        <v>0</v>
      </c>
      <c r="I55" s="42">
        <f t="shared" si="3"/>
        <v>0</v>
      </c>
      <c r="J55" s="29"/>
    </row>
    <row r="56" spans="1:10" x14ac:dyDescent="0.25">
      <c r="A56" s="38">
        <f>Données!A56</f>
        <v>5489</v>
      </c>
      <c r="B56" s="130" t="str">
        <f>Données!B56</f>
        <v>Mex</v>
      </c>
      <c r="C56" s="272">
        <f>VPI!R56</f>
        <v>60289.963529411769</v>
      </c>
      <c r="D56" s="150">
        <f>Effort!I56-IF(PCS!I62&lt;0, Effort!D56, 0)</f>
        <v>35.968993263413068</v>
      </c>
      <c r="E56" s="398">
        <f>IF(PCS!I62&lt;0, 0, PCS!F62/Aide!C56)</f>
        <v>3.7201202633102386</v>
      </c>
      <c r="F56" s="398">
        <f>Effort!G56</f>
        <v>0</v>
      </c>
      <c r="G56" s="285">
        <f t="shared" si="1"/>
        <v>39.689113526723304</v>
      </c>
      <c r="H56" s="161">
        <f t="shared" si="2"/>
        <v>0</v>
      </c>
      <c r="I56" s="42">
        <f t="shared" si="3"/>
        <v>0</v>
      </c>
      <c r="J56" s="29"/>
    </row>
    <row r="57" spans="1:10" x14ac:dyDescent="0.25">
      <c r="A57" s="38">
        <f>Données!A57</f>
        <v>5490</v>
      </c>
      <c r="B57" s="130" t="str">
        <f>Données!B57</f>
        <v>Moiry</v>
      </c>
      <c r="C57" s="272">
        <f>VPI!R57</f>
        <v>8460.9402597402623</v>
      </c>
      <c r="D57" s="150">
        <f>Effort!I57-IF(PCS!I63&lt;0, Effort!D57, 0)</f>
        <v>7.1241891013638217</v>
      </c>
      <c r="E57" s="398">
        <f>IF(PCS!I63&lt;0, 0, PCS!F63/Aide!C57)</f>
        <v>1.1739061729653328</v>
      </c>
      <c r="F57" s="398">
        <f>Effort!G57</f>
        <v>-4.3967792987092098</v>
      </c>
      <c r="G57" s="285">
        <f t="shared" si="1"/>
        <v>12.694874573038366</v>
      </c>
      <c r="H57" s="161">
        <f t="shared" si="2"/>
        <v>0</v>
      </c>
      <c r="I57" s="42">
        <f t="shared" si="3"/>
        <v>0</v>
      </c>
      <c r="J57" s="29"/>
    </row>
    <row r="58" spans="1:10" x14ac:dyDescent="0.25">
      <c r="A58" s="38">
        <f>Données!A58</f>
        <v>5491</v>
      </c>
      <c r="B58" s="130" t="str">
        <f>Données!B58</f>
        <v>Mont-la-Ville</v>
      </c>
      <c r="C58" s="272">
        <f>VPI!R58</f>
        <v>13841.869078947369</v>
      </c>
      <c r="D58" s="150">
        <f>Effort!I58-IF(PCS!I64&lt;0, Effort!D58, 0)</f>
        <v>-38.96643096388118</v>
      </c>
      <c r="E58" s="398">
        <f>IF(PCS!I64&lt;0, 0, PCS!F64/Aide!C58)</f>
        <v>4.9809404067303245</v>
      </c>
      <c r="F58" s="398">
        <f>Effort!G58</f>
        <v>-49.315945520430738</v>
      </c>
      <c r="G58" s="285">
        <f t="shared" si="1"/>
        <v>15.330454963279884</v>
      </c>
      <c r="H58" s="161">
        <f t="shared" si="2"/>
        <v>0</v>
      </c>
      <c r="I58" s="42">
        <f t="shared" si="3"/>
        <v>0</v>
      </c>
      <c r="J58" s="29"/>
    </row>
    <row r="59" spans="1:10" x14ac:dyDescent="0.25">
      <c r="A59" s="38">
        <f>Données!A59</f>
        <v>5492</v>
      </c>
      <c r="B59" s="130" t="str">
        <f>Données!B59</f>
        <v>Montricher</v>
      </c>
      <c r="C59" s="272">
        <f>VPI!R59</f>
        <v>149906.53015624997</v>
      </c>
      <c r="D59" s="150">
        <f>Effort!I59-IF(PCS!I65&lt;0, Effort!D59, 0)</f>
        <v>49.968020755038566</v>
      </c>
      <c r="E59" s="398">
        <f>IF(PCS!I65&lt;0, 0, PCS!F65/Aide!C59)</f>
        <v>0.79121259678529732</v>
      </c>
      <c r="F59" s="398">
        <f>Effort!G59</f>
        <v>-0.27437972113598663</v>
      </c>
      <c r="G59" s="285">
        <f t="shared" si="1"/>
        <v>51.033613072959852</v>
      </c>
      <c r="H59" s="161">
        <f t="shared" si="2"/>
        <v>0</v>
      </c>
      <c r="I59" s="42">
        <f t="shared" si="3"/>
        <v>0</v>
      </c>
      <c r="J59" s="29"/>
    </row>
    <row r="60" spans="1:10" x14ac:dyDescent="0.25">
      <c r="A60" s="38">
        <f>Données!A60</f>
        <v>5493</v>
      </c>
      <c r="B60" s="130" t="str">
        <f>Données!B60</f>
        <v>Orny</v>
      </c>
      <c r="C60" s="272">
        <f>VPI!R60</f>
        <v>14635.714141201266</v>
      </c>
      <c r="D60" s="150">
        <f>Effort!I60-IF(PCS!I66&lt;0, Effort!D60, 0)</f>
        <v>10.464769945876109</v>
      </c>
      <c r="E60" s="398">
        <f>IF(PCS!I66&lt;0, 0, PCS!F66/Aide!C60)</f>
        <v>3.7756169235664281</v>
      </c>
      <c r="F60" s="398">
        <f>Effort!G60</f>
        <v>-4.8758178878729037</v>
      </c>
      <c r="G60" s="285">
        <f t="shared" si="1"/>
        <v>19.11620475731544</v>
      </c>
      <c r="H60" s="161">
        <f t="shared" si="2"/>
        <v>0</v>
      </c>
      <c r="I60" s="42">
        <f t="shared" si="3"/>
        <v>0</v>
      </c>
      <c r="J60" s="29"/>
    </row>
    <row r="61" spans="1:10" x14ac:dyDescent="0.25">
      <c r="A61" s="38">
        <f>Données!A61</f>
        <v>5495</v>
      </c>
      <c r="B61" s="130" t="str">
        <f>Données!B61</f>
        <v>Penthalaz</v>
      </c>
      <c r="C61" s="272">
        <f>VPI!R61</f>
        <v>103053.60797297298</v>
      </c>
      <c r="D61" s="150">
        <f>Effort!I61-IF(PCS!I67&lt;0, Effort!D61, 0)</f>
        <v>6.0070805386902126</v>
      </c>
      <c r="E61" s="398">
        <f>IF(PCS!I67&lt;0, 0, PCS!F67/Aide!C61)</f>
        <v>3.4362244269300204</v>
      </c>
      <c r="F61" s="398">
        <f>Effort!G61</f>
        <v>-5.8086819571759118</v>
      </c>
      <c r="G61" s="285">
        <f t="shared" si="1"/>
        <v>15.251986922796144</v>
      </c>
      <c r="H61" s="161">
        <f t="shared" si="2"/>
        <v>0</v>
      </c>
      <c r="I61" s="42">
        <f t="shared" si="3"/>
        <v>0</v>
      </c>
      <c r="J61" s="29"/>
    </row>
    <row r="62" spans="1:10" x14ac:dyDescent="0.25">
      <c r="A62" s="38">
        <f>Données!A62</f>
        <v>5496</v>
      </c>
      <c r="B62" s="130" t="str">
        <f>Données!B62</f>
        <v>Penthaz</v>
      </c>
      <c r="C62" s="272">
        <f>VPI!R62</f>
        <v>61649.529352517988</v>
      </c>
      <c r="D62" s="150">
        <f>Effort!I62-IF(PCS!I68&lt;0, Effort!D62, 0)</f>
        <v>12.358331674713423</v>
      </c>
      <c r="E62" s="398">
        <f>IF(PCS!I68&lt;0, 0, PCS!F68/Aide!C62)</f>
        <v>2.5616726787477049</v>
      </c>
      <c r="F62" s="398">
        <f>Effort!G62</f>
        <v>-2.589857995268257</v>
      </c>
      <c r="G62" s="285">
        <f t="shared" si="1"/>
        <v>17.509862348729385</v>
      </c>
      <c r="H62" s="161">
        <f t="shared" si="2"/>
        <v>0</v>
      </c>
      <c r="I62" s="42">
        <f t="shared" si="3"/>
        <v>0</v>
      </c>
      <c r="J62" s="29"/>
    </row>
    <row r="63" spans="1:10" x14ac:dyDescent="0.25">
      <c r="A63" s="38">
        <f>Données!A63</f>
        <v>5497</v>
      </c>
      <c r="B63" s="130" t="str">
        <f>Données!B63</f>
        <v>Pompaples</v>
      </c>
      <c r="C63" s="272">
        <f>VPI!R63</f>
        <v>22949.555</v>
      </c>
      <c r="D63" s="150">
        <f>Effort!I63-IF(PCS!I69&lt;0, Effort!D63, 0)</f>
        <v>7.6821771956068581</v>
      </c>
      <c r="E63" s="398">
        <f>IF(PCS!I69&lt;0, 0, PCS!F69/Aide!C63)</f>
        <v>4.5884536758991619</v>
      </c>
      <c r="F63" s="398">
        <f>Effort!G63</f>
        <v>-5.6825982183433652</v>
      </c>
      <c r="G63" s="285">
        <f t="shared" si="1"/>
        <v>17.953229089849387</v>
      </c>
      <c r="H63" s="161">
        <f t="shared" si="2"/>
        <v>0</v>
      </c>
      <c r="I63" s="42">
        <f t="shared" si="3"/>
        <v>0</v>
      </c>
      <c r="J63" s="29"/>
    </row>
    <row r="64" spans="1:10" x14ac:dyDescent="0.25">
      <c r="A64" s="38">
        <f>Données!A64</f>
        <v>5498</v>
      </c>
      <c r="B64" s="130" t="str">
        <f>Données!B64</f>
        <v>La Sarraz</v>
      </c>
      <c r="C64" s="272">
        <f>VPI!R64</f>
        <v>73742.233181818185</v>
      </c>
      <c r="D64" s="150">
        <f>Effort!I64-IF(PCS!I70&lt;0, Effort!D64, 0)</f>
        <v>3.5871818067069974</v>
      </c>
      <c r="E64" s="398">
        <f>IF(PCS!I70&lt;0, 0, PCS!F70/Aide!C64)</f>
        <v>2.085081958677522</v>
      </c>
      <c r="F64" s="398">
        <f>Effort!G64</f>
        <v>-6.6602077146079681</v>
      </c>
      <c r="G64" s="285">
        <f t="shared" si="1"/>
        <v>12.332471479992488</v>
      </c>
      <c r="H64" s="161">
        <f t="shared" si="2"/>
        <v>0</v>
      </c>
      <c r="I64" s="42">
        <f t="shared" si="3"/>
        <v>0</v>
      </c>
      <c r="J64" s="29"/>
    </row>
    <row r="65" spans="1:10" x14ac:dyDescent="0.25">
      <c r="A65" s="38">
        <f>Données!A65</f>
        <v>5499</v>
      </c>
      <c r="B65" s="130" t="str">
        <f>Données!B65</f>
        <v>Senarclens</v>
      </c>
      <c r="C65" s="272">
        <f>VPI!R65</f>
        <v>20490.878394160583</v>
      </c>
      <c r="D65" s="150">
        <f>Effort!I65-IF(PCS!I71&lt;0, Effort!D65, 0)</f>
        <v>24.343700199897977</v>
      </c>
      <c r="E65" s="398">
        <f>IF(PCS!I71&lt;0, 0, PCS!F71/Aide!C65)</f>
        <v>2.386203219766998</v>
      </c>
      <c r="F65" s="398">
        <f>Effort!G65</f>
        <v>-1.5939867656190452</v>
      </c>
      <c r="G65" s="285">
        <f t="shared" si="1"/>
        <v>28.323890185284021</v>
      </c>
      <c r="H65" s="161">
        <f t="shared" si="2"/>
        <v>0</v>
      </c>
      <c r="I65" s="42">
        <f t="shared" si="3"/>
        <v>0</v>
      </c>
      <c r="J65" s="29"/>
    </row>
    <row r="66" spans="1:10" x14ac:dyDescent="0.25">
      <c r="A66" s="38">
        <f>Données!A66</f>
        <v>5501</v>
      </c>
      <c r="B66" s="130" t="str">
        <f>Données!B66</f>
        <v>Sullens</v>
      </c>
      <c r="C66" s="272">
        <f>VPI!R66</f>
        <v>53839.001093749997</v>
      </c>
      <c r="D66" s="150">
        <f>Effort!I66-IF(PCS!I72&lt;0, Effort!D66, 0)</f>
        <v>27.855287430395176</v>
      </c>
      <c r="E66" s="398">
        <f>IF(PCS!I72&lt;0, 0, PCS!F72/Aide!C66)</f>
        <v>5.2586935910455974</v>
      </c>
      <c r="F66" s="398">
        <f>Effort!G66</f>
        <v>0</v>
      </c>
      <c r="G66" s="285">
        <f t="shared" si="1"/>
        <v>33.113981021440772</v>
      </c>
      <c r="H66" s="161">
        <f t="shared" si="2"/>
        <v>0</v>
      </c>
      <c r="I66" s="42">
        <f t="shared" si="3"/>
        <v>0</v>
      </c>
      <c r="J66" s="29"/>
    </row>
    <row r="67" spans="1:10" x14ac:dyDescent="0.25">
      <c r="A67" s="38">
        <f>Données!A67</f>
        <v>5503</v>
      </c>
      <c r="B67" s="130" t="str">
        <f>Données!B67</f>
        <v>Vufflens-la-Ville</v>
      </c>
      <c r="C67" s="272">
        <f>VPI!R67</f>
        <v>75815.146368159199</v>
      </c>
      <c r="D67" s="150">
        <f>Effort!I67-IF(PCS!I73&lt;0, Effort!D67, 0)</f>
        <v>30.858055776686747</v>
      </c>
      <c r="E67" s="398">
        <f>IF(PCS!I73&lt;0, 0, PCS!F73/Aide!C67)</f>
        <v>1.8670413734035614</v>
      </c>
      <c r="F67" s="398">
        <f>Effort!G67</f>
        <v>0</v>
      </c>
      <c r="G67" s="285">
        <f t="shared" si="1"/>
        <v>32.725097150090306</v>
      </c>
      <c r="H67" s="161">
        <f t="shared" si="2"/>
        <v>0</v>
      </c>
      <c r="I67" s="42">
        <f t="shared" si="3"/>
        <v>0</v>
      </c>
      <c r="J67" s="29"/>
    </row>
    <row r="68" spans="1:10" x14ac:dyDescent="0.25">
      <c r="A68" s="38">
        <f>Données!A68</f>
        <v>5511</v>
      </c>
      <c r="B68" s="130" t="str">
        <f>Données!B68</f>
        <v>Assens</v>
      </c>
      <c r="C68" s="272">
        <f>VPI!R68</f>
        <v>72829.098714285734</v>
      </c>
      <c r="D68" s="150">
        <f>Effort!I68-IF(PCS!I74&lt;0, Effort!D68, 0)</f>
        <v>21.59575130368081</v>
      </c>
      <c r="E68" s="398">
        <f>IF(PCS!I74&lt;0, 0, PCS!F74/Aide!C68)</f>
        <v>2.1879558831989696</v>
      </c>
      <c r="F68" s="398">
        <f>Effort!G68</f>
        <v>-3.4174691345379391</v>
      </c>
      <c r="G68" s="285">
        <f t="shared" si="1"/>
        <v>27.201176321417719</v>
      </c>
      <c r="H68" s="161">
        <f t="shared" si="2"/>
        <v>0</v>
      </c>
      <c r="I68" s="42">
        <f t="shared" si="3"/>
        <v>0</v>
      </c>
      <c r="J68" s="29"/>
    </row>
    <row r="69" spans="1:10" x14ac:dyDescent="0.25">
      <c r="A69" s="38">
        <f>Données!A69</f>
        <v>5512</v>
      </c>
      <c r="B69" s="130" t="str">
        <f>Données!B69</f>
        <v>Bercher</v>
      </c>
      <c r="C69" s="272">
        <f>VPI!R69</f>
        <v>41197.962531645571</v>
      </c>
      <c r="D69" s="150">
        <f>Effort!I69-IF(PCS!I75&lt;0, Effort!D69, 0)</f>
        <v>5.3936641971440071</v>
      </c>
      <c r="E69" s="398">
        <f>IF(PCS!I75&lt;0, 0, PCS!F75/Aide!C69)</f>
        <v>2.8577641408738215</v>
      </c>
      <c r="F69" s="398">
        <f>Effort!G69</f>
        <v>-5.8729460727066698</v>
      </c>
      <c r="G69" s="285">
        <f t="shared" si="1"/>
        <v>14.124374410724498</v>
      </c>
      <c r="H69" s="161">
        <f t="shared" si="2"/>
        <v>0</v>
      </c>
      <c r="I69" s="42">
        <f t="shared" si="3"/>
        <v>0</v>
      </c>
      <c r="J69" s="29"/>
    </row>
    <row r="70" spans="1:10" x14ac:dyDescent="0.25">
      <c r="A70" s="38">
        <f>Données!A70</f>
        <v>5514</v>
      </c>
      <c r="B70" s="130" t="str">
        <f>Données!B70</f>
        <v>Bottens</v>
      </c>
      <c r="C70" s="272">
        <f>VPI!R70</f>
        <v>45711.625241379304</v>
      </c>
      <c r="D70" s="150">
        <f>Effort!I70-IF(PCS!I76&lt;0, Effort!D70, 0)</f>
        <v>16.618812923384969</v>
      </c>
      <c r="E70" s="398">
        <f>IF(PCS!I76&lt;0, 0, PCS!F76/Aide!C70)</f>
        <v>2.256027420933771</v>
      </c>
      <c r="F70" s="398">
        <f>Effort!G70</f>
        <v>-0.92096808865785251</v>
      </c>
      <c r="G70" s="285">
        <f t="shared" si="1"/>
        <v>19.795808432976592</v>
      </c>
      <c r="H70" s="161">
        <f t="shared" si="2"/>
        <v>0</v>
      </c>
      <c r="I70" s="42">
        <f t="shared" si="3"/>
        <v>0</v>
      </c>
      <c r="J70" s="29"/>
    </row>
    <row r="71" spans="1:10" x14ac:dyDescent="0.25">
      <c r="A71" s="38">
        <f>Données!A71</f>
        <v>5515</v>
      </c>
      <c r="B71" s="130" t="str">
        <f>Données!B71</f>
        <v>Bretigny-sur-Morrens</v>
      </c>
      <c r="C71" s="272">
        <f>VPI!R71</f>
        <v>29284.807179487179</v>
      </c>
      <c r="D71" s="150">
        <f>Effort!I71-IF(PCS!I77&lt;0, Effort!D71, 0)</f>
        <v>16.090174138745645</v>
      </c>
      <c r="E71" s="398">
        <f>IF(PCS!I77&lt;0, 0, PCS!F77/Aide!C71)</f>
        <v>1.6355560993261336</v>
      </c>
      <c r="F71" s="398">
        <f>Effort!G71</f>
        <v>-1.4868484505293897</v>
      </c>
      <c r="G71" s="285">
        <f t="shared" ref="G71:G134" si="4">D71+E71-F71</f>
        <v>19.21257868860117</v>
      </c>
      <c r="H71" s="161">
        <f t="shared" ref="H71:H134" si="5">IF(G71&lt;H$5,G71-H$5,0)</f>
        <v>0</v>
      </c>
      <c r="I71" s="42">
        <f t="shared" ref="I71:I134" si="6">-H71*C71</f>
        <v>0</v>
      </c>
      <c r="J71" s="29"/>
    </row>
    <row r="72" spans="1:10" x14ac:dyDescent="0.25">
      <c r="A72" s="38">
        <f>Données!A72</f>
        <v>5516</v>
      </c>
      <c r="B72" s="130" t="str">
        <f>Données!B72</f>
        <v>Cugy</v>
      </c>
      <c r="C72" s="272">
        <f>VPI!R72</f>
        <v>110286.19364035087</v>
      </c>
      <c r="D72" s="150">
        <f>Effort!I72-IF(PCS!I78&lt;0, Effort!D72, 0)</f>
        <v>19.592390250531508</v>
      </c>
      <c r="E72" s="398">
        <f>IF(PCS!I78&lt;0, 0, PCS!F78/Aide!C72)</f>
        <v>2.7998675972712403</v>
      </c>
      <c r="F72" s="398">
        <f>Effort!G72</f>
        <v>-1.7149118030218222</v>
      </c>
      <c r="G72" s="285">
        <f t="shared" si="4"/>
        <v>24.107169650824574</v>
      </c>
      <c r="H72" s="161">
        <f t="shared" si="5"/>
        <v>0</v>
      </c>
      <c r="I72" s="42">
        <f t="shared" si="6"/>
        <v>0</v>
      </c>
      <c r="J72" s="29"/>
    </row>
    <row r="73" spans="1:10" x14ac:dyDescent="0.25">
      <c r="A73" s="38">
        <f>Données!A73</f>
        <v>5518</v>
      </c>
      <c r="B73" s="130" t="str">
        <f>Données!B73</f>
        <v>Echallens</v>
      </c>
      <c r="C73" s="272">
        <f>VPI!R73</f>
        <v>193272.16565517243</v>
      </c>
      <c r="D73" s="150">
        <f>Effort!I73-IF(PCS!I79&lt;0, Effort!D73, 0)</f>
        <v>2.8642640972015414</v>
      </c>
      <c r="E73" s="398">
        <f>IF(PCS!I79&lt;0, 0, PCS!F79/Aide!C73)</f>
        <v>3.2175345471602705</v>
      </c>
      <c r="F73" s="398">
        <f>Effort!G73</f>
        <v>-7.4087226151309311</v>
      </c>
      <c r="G73" s="285">
        <f t="shared" si="4"/>
        <v>13.490521259492743</v>
      </c>
      <c r="H73" s="161">
        <f t="shared" si="5"/>
        <v>0</v>
      </c>
      <c r="I73" s="42">
        <f t="shared" si="6"/>
        <v>0</v>
      </c>
      <c r="J73" s="29"/>
    </row>
    <row r="74" spans="1:10" x14ac:dyDescent="0.25">
      <c r="A74" s="38">
        <f>Données!A74</f>
        <v>5520</v>
      </c>
      <c r="B74" s="130" t="str">
        <f>Données!B74</f>
        <v>Essertines-sur-Yverdon</v>
      </c>
      <c r="C74" s="272">
        <f>VPI!R74</f>
        <v>31421.603918918918</v>
      </c>
      <c r="D74" s="150">
        <f>Effort!I74-IF(PCS!I80&lt;0, Effort!D74, 0)</f>
        <v>0.35228082234651126</v>
      </c>
      <c r="E74" s="398">
        <f>IF(PCS!I80&lt;0, 0, PCS!F80/Aide!C74)</f>
        <v>4.1498871393222743</v>
      </c>
      <c r="F74" s="398">
        <f>Effort!G74</f>
        <v>-12.466549229325185</v>
      </c>
      <c r="G74" s="285">
        <f t="shared" si="4"/>
        <v>16.968717190993971</v>
      </c>
      <c r="H74" s="161">
        <f t="shared" si="5"/>
        <v>0</v>
      </c>
      <c r="I74" s="42">
        <f t="shared" si="6"/>
        <v>0</v>
      </c>
      <c r="J74" s="29"/>
    </row>
    <row r="75" spans="1:10" x14ac:dyDescent="0.25">
      <c r="A75" s="38">
        <f>Données!A75</f>
        <v>5521</v>
      </c>
      <c r="B75" s="130" t="str">
        <f>Données!B75</f>
        <v>Etagnières</v>
      </c>
      <c r="C75" s="272">
        <f>VPI!R75</f>
        <v>47186.910273972615</v>
      </c>
      <c r="D75" s="150">
        <f>Effort!I75-IF(PCS!I81&lt;0, Effort!D75, 0)</f>
        <v>23.095840608665352</v>
      </c>
      <c r="E75" s="398">
        <f>IF(PCS!I81&lt;0, 0, PCS!F81/Aide!C75)</f>
        <v>7.8482812892343636</v>
      </c>
      <c r="F75" s="398">
        <f>Effort!G75</f>
        <v>-1.3781826750819957</v>
      </c>
      <c r="G75" s="285">
        <f t="shared" si="4"/>
        <v>32.322304572981714</v>
      </c>
      <c r="H75" s="161">
        <f t="shared" si="5"/>
        <v>0</v>
      </c>
      <c r="I75" s="42">
        <f t="shared" si="6"/>
        <v>0</v>
      </c>
      <c r="J75" s="29"/>
    </row>
    <row r="76" spans="1:10" x14ac:dyDescent="0.25">
      <c r="A76" s="38">
        <f>Données!A76</f>
        <v>5522</v>
      </c>
      <c r="B76" s="130" t="str">
        <f>Données!B76</f>
        <v>Fey</v>
      </c>
      <c r="C76" s="272">
        <f>VPI!R76</f>
        <v>24171.660400000001</v>
      </c>
      <c r="D76" s="150">
        <f>Effort!I76-IF(PCS!I82&lt;0, Effort!D76, 0)</f>
        <v>12.521357488369425</v>
      </c>
      <c r="E76" s="398">
        <f>IF(PCS!I82&lt;0, 0, PCS!F82/Aide!C76)</f>
        <v>3.0463074849421594</v>
      </c>
      <c r="F76" s="398">
        <f>Effort!G76</f>
        <v>-5.2908768545650942</v>
      </c>
      <c r="G76" s="285">
        <f t="shared" si="4"/>
        <v>20.858541827876678</v>
      </c>
      <c r="H76" s="161">
        <f t="shared" si="5"/>
        <v>0</v>
      </c>
      <c r="I76" s="42">
        <f t="shared" si="6"/>
        <v>0</v>
      </c>
      <c r="J76" s="29"/>
    </row>
    <row r="77" spans="1:10" x14ac:dyDescent="0.25">
      <c r="A77" s="38">
        <f>Données!A77</f>
        <v>5523</v>
      </c>
      <c r="B77" s="130" t="str">
        <f>Données!B77</f>
        <v>Froideville</v>
      </c>
      <c r="C77" s="272">
        <f>VPI!R77</f>
        <v>92223.451805555553</v>
      </c>
      <c r="D77" s="150">
        <f>Effort!I77-IF(PCS!I83&lt;0, Effort!D77, 0)</f>
        <v>14.187139435745088</v>
      </c>
      <c r="E77" s="398">
        <f>IF(PCS!I83&lt;0, 0, PCS!F83/Aide!C77)</f>
        <v>3.9313712282688495</v>
      </c>
      <c r="F77" s="398">
        <f>Effort!G77</f>
        <v>-1.1010015030178852</v>
      </c>
      <c r="G77" s="285">
        <f t="shared" si="4"/>
        <v>19.219512167031823</v>
      </c>
      <c r="H77" s="161">
        <f t="shared" si="5"/>
        <v>0</v>
      </c>
      <c r="I77" s="42">
        <f t="shared" si="6"/>
        <v>0</v>
      </c>
      <c r="J77" s="29"/>
    </row>
    <row r="78" spans="1:10" x14ac:dyDescent="0.25">
      <c r="A78" s="38">
        <f>Données!A78</f>
        <v>5527</v>
      </c>
      <c r="B78" s="130" t="str">
        <f>Données!B78</f>
        <v>Morrens</v>
      </c>
      <c r="C78" s="272">
        <f>VPI!R78</f>
        <v>40722.210135135138</v>
      </c>
      <c r="D78" s="150">
        <f>Effort!I78-IF(PCS!I84&lt;0, Effort!D78, 0)</f>
        <v>18.862548319863496</v>
      </c>
      <c r="E78" s="398">
        <f>IF(PCS!I84&lt;0, 0, PCS!F84/Aide!C78)</f>
        <v>3.5136783962652958</v>
      </c>
      <c r="F78" s="398">
        <f>Effort!G78</f>
        <v>-0.19051751994442012</v>
      </c>
      <c r="G78" s="285">
        <f t="shared" si="4"/>
        <v>22.566744236073212</v>
      </c>
      <c r="H78" s="161">
        <f t="shared" si="5"/>
        <v>0</v>
      </c>
      <c r="I78" s="42">
        <f t="shared" si="6"/>
        <v>0</v>
      </c>
      <c r="J78" s="29"/>
    </row>
    <row r="79" spans="1:10" x14ac:dyDescent="0.25">
      <c r="A79" s="38">
        <f>Données!A79</f>
        <v>5529</v>
      </c>
      <c r="B79" s="130" t="str">
        <f>Données!B79</f>
        <v>Oulens-sous-Echallens</v>
      </c>
      <c r="C79" s="272">
        <f>VPI!R79</f>
        <v>22676.673521126762</v>
      </c>
      <c r="D79" s="150">
        <f>Effort!I79-IF(PCS!I85&lt;0, Effort!D79, 0)</f>
        <v>18.901589430741375</v>
      </c>
      <c r="E79" s="398">
        <f>IF(PCS!I85&lt;0, 0, PCS!F85/Aide!C79)</f>
        <v>0.26921938062530493</v>
      </c>
      <c r="F79" s="398">
        <f>Effort!G79</f>
        <v>-4.0578451846128116</v>
      </c>
      <c r="G79" s="285">
        <f t="shared" si="4"/>
        <v>23.228653995979492</v>
      </c>
      <c r="H79" s="161">
        <f t="shared" si="5"/>
        <v>0</v>
      </c>
      <c r="I79" s="42">
        <f t="shared" si="6"/>
        <v>0</v>
      </c>
      <c r="J79" s="29"/>
    </row>
    <row r="80" spans="1:10" x14ac:dyDescent="0.25">
      <c r="A80" s="38">
        <f>Données!A80</f>
        <v>5530</v>
      </c>
      <c r="B80" s="130" t="str">
        <f>Données!B80</f>
        <v>Pailly</v>
      </c>
      <c r="C80" s="272">
        <f>VPI!R80</f>
        <v>20358.644320175437</v>
      </c>
      <c r="D80" s="150">
        <f>Effort!I80-IF(PCS!I86&lt;0, Effort!D80, 0)</f>
        <v>16.875210121210728</v>
      </c>
      <c r="E80" s="398">
        <f>IF(PCS!I86&lt;0, 0, PCS!F86/Aide!C80)</f>
        <v>13.398498726640623</v>
      </c>
      <c r="F80" s="398">
        <f>Effort!G80</f>
        <v>-3.9307600743783149</v>
      </c>
      <c r="G80" s="285">
        <f t="shared" si="4"/>
        <v>34.204468922229665</v>
      </c>
      <c r="H80" s="161">
        <f t="shared" si="5"/>
        <v>0</v>
      </c>
      <c r="I80" s="42">
        <f t="shared" si="6"/>
        <v>0</v>
      </c>
      <c r="J80" s="29"/>
    </row>
    <row r="81" spans="1:10" x14ac:dyDescent="0.25">
      <c r="A81" s="38">
        <f>Données!A81</f>
        <v>5531</v>
      </c>
      <c r="B81" s="130" t="str">
        <f>Données!B81</f>
        <v>Penthéréaz</v>
      </c>
      <c r="C81" s="272">
        <f>VPI!R81</f>
        <v>17299.265810810808</v>
      </c>
      <c r="D81" s="150">
        <f>Effort!I81-IF(PCS!I87&lt;0, Effort!D81, 0)</f>
        <v>21.675863251731752</v>
      </c>
      <c r="E81" s="398">
        <f>IF(PCS!I87&lt;0, 0, PCS!F87/Aide!C81)</f>
        <v>1.3769893624684135</v>
      </c>
      <c r="F81" s="398">
        <f>Effort!G81</f>
        <v>-2.7918655941669783</v>
      </c>
      <c r="G81" s="285">
        <f t="shared" si="4"/>
        <v>25.844718208367144</v>
      </c>
      <c r="H81" s="161">
        <f t="shared" si="5"/>
        <v>0</v>
      </c>
      <c r="I81" s="42">
        <f t="shared" si="6"/>
        <v>0</v>
      </c>
      <c r="J81" s="29"/>
    </row>
    <row r="82" spans="1:10" x14ac:dyDescent="0.25">
      <c r="A82" s="38">
        <f>Données!A82</f>
        <v>5533</v>
      </c>
      <c r="B82" s="130" t="str">
        <f>Données!B82</f>
        <v>Poliez-Pittet</v>
      </c>
      <c r="C82" s="272">
        <f>VPI!R82</f>
        <v>28011.409726027396</v>
      </c>
      <c r="D82" s="150">
        <f>Effort!I82-IF(PCS!I88&lt;0, Effort!D82, 0)</f>
        <v>15.87324834919926</v>
      </c>
      <c r="E82" s="398">
        <f>IF(PCS!I88&lt;0, 0, PCS!F88/Aide!C82)</f>
        <v>2.1258399910044488</v>
      </c>
      <c r="F82" s="398">
        <f>Effort!G82</f>
        <v>-2.6825688088027686</v>
      </c>
      <c r="G82" s="285">
        <f t="shared" si="4"/>
        <v>20.681657149006476</v>
      </c>
      <c r="H82" s="161">
        <f t="shared" si="5"/>
        <v>0</v>
      </c>
      <c r="I82" s="42">
        <f t="shared" si="6"/>
        <v>0</v>
      </c>
      <c r="J82" s="29"/>
    </row>
    <row r="83" spans="1:10" x14ac:dyDescent="0.25">
      <c r="A83" s="38">
        <f>Données!A83</f>
        <v>5534</v>
      </c>
      <c r="B83" s="130" t="str">
        <f>Données!B83</f>
        <v>Rueyres</v>
      </c>
      <c r="C83" s="272">
        <f>VPI!R83</f>
        <v>15039.569474885846</v>
      </c>
      <c r="D83" s="150">
        <f>Effort!I83-IF(PCS!I89&lt;0, Effort!D83, 0)</f>
        <v>29.967273328707865</v>
      </c>
      <c r="E83" s="398">
        <f>IF(PCS!I89&lt;0, 0, PCS!F89/Aide!C83)</f>
        <v>1.689852228977645</v>
      </c>
      <c r="F83" s="398">
        <f>Effort!G83</f>
        <v>0</v>
      </c>
      <c r="G83" s="285">
        <f t="shared" si="4"/>
        <v>31.657125557685511</v>
      </c>
      <c r="H83" s="161">
        <f t="shared" si="5"/>
        <v>0</v>
      </c>
      <c r="I83" s="42">
        <f t="shared" si="6"/>
        <v>0</v>
      </c>
      <c r="J83" s="29"/>
    </row>
    <row r="84" spans="1:10" x14ac:dyDescent="0.25">
      <c r="A84" s="38">
        <f>Données!A84</f>
        <v>5535</v>
      </c>
      <c r="B84" s="130" t="str">
        <f>Données!B84</f>
        <v>Saint-Barthélemy</v>
      </c>
      <c r="C84" s="272">
        <f>VPI!R84</f>
        <v>25492.320666666663</v>
      </c>
      <c r="D84" s="150">
        <f>Effort!I84-IF(PCS!I90&lt;0, Effort!D84, 0)</f>
        <v>16.024059520429773</v>
      </c>
      <c r="E84" s="398">
        <f>IF(PCS!I90&lt;0, 0, PCS!F90/Aide!C84)</f>
        <v>3.2793214903071077</v>
      </c>
      <c r="F84" s="398">
        <f>Effort!G84</f>
        <v>0</v>
      </c>
      <c r="G84" s="285">
        <f t="shared" si="4"/>
        <v>19.303381010736882</v>
      </c>
      <c r="H84" s="161">
        <f t="shared" si="5"/>
        <v>0</v>
      </c>
      <c r="I84" s="42">
        <f t="shared" si="6"/>
        <v>0</v>
      </c>
      <c r="J84" s="29"/>
    </row>
    <row r="85" spans="1:10" x14ac:dyDescent="0.25">
      <c r="A85" s="38">
        <f>Données!A85</f>
        <v>5537</v>
      </c>
      <c r="B85" s="130" t="str">
        <f>Données!B85</f>
        <v>Villars-le-Terroir</v>
      </c>
      <c r="C85" s="272">
        <f>VPI!R85</f>
        <v>39162.025657894737</v>
      </c>
      <c r="D85" s="150">
        <f>Effort!I85-IF(PCS!I91&lt;0, Effort!D85, 0)</f>
        <v>10.061589159867847</v>
      </c>
      <c r="E85" s="398">
        <f>IF(PCS!I91&lt;0, 0, PCS!F91/Aide!C85)</f>
        <v>1.6553178470974139</v>
      </c>
      <c r="F85" s="398">
        <f>Effort!G85</f>
        <v>-1.9725652766945074</v>
      </c>
      <c r="G85" s="285">
        <f t="shared" si="4"/>
        <v>13.689472283659768</v>
      </c>
      <c r="H85" s="161">
        <f t="shared" si="5"/>
        <v>0</v>
      </c>
      <c r="I85" s="42">
        <f t="shared" si="6"/>
        <v>0</v>
      </c>
      <c r="J85" s="29"/>
    </row>
    <row r="86" spans="1:10" x14ac:dyDescent="0.25">
      <c r="A86" s="38">
        <f>Données!A86</f>
        <v>5539</v>
      </c>
      <c r="B86" s="130" t="str">
        <f>Données!B86</f>
        <v>Vuarrens</v>
      </c>
      <c r="C86" s="272">
        <f>VPI!R86</f>
        <v>34442.298537414965</v>
      </c>
      <c r="D86" s="150">
        <f>Effort!I86-IF(PCS!I92&lt;0, Effort!D86, 0)</f>
        <v>15.102612024098583</v>
      </c>
      <c r="E86" s="398">
        <f>IF(PCS!I92&lt;0, 0, PCS!F92/Aide!C86)</f>
        <v>3.0873775710551334</v>
      </c>
      <c r="F86" s="398">
        <f>Effort!G86</f>
        <v>-0.45562881304947339</v>
      </c>
      <c r="G86" s="285">
        <f t="shared" si="4"/>
        <v>18.645618408203187</v>
      </c>
      <c r="H86" s="161">
        <f t="shared" si="5"/>
        <v>0</v>
      </c>
      <c r="I86" s="42">
        <f t="shared" si="6"/>
        <v>0</v>
      </c>
      <c r="J86" s="29"/>
    </row>
    <row r="87" spans="1:10" x14ac:dyDescent="0.25">
      <c r="A87" s="38">
        <f>Données!A87</f>
        <v>5540</v>
      </c>
      <c r="B87" s="130" t="str">
        <f>Données!B87</f>
        <v>Montilliez</v>
      </c>
      <c r="C87" s="272">
        <f>VPI!R87</f>
        <v>67462.536103448278</v>
      </c>
      <c r="D87" s="150">
        <f>Effort!I87-IF(PCS!I93&lt;0, Effort!D87, 0)</f>
        <v>16.571738498870229</v>
      </c>
      <c r="E87" s="398">
        <f>IF(PCS!I93&lt;0, 0, PCS!F93/Aide!C87)</f>
        <v>1.7779929710331328</v>
      </c>
      <c r="F87" s="398">
        <f>Effort!G87</f>
        <v>-1.4630627506826444</v>
      </c>
      <c r="G87" s="285">
        <f t="shared" si="4"/>
        <v>19.812794220586007</v>
      </c>
      <c r="H87" s="161">
        <f t="shared" si="5"/>
        <v>0</v>
      </c>
      <c r="I87" s="42">
        <f t="shared" si="6"/>
        <v>0</v>
      </c>
      <c r="J87" s="29"/>
    </row>
    <row r="88" spans="1:10" x14ac:dyDescent="0.25">
      <c r="A88" s="38">
        <f>Données!A88</f>
        <v>5541</v>
      </c>
      <c r="B88" s="130" t="str">
        <f>Données!B88</f>
        <v>Goumoëns</v>
      </c>
      <c r="C88" s="272">
        <f>VPI!R88</f>
        <v>41725.831258278151</v>
      </c>
      <c r="D88" s="150">
        <f>Effort!I88-IF(PCS!I94&lt;0, Effort!D88, 0)</f>
        <v>19.215953742375319</v>
      </c>
      <c r="E88" s="398">
        <f>IF(PCS!I94&lt;0, 0, PCS!F94/Aide!C88)</f>
        <v>3.2992153984395123</v>
      </c>
      <c r="F88" s="398">
        <f>Effort!G88</f>
        <v>-0.26245694099136674</v>
      </c>
      <c r="G88" s="285">
        <f t="shared" si="4"/>
        <v>22.777626081806197</v>
      </c>
      <c r="H88" s="161">
        <f t="shared" si="5"/>
        <v>0</v>
      </c>
      <c r="I88" s="42">
        <f t="shared" si="6"/>
        <v>0</v>
      </c>
      <c r="J88" s="29"/>
    </row>
    <row r="89" spans="1:10" x14ac:dyDescent="0.25">
      <c r="A89" s="38">
        <f>Données!A89</f>
        <v>5551</v>
      </c>
      <c r="B89" s="130" t="str">
        <f>Données!B89</f>
        <v>Bonvillars</v>
      </c>
      <c r="C89" s="272">
        <f>VPI!R89</f>
        <v>18574.407321428567</v>
      </c>
      <c r="D89" s="150">
        <f>Effort!I89-IF(PCS!I95&lt;0, Effort!D89, 0)</f>
        <v>18.676212970295083</v>
      </c>
      <c r="E89" s="398">
        <f>IF(PCS!I95&lt;0, 0, PCS!F95/Aide!C89)</f>
        <v>9.5075962287241236</v>
      </c>
      <c r="F89" s="398">
        <f>Effort!G89</f>
        <v>-6.2316019199232109</v>
      </c>
      <c r="G89" s="285">
        <f t="shared" si="4"/>
        <v>34.415411118942416</v>
      </c>
      <c r="H89" s="161">
        <f t="shared" si="5"/>
        <v>0</v>
      </c>
      <c r="I89" s="42">
        <f t="shared" si="6"/>
        <v>0</v>
      </c>
      <c r="J89" s="29"/>
    </row>
    <row r="90" spans="1:10" x14ac:dyDescent="0.25">
      <c r="A90" s="38">
        <f>Données!A90</f>
        <v>5552</v>
      </c>
      <c r="B90" s="130" t="str">
        <f>Données!B90</f>
        <v>Bullet</v>
      </c>
      <c r="C90" s="272">
        <f>VPI!R90</f>
        <v>19038.467972027971</v>
      </c>
      <c r="D90" s="150">
        <f>Effort!I90-IF(PCS!I96&lt;0, Effort!D90, 0)</f>
        <v>-1.8285707648587355</v>
      </c>
      <c r="E90" s="398">
        <f>IF(PCS!I96&lt;0, 0, PCS!F96/Aide!C90)</f>
        <v>4.2664042148422858</v>
      </c>
      <c r="F90" s="398">
        <f>Effort!G90</f>
        <v>-16.428556158497749</v>
      </c>
      <c r="G90" s="285">
        <f t="shared" si="4"/>
        <v>18.866389608481299</v>
      </c>
      <c r="H90" s="161">
        <f t="shared" si="5"/>
        <v>0</v>
      </c>
      <c r="I90" s="42">
        <f t="shared" si="6"/>
        <v>0</v>
      </c>
      <c r="J90" s="29"/>
    </row>
    <row r="91" spans="1:10" x14ac:dyDescent="0.25">
      <c r="A91" s="38">
        <f>Données!A91</f>
        <v>5553</v>
      </c>
      <c r="B91" s="130" t="str">
        <f>Données!B91</f>
        <v>Champagne</v>
      </c>
      <c r="C91" s="272">
        <f>VPI!R91</f>
        <v>38261.021999999997</v>
      </c>
      <c r="D91" s="150">
        <f>Effort!I91-IF(PCS!I97&lt;0, Effort!D91, 0)</f>
        <v>14.555260119453315</v>
      </c>
      <c r="E91" s="398">
        <f>IF(PCS!I97&lt;0, 0, PCS!F97/Aide!C91)</f>
        <v>3.3693121161269555</v>
      </c>
      <c r="F91" s="398">
        <f>Effort!G91</f>
        <v>-7.5036259303154127</v>
      </c>
      <c r="G91" s="285">
        <f t="shared" si="4"/>
        <v>25.428198165895683</v>
      </c>
      <c r="H91" s="161">
        <f t="shared" si="5"/>
        <v>0</v>
      </c>
      <c r="I91" s="42">
        <f t="shared" si="6"/>
        <v>0</v>
      </c>
      <c r="J91" s="29"/>
    </row>
    <row r="92" spans="1:10" x14ac:dyDescent="0.25">
      <c r="A92" s="38">
        <f>Données!A92</f>
        <v>5554</v>
      </c>
      <c r="B92" s="130" t="str">
        <f>Données!B92</f>
        <v>Concise</v>
      </c>
      <c r="C92" s="272">
        <f>VPI!R92</f>
        <v>33906.908000000003</v>
      </c>
      <c r="D92" s="150">
        <f>Effort!I92-IF(PCS!I98&lt;0, Effort!D92, 0)</f>
        <v>12.940186480204773</v>
      </c>
      <c r="E92" s="398">
        <f>IF(PCS!I98&lt;0, 0, PCS!F98/Aide!C92)</f>
        <v>3.9411339128887835</v>
      </c>
      <c r="F92" s="398">
        <f>Effort!G92</f>
        <v>-5.9406750130034363</v>
      </c>
      <c r="G92" s="285">
        <f t="shared" si="4"/>
        <v>22.821995406096992</v>
      </c>
      <c r="H92" s="161">
        <f t="shared" si="5"/>
        <v>0</v>
      </c>
      <c r="I92" s="42">
        <f t="shared" si="6"/>
        <v>0</v>
      </c>
      <c r="J92" s="29"/>
    </row>
    <row r="93" spans="1:10" x14ac:dyDescent="0.25">
      <c r="A93" s="38">
        <f>Données!A93</f>
        <v>5555</v>
      </c>
      <c r="B93" s="130" t="str">
        <f>Données!B93</f>
        <v>Corcelles-près-Concise</v>
      </c>
      <c r="C93" s="272">
        <f>VPI!R93</f>
        <v>13425.133333333333</v>
      </c>
      <c r="D93" s="150">
        <f>Effort!I93-IF(PCS!I99&lt;0, Effort!D93, 0)</f>
        <v>6.5007599334447974</v>
      </c>
      <c r="E93" s="398">
        <f>IF(PCS!I99&lt;0, 0, PCS!F99/Aide!C93)</f>
        <v>1.1529196482219914</v>
      </c>
      <c r="F93" s="398">
        <f>Effort!G93</f>
        <v>-12.643223256846282</v>
      </c>
      <c r="G93" s="285">
        <f t="shared" si="4"/>
        <v>20.29690283851307</v>
      </c>
      <c r="H93" s="161">
        <f t="shared" si="5"/>
        <v>0</v>
      </c>
      <c r="I93" s="42">
        <f t="shared" si="6"/>
        <v>0</v>
      </c>
      <c r="J93" s="29"/>
    </row>
    <row r="94" spans="1:10" x14ac:dyDescent="0.25">
      <c r="A94" s="38">
        <f>Données!A94</f>
        <v>5556</v>
      </c>
      <c r="B94" s="130" t="str">
        <f>Données!B94</f>
        <v>Fiez</v>
      </c>
      <c r="C94" s="272">
        <f>VPI!R94</f>
        <v>13304.178019323672</v>
      </c>
      <c r="D94" s="150">
        <f>Effort!I94-IF(PCS!I100&lt;0, Effort!D94, 0)</f>
        <v>10.440100733142501</v>
      </c>
      <c r="E94" s="398">
        <f>IF(PCS!I100&lt;0, 0, PCS!F100/Aide!C94)</f>
        <v>4.6315506986227515</v>
      </c>
      <c r="F94" s="398">
        <f>Effort!G94</f>
        <v>-6.5351140007028503</v>
      </c>
      <c r="G94" s="285">
        <f t="shared" si="4"/>
        <v>21.606765432468102</v>
      </c>
      <c r="H94" s="161">
        <f t="shared" si="5"/>
        <v>0</v>
      </c>
      <c r="I94" s="42">
        <f t="shared" si="6"/>
        <v>0</v>
      </c>
      <c r="J94" s="29"/>
    </row>
    <row r="95" spans="1:10" x14ac:dyDescent="0.25">
      <c r="A95" s="38">
        <f>Données!A95</f>
        <v>5557</v>
      </c>
      <c r="B95" s="130" t="str">
        <f>Données!B95</f>
        <v>Fontaines-sur-Grandson</v>
      </c>
      <c r="C95" s="272">
        <f>VPI!R95</f>
        <v>5098.6839130434782</v>
      </c>
      <c r="D95" s="150">
        <f>Effort!I95-IF(PCS!I101&lt;0, Effort!D95, 0)</f>
        <v>-2.000174518228981</v>
      </c>
      <c r="E95" s="398">
        <f>IF(PCS!I101&lt;0, 0, PCS!F101/Aide!C95)</f>
        <v>1.7404834563872538</v>
      </c>
      <c r="F95" s="398">
        <f>Effort!G95</f>
        <v>-9.3964003496770232</v>
      </c>
      <c r="G95" s="285">
        <f t="shared" si="4"/>
        <v>9.1367092878352967</v>
      </c>
      <c r="H95" s="161">
        <f t="shared" si="5"/>
        <v>0</v>
      </c>
      <c r="I95" s="42">
        <f t="shared" si="6"/>
        <v>0</v>
      </c>
      <c r="J95" s="29"/>
    </row>
    <row r="96" spans="1:10" x14ac:dyDescent="0.25">
      <c r="A96" s="38">
        <f>Données!A96</f>
        <v>5559</v>
      </c>
      <c r="B96" s="130" t="str">
        <f>Données!B96</f>
        <v>Giez</v>
      </c>
      <c r="C96" s="272">
        <f>VPI!R96</f>
        <v>21009.564242424243</v>
      </c>
      <c r="D96" s="150">
        <f>Effort!I96-IF(PCS!I102&lt;0, Effort!D96, 0)</f>
        <v>27.952354615347996</v>
      </c>
      <c r="E96" s="398">
        <f>IF(PCS!I102&lt;0, 0, PCS!F102/Aide!C96)</f>
        <v>2.9456791338409478</v>
      </c>
      <c r="F96" s="398">
        <f>Effort!G96</f>
        <v>-0.8856955336227843</v>
      </c>
      <c r="G96" s="285">
        <f t="shared" si="4"/>
        <v>31.783729282811727</v>
      </c>
      <c r="H96" s="161">
        <f t="shared" si="5"/>
        <v>0</v>
      </c>
      <c r="I96" s="42">
        <f t="shared" si="6"/>
        <v>0</v>
      </c>
      <c r="J96" s="29"/>
    </row>
    <row r="97" spans="1:10" x14ac:dyDescent="0.25">
      <c r="A97" s="38">
        <f>Données!A97</f>
        <v>5560</v>
      </c>
      <c r="B97" s="130" t="str">
        <f>Données!B97</f>
        <v>Grandevent</v>
      </c>
      <c r="C97" s="272">
        <f>VPI!R97</f>
        <v>8996.1019718309853</v>
      </c>
      <c r="D97" s="150">
        <f>Effort!I97-IF(PCS!I103&lt;0, Effort!D97, 0)</f>
        <v>22.618018884901112</v>
      </c>
      <c r="E97" s="398">
        <f>IF(PCS!I103&lt;0, 0, PCS!F103/Aide!C97)</f>
        <v>2.962227427328306</v>
      </c>
      <c r="F97" s="398">
        <f>Effort!G97</f>
        <v>-0.75604377942102863</v>
      </c>
      <c r="G97" s="285">
        <f t="shared" si="4"/>
        <v>26.336290091650444</v>
      </c>
      <c r="H97" s="161">
        <f t="shared" si="5"/>
        <v>0</v>
      </c>
      <c r="I97" s="42">
        <f t="shared" si="6"/>
        <v>0</v>
      </c>
      <c r="J97" s="29"/>
    </row>
    <row r="98" spans="1:10" x14ac:dyDescent="0.25">
      <c r="A98" s="38">
        <f>Données!A98</f>
        <v>5561</v>
      </c>
      <c r="B98" s="130" t="str">
        <f>Données!B98</f>
        <v>Grandson</v>
      </c>
      <c r="C98" s="272">
        <f>VPI!R98</f>
        <v>132373.10913043478</v>
      </c>
      <c r="D98" s="150">
        <f>Effort!I98-IF(PCS!I104&lt;0, Effort!D98, 0)</f>
        <v>12.879979792142311</v>
      </c>
      <c r="E98" s="398">
        <f>IF(PCS!I104&lt;0, 0, PCS!F104/Aide!C98)</f>
        <v>3.3369419053589406</v>
      </c>
      <c r="F98" s="398">
        <f>Effort!G98</f>
        <v>-7.1730093572655313</v>
      </c>
      <c r="G98" s="285">
        <f t="shared" si="4"/>
        <v>23.389931054766784</v>
      </c>
      <c r="H98" s="161">
        <f t="shared" si="5"/>
        <v>0</v>
      </c>
      <c r="I98" s="42">
        <f t="shared" si="6"/>
        <v>0</v>
      </c>
      <c r="J98" s="29"/>
    </row>
    <row r="99" spans="1:10" x14ac:dyDescent="0.25">
      <c r="A99" s="38">
        <f>Données!A99</f>
        <v>5562</v>
      </c>
      <c r="B99" s="130" t="str">
        <f>Données!B99</f>
        <v>Mauborget</v>
      </c>
      <c r="C99" s="272">
        <f>VPI!R99</f>
        <v>4559.8122619047608</v>
      </c>
      <c r="D99" s="150">
        <f>Effort!I99-IF(PCS!I105&lt;0, Effort!D99, 0)</f>
        <v>17.026322320984278</v>
      </c>
      <c r="E99" s="398">
        <f>IF(PCS!I105&lt;0, 0, PCS!F105/Aide!C99)</f>
        <v>0.88797515499215307</v>
      </c>
      <c r="F99" s="398">
        <f>Effort!G99</f>
        <v>-2.3099234427242967</v>
      </c>
      <c r="G99" s="285">
        <f t="shared" si="4"/>
        <v>20.224220918700727</v>
      </c>
      <c r="H99" s="161">
        <f t="shared" si="5"/>
        <v>0</v>
      </c>
      <c r="I99" s="42">
        <f t="shared" si="6"/>
        <v>0</v>
      </c>
      <c r="J99" s="29"/>
    </row>
    <row r="100" spans="1:10" x14ac:dyDescent="0.25">
      <c r="A100" s="38">
        <f>Données!A100</f>
        <v>5563</v>
      </c>
      <c r="B100" s="130" t="str">
        <f>Données!B100</f>
        <v>Mutrux</v>
      </c>
      <c r="C100" s="272">
        <f>VPI!R100</f>
        <v>2282.0827499999996</v>
      </c>
      <c r="D100" s="150">
        <f>Effort!I100-IF(PCS!I106&lt;0, Effort!D100, 0)</f>
        <v>-51.673548207625601</v>
      </c>
      <c r="E100" s="398">
        <f>IF(PCS!I106&lt;0, 0, PCS!F106/Aide!C100)</f>
        <v>13.517202651831974</v>
      </c>
      <c r="F100" s="398">
        <f>Effort!G100</f>
        <v>-19.686728948769002</v>
      </c>
      <c r="G100" s="285">
        <f t="shared" si="4"/>
        <v>-18.469616607024626</v>
      </c>
      <c r="H100" s="161">
        <f t="shared" si="5"/>
        <v>-8.4696166070246264</v>
      </c>
      <c r="I100" s="42">
        <f t="shared" si="6"/>
        <v>19328.365958004426</v>
      </c>
      <c r="J100" s="29"/>
    </row>
    <row r="101" spans="1:10" x14ac:dyDescent="0.25">
      <c r="A101" s="38">
        <f>Données!A101</f>
        <v>5564</v>
      </c>
      <c r="B101" s="130" t="str">
        <f>Données!B101</f>
        <v>Novalles</v>
      </c>
      <c r="C101" s="272">
        <f>VPI!R101</f>
        <v>2548.8721381578953</v>
      </c>
      <c r="D101" s="150">
        <f>Effort!I101-IF(PCS!I107&lt;0, Effort!D101, 0)</f>
        <v>-6.3585662072326272</v>
      </c>
      <c r="E101" s="398">
        <f>IF(PCS!I107&lt;0, 0, PCS!F107/Aide!C101)</f>
        <v>0</v>
      </c>
      <c r="F101" s="398">
        <f>Effort!G101</f>
        <v>-13.52873431171767</v>
      </c>
      <c r="G101" s="285">
        <f t="shared" si="4"/>
        <v>7.1701681044850432</v>
      </c>
      <c r="H101" s="161">
        <f t="shared" si="5"/>
        <v>0</v>
      </c>
      <c r="I101" s="42">
        <f t="shared" si="6"/>
        <v>0</v>
      </c>
      <c r="J101" s="29"/>
    </row>
    <row r="102" spans="1:10" x14ac:dyDescent="0.25">
      <c r="A102" s="38">
        <f>Données!A102</f>
        <v>5565</v>
      </c>
      <c r="B102" s="130" t="str">
        <f>Données!B102</f>
        <v>Onnens</v>
      </c>
      <c r="C102" s="272">
        <f>VPI!R102</f>
        <v>19043.042992125989</v>
      </c>
      <c r="D102" s="150">
        <f>Effort!I102-IF(PCS!I108&lt;0, Effort!D102, 0)</f>
        <v>20.113868763924895</v>
      </c>
      <c r="E102" s="398">
        <f>IF(PCS!I108&lt;0, 0, PCS!F108/Aide!C102)</f>
        <v>2.0296168010533413</v>
      </c>
      <c r="F102" s="398">
        <f>Effort!G102</f>
        <v>-4.5844597016742332</v>
      </c>
      <c r="G102" s="285">
        <f t="shared" si="4"/>
        <v>26.727945266652469</v>
      </c>
      <c r="H102" s="161">
        <f t="shared" si="5"/>
        <v>0</v>
      </c>
      <c r="I102" s="42">
        <f t="shared" si="6"/>
        <v>0</v>
      </c>
      <c r="J102" s="29"/>
    </row>
    <row r="103" spans="1:10" x14ac:dyDescent="0.25">
      <c r="A103" s="38">
        <f>Données!A103</f>
        <v>5566</v>
      </c>
      <c r="B103" s="130" t="str">
        <f>Données!B103</f>
        <v>Provence</v>
      </c>
      <c r="C103" s="272">
        <f>VPI!R103</f>
        <v>8528.7641152263368</v>
      </c>
      <c r="D103" s="150">
        <f>Effort!I103-IF(PCS!I109&lt;0, Effort!D103, 0)</f>
        <v>-45.560600397774834</v>
      </c>
      <c r="E103" s="398">
        <f>IF(PCS!I109&lt;0, 0, PCS!F109/Aide!C103)</f>
        <v>4.5652816133685175</v>
      </c>
      <c r="F103" s="398">
        <f>Effort!G103</f>
        <v>-38.383104365419456</v>
      </c>
      <c r="G103" s="285">
        <f t="shared" si="4"/>
        <v>-2.6122144189868592</v>
      </c>
      <c r="H103" s="161">
        <f t="shared" si="5"/>
        <v>0</v>
      </c>
      <c r="I103" s="42">
        <f t="shared" si="6"/>
        <v>0</v>
      </c>
      <c r="J103" s="29"/>
    </row>
    <row r="104" spans="1:10" x14ac:dyDescent="0.25">
      <c r="A104" s="38">
        <f>Données!A104</f>
        <v>5568</v>
      </c>
      <c r="B104" s="130" t="str">
        <f>Données!B104</f>
        <v>Sainte-Croix</v>
      </c>
      <c r="C104" s="272">
        <f>VPI!R104</f>
        <v>106003.06099999999</v>
      </c>
      <c r="D104" s="150">
        <f>Effort!I104-IF(PCS!I110&lt;0, Effort!D104, 0)</f>
        <v>-26.203881533902919</v>
      </c>
      <c r="E104" s="398">
        <f>IF(PCS!I110&lt;0, 0, PCS!F110/Aide!C104)</f>
        <v>10.154249460777365</v>
      </c>
      <c r="F104" s="398">
        <f>Effort!G104</f>
        <v>-17.41788000006667</v>
      </c>
      <c r="G104" s="285">
        <f t="shared" si="4"/>
        <v>1.3682479269411161</v>
      </c>
      <c r="H104" s="161">
        <f t="shared" si="5"/>
        <v>0</v>
      </c>
      <c r="I104" s="42">
        <f t="shared" si="6"/>
        <v>0</v>
      </c>
      <c r="J104" s="29"/>
    </row>
    <row r="105" spans="1:10" x14ac:dyDescent="0.25">
      <c r="A105" s="38">
        <f>Données!A105</f>
        <v>5571</v>
      </c>
      <c r="B105" s="130" t="str">
        <f>Données!B105</f>
        <v>Tévenon</v>
      </c>
      <c r="C105" s="272">
        <f>VPI!R105</f>
        <v>25906.923962703961</v>
      </c>
      <c r="D105" s="150">
        <f>Effort!I105-IF(PCS!I111&lt;0, Effort!D105, 0)</f>
        <v>8.5432621541881879</v>
      </c>
      <c r="E105" s="398">
        <f>IF(PCS!I111&lt;0, 0, PCS!F111/Aide!C105)</f>
        <v>2.1905279099015389</v>
      </c>
      <c r="F105" s="398">
        <f>Effort!G105</f>
        <v>-6.8635617891560532</v>
      </c>
      <c r="G105" s="285">
        <f t="shared" si="4"/>
        <v>17.59735185324578</v>
      </c>
      <c r="H105" s="161">
        <f t="shared" si="5"/>
        <v>0</v>
      </c>
      <c r="I105" s="42">
        <f t="shared" si="6"/>
        <v>0</v>
      </c>
      <c r="J105" s="29"/>
    </row>
    <row r="106" spans="1:10" x14ac:dyDescent="0.25">
      <c r="A106" s="38">
        <f>Données!A106</f>
        <v>5581</v>
      </c>
      <c r="B106" s="130" t="str">
        <f>Données!B106</f>
        <v>Belmont-sur-Lausanne</v>
      </c>
      <c r="C106" s="272">
        <f>VPI!R106</f>
        <v>233667.07055555552</v>
      </c>
      <c r="D106" s="150">
        <f>Effort!I106-IF(PCS!I112&lt;0, Effort!D106, 0)</f>
        <v>25.431920406014228</v>
      </c>
      <c r="E106" s="398">
        <f>IF(PCS!I112&lt;0, 0, PCS!F112/Aide!C106)</f>
        <v>2.6510587629107936</v>
      </c>
      <c r="F106" s="398">
        <f>Effort!G106</f>
        <v>-4.5742701072932626</v>
      </c>
      <c r="G106" s="285">
        <f t="shared" si="4"/>
        <v>32.65724927621828</v>
      </c>
      <c r="H106" s="161">
        <f t="shared" si="5"/>
        <v>0</v>
      </c>
      <c r="I106" s="42">
        <f t="shared" si="6"/>
        <v>0</v>
      </c>
      <c r="J106" s="29"/>
    </row>
    <row r="107" spans="1:10" x14ac:dyDescent="0.25">
      <c r="A107" s="38">
        <f>Données!A107</f>
        <v>5582</v>
      </c>
      <c r="B107" s="130" t="str">
        <f>Données!B107</f>
        <v>Cheseaux-sur-Lausanne</v>
      </c>
      <c r="C107" s="272">
        <f>VPI!R107</f>
        <v>170421.56630136984</v>
      </c>
      <c r="D107" s="150">
        <f>Effort!I107-IF(PCS!I113&lt;0, Effort!D107, 0)</f>
        <v>13.753860127093976</v>
      </c>
      <c r="E107" s="398">
        <f>IF(PCS!I113&lt;0, 0, PCS!F113/Aide!C107)</f>
        <v>2.6167567560750404</v>
      </c>
      <c r="F107" s="398">
        <f>Effort!G107</f>
        <v>-2.7891638971844919</v>
      </c>
      <c r="G107" s="285">
        <f t="shared" si="4"/>
        <v>19.159780780353508</v>
      </c>
      <c r="H107" s="161">
        <f t="shared" si="5"/>
        <v>0</v>
      </c>
      <c r="I107" s="42">
        <f t="shared" si="6"/>
        <v>0</v>
      </c>
      <c r="J107" s="29"/>
    </row>
    <row r="108" spans="1:10" x14ac:dyDescent="0.25">
      <c r="A108" s="38">
        <f>Données!A108</f>
        <v>5583</v>
      </c>
      <c r="B108" s="130" t="str">
        <f>Données!B108</f>
        <v>Crissier</v>
      </c>
      <c r="C108" s="272">
        <f>VPI!R108</f>
        <v>340450.32850393705</v>
      </c>
      <c r="D108" s="150">
        <f>Effort!I108-IF(PCS!I114&lt;0, Effort!D108, 0)</f>
        <v>3.7147601323465906</v>
      </c>
      <c r="E108" s="398">
        <f>IF(PCS!I114&lt;0, 0, PCS!F114/Aide!C108)</f>
        <v>6.4869653664454026</v>
      </c>
      <c r="F108" s="398">
        <f>Effort!G108</f>
        <v>-10.291719621303034</v>
      </c>
      <c r="G108" s="285">
        <f t="shared" si="4"/>
        <v>20.493445120095028</v>
      </c>
      <c r="H108" s="161">
        <f t="shared" si="5"/>
        <v>0</v>
      </c>
      <c r="I108" s="42">
        <f t="shared" si="6"/>
        <v>0</v>
      </c>
      <c r="J108" s="29"/>
    </row>
    <row r="109" spans="1:10" x14ac:dyDescent="0.25">
      <c r="A109" s="38">
        <f>Données!A109</f>
        <v>5584</v>
      </c>
      <c r="B109" s="130" t="str">
        <f>Données!B109</f>
        <v>Epalinges</v>
      </c>
      <c r="C109" s="272">
        <f>VPI!R109</f>
        <v>489743.06325581396</v>
      </c>
      <c r="D109" s="150">
        <f>Effort!I109-IF(PCS!I115&lt;0, Effort!D109, 0)</f>
        <v>13.146078182987315</v>
      </c>
      <c r="E109" s="398">
        <f>IF(PCS!I115&lt;0, 0, PCS!F115/Aide!C109)</f>
        <v>5.0201857350570913</v>
      </c>
      <c r="F109" s="398">
        <f>Effort!G109</f>
        <v>-8.9025833328033723</v>
      </c>
      <c r="G109" s="285">
        <f t="shared" si="4"/>
        <v>27.068847250847782</v>
      </c>
      <c r="H109" s="161">
        <f t="shared" si="5"/>
        <v>0</v>
      </c>
      <c r="I109" s="42">
        <f t="shared" si="6"/>
        <v>0</v>
      </c>
      <c r="J109" s="29"/>
    </row>
    <row r="110" spans="1:10" x14ac:dyDescent="0.25">
      <c r="A110" s="38">
        <f>Données!A110</f>
        <v>5585</v>
      </c>
      <c r="B110" s="130" t="str">
        <f>Données!B110</f>
        <v>Jouxtens-Mézery</v>
      </c>
      <c r="C110" s="272">
        <f>VPI!R110</f>
        <v>210572.62440677959</v>
      </c>
      <c r="D110" s="150">
        <f>Effort!I110-IF(PCS!I116&lt;0, Effort!D110, 0)</f>
        <v>46.959952781247736</v>
      </c>
      <c r="E110" s="398">
        <f>IF(PCS!I116&lt;0, 0, PCS!F116/Aide!C110)</f>
        <v>1.7470827750587485</v>
      </c>
      <c r="F110" s="398">
        <f>Effort!G110</f>
        <v>0</v>
      </c>
      <c r="G110" s="285">
        <f t="shared" si="4"/>
        <v>48.707035556306487</v>
      </c>
      <c r="H110" s="161">
        <f t="shared" si="5"/>
        <v>0</v>
      </c>
      <c r="I110" s="42">
        <f t="shared" si="6"/>
        <v>0</v>
      </c>
      <c r="J110" s="29"/>
    </row>
    <row r="111" spans="1:10" x14ac:dyDescent="0.25">
      <c r="A111" s="38">
        <f>Données!A111</f>
        <v>5586</v>
      </c>
      <c r="B111" s="130" t="str">
        <f>Données!B111</f>
        <v>Lausanne</v>
      </c>
      <c r="C111" s="272">
        <f>VPI!R111</f>
        <v>6670835.0290021216</v>
      </c>
      <c r="D111" s="150">
        <f>Effort!I111-IF(PCS!I117&lt;0, Effort!D111, 0)</f>
        <v>2.0159791603131474</v>
      </c>
      <c r="E111" s="398">
        <f>IF(PCS!I117&lt;0, 0, PCS!F117/Aide!C111)</f>
        <v>3.4784248934531132</v>
      </c>
      <c r="F111" s="398">
        <f>Effort!G111</f>
        <v>-7.2519897826299511</v>
      </c>
      <c r="G111" s="285">
        <f t="shared" si="4"/>
        <v>12.746393836396212</v>
      </c>
      <c r="H111" s="161">
        <f t="shared" si="5"/>
        <v>0</v>
      </c>
      <c r="I111" s="42">
        <f t="shared" si="6"/>
        <v>0</v>
      </c>
      <c r="J111" s="29"/>
    </row>
    <row r="112" spans="1:10" x14ac:dyDescent="0.25">
      <c r="A112" s="38">
        <f>Données!A112</f>
        <v>5587</v>
      </c>
      <c r="B112" s="130" t="str">
        <f>Données!B112</f>
        <v>Le Mont-sur-Lausanne</v>
      </c>
      <c r="C112" s="272">
        <f>VPI!R112</f>
        <v>484022.6825170067</v>
      </c>
      <c r="D112" s="150">
        <f>Effort!I112-IF(PCS!I118&lt;0, Effort!D112, 0)</f>
        <v>18.651144372481131</v>
      </c>
      <c r="E112" s="398">
        <f>IF(PCS!I118&lt;0, 0, PCS!F118/Aide!C112)</f>
        <v>4.8508870034567071</v>
      </c>
      <c r="F112" s="398">
        <f>Effort!G112</f>
        <v>-4.9169572166138567</v>
      </c>
      <c r="G112" s="285">
        <f t="shared" si="4"/>
        <v>28.418988592551695</v>
      </c>
      <c r="H112" s="161">
        <f t="shared" si="5"/>
        <v>0</v>
      </c>
      <c r="I112" s="42">
        <f t="shared" si="6"/>
        <v>0</v>
      </c>
      <c r="J112" s="29"/>
    </row>
    <row r="113" spans="1:10" x14ac:dyDescent="0.25">
      <c r="A113" s="38">
        <f>Données!A113</f>
        <v>5588</v>
      </c>
      <c r="B113" s="130" t="str">
        <f>Données!B113</f>
        <v>Paudex</v>
      </c>
      <c r="C113" s="272">
        <f>VPI!R113</f>
        <v>137544.82844253487</v>
      </c>
      <c r="D113" s="150">
        <f>Effort!I113-IF(PCS!I119&lt;0, Effort!D113, 0)</f>
        <v>39.40556060945795</v>
      </c>
      <c r="E113" s="398">
        <f>IF(PCS!I119&lt;0, 0, PCS!F119/Aide!C113)</f>
        <v>2.1374598981947868</v>
      </c>
      <c r="F113" s="398">
        <f>Effort!G113</f>
        <v>0</v>
      </c>
      <c r="G113" s="285">
        <f t="shared" si="4"/>
        <v>41.543020507652734</v>
      </c>
      <c r="H113" s="161">
        <f t="shared" si="5"/>
        <v>0</v>
      </c>
      <c r="I113" s="42">
        <f t="shared" si="6"/>
        <v>0</v>
      </c>
      <c r="J113" s="29"/>
    </row>
    <row r="114" spans="1:10" x14ac:dyDescent="0.25">
      <c r="A114" s="38">
        <f>Données!A114</f>
        <v>5589</v>
      </c>
      <c r="B114" s="130" t="str">
        <f>Données!B114</f>
        <v>Prilly</v>
      </c>
      <c r="C114" s="272">
        <f>VPI!R114</f>
        <v>404173.00015915121</v>
      </c>
      <c r="D114" s="150">
        <f>Effort!I114-IF(PCS!I120&lt;0, Effort!D114, 0)</f>
        <v>-4.3185067648227893</v>
      </c>
      <c r="E114" s="398">
        <f>IF(PCS!I120&lt;0, 0, PCS!F120/Aide!C114)</f>
        <v>4.3161769448059992</v>
      </c>
      <c r="F114" s="398">
        <f>Effort!G114</f>
        <v>-8.3566049583640662</v>
      </c>
      <c r="G114" s="285">
        <f t="shared" si="4"/>
        <v>8.3542751383472762</v>
      </c>
      <c r="H114" s="161">
        <f t="shared" si="5"/>
        <v>0</v>
      </c>
      <c r="I114" s="42">
        <f t="shared" si="6"/>
        <v>0</v>
      </c>
      <c r="J114" s="29"/>
    </row>
    <row r="115" spans="1:10" x14ac:dyDescent="0.25">
      <c r="A115" s="38">
        <f>Données!A115</f>
        <v>5590</v>
      </c>
      <c r="B115" s="130" t="str">
        <f>Données!B115</f>
        <v>Pully</v>
      </c>
      <c r="C115" s="272">
        <f>VPI!R115</f>
        <v>1396409.3683606556</v>
      </c>
      <c r="D115" s="150">
        <f>Effort!I115-IF(PCS!I121&lt;0, Effort!D115, 0)</f>
        <v>24.126374402008615</v>
      </c>
      <c r="E115" s="398">
        <f>IF(PCS!I121&lt;0, 0, PCS!F121/Aide!C115)</f>
        <v>3.1832943588874056</v>
      </c>
      <c r="F115" s="398">
        <f>Effort!G115</f>
        <v>-3.1765515110225735</v>
      </c>
      <c r="G115" s="285">
        <f t="shared" si="4"/>
        <v>30.486220271918594</v>
      </c>
      <c r="H115" s="161">
        <f t="shared" si="5"/>
        <v>0</v>
      </c>
      <c r="I115" s="42">
        <f t="shared" si="6"/>
        <v>0</v>
      </c>
      <c r="J115" s="29"/>
    </row>
    <row r="116" spans="1:10" x14ac:dyDescent="0.25">
      <c r="A116" s="38">
        <f>Données!A116</f>
        <v>5591</v>
      </c>
      <c r="B116" s="130" t="str">
        <f>Données!B116</f>
        <v>Renens</v>
      </c>
      <c r="C116" s="272">
        <f>VPI!R116</f>
        <v>592837.71432282007</v>
      </c>
      <c r="D116" s="150">
        <f>Effort!I116-IF(PCS!I122&lt;0, Effort!D116, 0)</f>
        <v>-25.804653718096471</v>
      </c>
      <c r="E116" s="398">
        <f>IF(PCS!I122&lt;0, 0, PCS!F122/Aide!C116)</f>
        <v>4.9728420675251899</v>
      </c>
      <c r="F116" s="398">
        <f>Effort!G116</f>
        <v>-12.527868282020229</v>
      </c>
      <c r="G116" s="285">
        <f t="shared" si="4"/>
        <v>-8.3039433685510531</v>
      </c>
      <c r="H116" s="161">
        <f t="shared" si="5"/>
        <v>0</v>
      </c>
      <c r="I116" s="42">
        <f t="shared" si="6"/>
        <v>0</v>
      </c>
      <c r="J116" s="29"/>
    </row>
    <row r="117" spans="1:10" x14ac:dyDescent="0.25">
      <c r="A117" s="38">
        <f>Données!A117</f>
        <v>5592</v>
      </c>
      <c r="B117" s="130" t="str">
        <f>Données!B117</f>
        <v>Romanel-sur-Lausanne</v>
      </c>
      <c r="C117" s="272">
        <f>VPI!R117</f>
        <v>113600.3384397163</v>
      </c>
      <c r="D117" s="150">
        <f>Effort!I117-IF(PCS!I123&lt;0, Effort!D117, 0)</f>
        <v>5.9986464473311418</v>
      </c>
      <c r="E117" s="398">
        <f>IF(PCS!I123&lt;0, 0, PCS!F123/Aide!C117)</f>
        <v>6.9014120535920993</v>
      </c>
      <c r="F117" s="398">
        <f>Effort!G117</f>
        <v>-2.8649970596770391</v>
      </c>
      <c r="G117" s="285">
        <f t="shared" si="4"/>
        <v>15.765055560600279</v>
      </c>
      <c r="H117" s="161">
        <f t="shared" si="5"/>
        <v>0</v>
      </c>
      <c r="I117" s="42">
        <f t="shared" si="6"/>
        <v>0</v>
      </c>
      <c r="J117" s="29"/>
    </row>
    <row r="118" spans="1:10" x14ac:dyDescent="0.25">
      <c r="A118" s="38">
        <f>Données!A118</f>
        <v>5601</v>
      </c>
      <c r="B118" s="130" t="str">
        <f>Données!B118</f>
        <v>Chexbres</v>
      </c>
      <c r="C118" s="272">
        <f>VPI!R118</f>
        <v>106014.1851851852</v>
      </c>
      <c r="D118" s="150">
        <f>Effort!I118-IF(PCS!I124&lt;0, Effort!D118, 0)</f>
        <v>23.438458536553327</v>
      </c>
      <c r="E118" s="398">
        <f>IF(PCS!I124&lt;0, 0, PCS!F124/Aide!C118)</f>
        <v>4.3365132146886003</v>
      </c>
      <c r="F118" s="398">
        <f>Effort!G118</f>
        <v>-3.3091976692309668</v>
      </c>
      <c r="G118" s="285">
        <f t="shared" si="4"/>
        <v>31.084169420472897</v>
      </c>
      <c r="H118" s="161">
        <f t="shared" si="5"/>
        <v>0</v>
      </c>
      <c r="I118" s="42">
        <f t="shared" si="6"/>
        <v>0</v>
      </c>
      <c r="J118" s="29"/>
    </row>
    <row r="119" spans="1:10" x14ac:dyDescent="0.25">
      <c r="A119" s="38">
        <f>Données!A119</f>
        <v>5604</v>
      </c>
      <c r="B119" s="130" t="str">
        <f>Données!B119</f>
        <v>Forel (Lavaux)</v>
      </c>
      <c r="C119" s="272">
        <f>VPI!R119</f>
        <v>70958.245217391304</v>
      </c>
      <c r="D119" s="150">
        <f>Effort!I119-IF(PCS!I125&lt;0, Effort!D119, 0)</f>
        <v>11.320352360286144</v>
      </c>
      <c r="E119" s="398">
        <f>IF(PCS!I125&lt;0, 0, PCS!F125/Aide!C119)</f>
        <v>3.2190462757387439</v>
      </c>
      <c r="F119" s="398">
        <f>Effort!G119</f>
        <v>-5.8966463591322054</v>
      </c>
      <c r="G119" s="285">
        <f t="shared" si="4"/>
        <v>20.436044995157093</v>
      </c>
      <c r="H119" s="161">
        <f t="shared" si="5"/>
        <v>0</v>
      </c>
      <c r="I119" s="42">
        <f t="shared" si="6"/>
        <v>0</v>
      </c>
      <c r="J119" s="29"/>
    </row>
    <row r="120" spans="1:10" x14ac:dyDescent="0.25">
      <c r="A120" s="38">
        <f>Données!A120</f>
        <v>5606</v>
      </c>
      <c r="B120" s="130" t="str">
        <f>Données!B120</f>
        <v>Lutry</v>
      </c>
      <c r="C120" s="272">
        <f>VPI!R120</f>
        <v>1017485.9645767196</v>
      </c>
      <c r="D120" s="150">
        <f>Effort!I120-IF(PCS!I126&lt;0, Effort!D120, 0)</f>
        <v>33.133909738384943</v>
      </c>
      <c r="E120" s="398">
        <f>IF(PCS!I126&lt;0, 0, PCS!F126/Aide!C120)</f>
        <v>3.1693989423643254</v>
      </c>
      <c r="F120" s="398">
        <f>Effort!G120</f>
        <v>-1.9069539537110178</v>
      </c>
      <c r="G120" s="285">
        <f t="shared" si="4"/>
        <v>38.210262634460285</v>
      </c>
      <c r="H120" s="161">
        <f t="shared" si="5"/>
        <v>0</v>
      </c>
      <c r="I120" s="42">
        <f t="shared" si="6"/>
        <v>0</v>
      </c>
      <c r="J120" s="29"/>
    </row>
    <row r="121" spans="1:10" x14ac:dyDescent="0.25">
      <c r="A121" s="38">
        <f>Données!A121</f>
        <v>5607</v>
      </c>
      <c r="B121" s="130" t="str">
        <f>Données!B121</f>
        <v>Puidoux</v>
      </c>
      <c r="C121" s="272">
        <f>VPI!R121</f>
        <v>117488.86391621709</v>
      </c>
      <c r="D121" s="150">
        <f>Effort!I121-IF(PCS!I127&lt;0, Effort!D121, 0)</f>
        <v>11.657448686886593</v>
      </c>
      <c r="E121" s="398">
        <f>IF(PCS!I127&lt;0, 0, PCS!F127/Aide!C121)</f>
        <v>5.761970645003041</v>
      </c>
      <c r="F121" s="398">
        <f>Effort!G121</f>
        <v>-8.9923992042364649</v>
      </c>
      <c r="G121" s="285">
        <f t="shared" si="4"/>
        <v>26.411818536126098</v>
      </c>
      <c r="H121" s="161">
        <f t="shared" si="5"/>
        <v>0</v>
      </c>
      <c r="I121" s="42">
        <f t="shared" si="6"/>
        <v>0</v>
      </c>
      <c r="J121" s="29"/>
    </row>
    <row r="122" spans="1:10" x14ac:dyDescent="0.25">
      <c r="A122" s="38">
        <f>Données!A122</f>
        <v>5609</v>
      </c>
      <c r="B122" s="130" t="str">
        <f>Données!B122</f>
        <v>Rivaz</v>
      </c>
      <c r="C122" s="272">
        <f>VPI!R122</f>
        <v>14930.074677419358</v>
      </c>
      <c r="D122" s="150">
        <f>Effort!I122-IF(PCS!I128&lt;0, Effort!D122, 0)</f>
        <v>23.198482408562967</v>
      </c>
      <c r="E122" s="398">
        <f>IF(PCS!I128&lt;0, 0, PCS!F128/Aide!C122)</f>
        <v>4.7278514357840358</v>
      </c>
      <c r="F122" s="398">
        <f>Effort!G122</f>
        <v>-4.9845152765708782</v>
      </c>
      <c r="G122" s="285">
        <f t="shared" si="4"/>
        <v>32.910849120917881</v>
      </c>
      <c r="H122" s="161">
        <f t="shared" si="5"/>
        <v>0</v>
      </c>
      <c r="I122" s="42">
        <f t="shared" si="6"/>
        <v>0</v>
      </c>
      <c r="J122" s="29"/>
    </row>
    <row r="123" spans="1:10" x14ac:dyDescent="0.25">
      <c r="A123" s="38">
        <f>Données!A123</f>
        <v>5610</v>
      </c>
      <c r="B123" s="130" t="str">
        <f>Données!B123</f>
        <v>St-Saphorin (Lavaux)</v>
      </c>
      <c r="C123" s="272">
        <f>VPI!R123</f>
        <v>21326.365740740741</v>
      </c>
      <c r="D123" s="150">
        <f>Effort!I123-IF(PCS!I129&lt;0, Effort!D123, 0)</f>
        <v>30.698213778740609</v>
      </c>
      <c r="E123" s="398">
        <f>IF(PCS!I129&lt;0, 0, PCS!F129/Aide!C123)</f>
        <v>1.7586529020437449</v>
      </c>
      <c r="F123" s="398">
        <f>Effort!G123</f>
        <v>-0.3269624054706784</v>
      </c>
      <c r="G123" s="285">
        <f t="shared" si="4"/>
        <v>32.783829086255032</v>
      </c>
      <c r="H123" s="161">
        <f t="shared" si="5"/>
        <v>0</v>
      </c>
      <c r="I123" s="42">
        <f t="shared" si="6"/>
        <v>0</v>
      </c>
      <c r="J123" s="29"/>
    </row>
    <row r="124" spans="1:10" x14ac:dyDescent="0.25">
      <c r="A124" s="38">
        <f>Données!A124</f>
        <v>5611</v>
      </c>
      <c r="B124" s="130" t="str">
        <f>Données!B124</f>
        <v>Savigny</v>
      </c>
      <c r="C124" s="272">
        <f>VPI!R124</f>
        <v>139625.83456521737</v>
      </c>
      <c r="D124" s="150">
        <f>Effort!I124-IF(PCS!I130&lt;0, Effort!D124, 0)</f>
        <v>15.633320916865781</v>
      </c>
      <c r="E124" s="398">
        <f>IF(PCS!I130&lt;0, 0, PCS!F130/Aide!C124)</f>
        <v>3.268032534386518</v>
      </c>
      <c r="F124" s="398">
        <f>Effort!G124</f>
        <v>-5.3848827070929168</v>
      </c>
      <c r="G124" s="285">
        <f t="shared" si="4"/>
        <v>24.286236158345215</v>
      </c>
      <c r="H124" s="161">
        <f t="shared" si="5"/>
        <v>0</v>
      </c>
      <c r="I124" s="42">
        <f t="shared" si="6"/>
        <v>0</v>
      </c>
      <c r="J124" s="29"/>
    </row>
    <row r="125" spans="1:10" x14ac:dyDescent="0.25">
      <c r="A125" s="38">
        <f>Données!A125</f>
        <v>5613</v>
      </c>
      <c r="B125" s="130" t="str">
        <f>Données!B125</f>
        <v>Bourg-en-Lavaux</v>
      </c>
      <c r="C125" s="272">
        <f>VPI!R125</f>
        <v>367203.96533333336</v>
      </c>
      <c r="D125" s="150">
        <f>Effort!I125-IF(PCS!I131&lt;0, Effort!D125, 0)</f>
        <v>30.907958615407608</v>
      </c>
      <c r="E125" s="398">
        <f>IF(PCS!I131&lt;0, 0, PCS!F131/Aide!C125)</f>
        <v>3.2435844038851953</v>
      </c>
      <c r="F125" s="398">
        <f>Effort!G125</f>
        <v>0</v>
      </c>
      <c r="G125" s="285">
        <f t="shared" si="4"/>
        <v>34.151543019292802</v>
      </c>
      <c r="H125" s="161">
        <f t="shared" si="5"/>
        <v>0</v>
      </c>
      <c r="I125" s="42">
        <f t="shared" si="6"/>
        <v>0</v>
      </c>
      <c r="J125" s="29"/>
    </row>
    <row r="126" spans="1:10" x14ac:dyDescent="0.25">
      <c r="A126" s="38">
        <f>Données!A126</f>
        <v>5621</v>
      </c>
      <c r="B126" s="130" t="str">
        <f>Données!B126</f>
        <v>Aclens</v>
      </c>
      <c r="C126" s="272">
        <f>VPI!R126</f>
        <v>39195.040043988265</v>
      </c>
      <c r="D126" s="150">
        <f>Effort!I126-IF(PCS!I132&lt;0, Effort!D126, 0)</f>
        <v>35.330236274130868</v>
      </c>
      <c r="E126" s="398">
        <f>IF(PCS!I132&lt;0, 0, PCS!F132/Aide!C126)</f>
        <v>4.3625947264780702</v>
      </c>
      <c r="F126" s="398">
        <f>Effort!G126</f>
        <v>0</v>
      </c>
      <c r="G126" s="285">
        <f t="shared" si="4"/>
        <v>39.69283100060894</v>
      </c>
      <c r="H126" s="161">
        <f t="shared" si="5"/>
        <v>0</v>
      </c>
      <c r="I126" s="42">
        <f t="shared" si="6"/>
        <v>0</v>
      </c>
      <c r="J126" s="29"/>
    </row>
    <row r="127" spans="1:10" x14ac:dyDescent="0.25">
      <c r="A127" s="38">
        <f>Données!A127</f>
        <v>5622</v>
      </c>
      <c r="B127" s="130" t="str">
        <f>Données!B127</f>
        <v>Bremblens</v>
      </c>
      <c r="C127" s="272">
        <f>VPI!R127</f>
        <v>30851.898676470591</v>
      </c>
      <c r="D127" s="150">
        <f>Effort!I127-IF(PCS!I133&lt;0, Effort!D127, 0)</f>
        <v>30.37821232376065</v>
      </c>
      <c r="E127" s="398">
        <f>IF(PCS!I133&lt;0, 0, PCS!F133/Aide!C127)</f>
        <v>5.1201023851563798</v>
      </c>
      <c r="F127" s="398">
        <f>Effort!G127</f>
        <v>0</v>
      </c>
      <c r="G127" s="285">
        <f t="shared" si="4"/>
        <v>35.498314708917029</v>
      </c>
      <c r="H127" s="161">
        <f t="shared" si="5"/>
        <v>0</v>
      </c>
      <c r="I127" s="42">
        <f t="shared" si="6"/>
        <v>0</v>
      </c>
      <c r="J127" s="29"/>
    </row>
    <row r="128" spans="1:10" x14ac:dyDescent="0.25">
      <c r="A128" s="38">
        <f>Données!A128</f>
        <v>5623</v>
      </c>
      <c r="B128" s="130" t="str">
        <f>Données!B128</f>
        <v>Buchillon</v>
      </c>
      <c r="C128" s="272">
        <f>VPI!R128</f>
        <v>88400.607692307691</v>
      </c>
      <c r="D128" s="150">
        <f>Effort!I128-IF(PCS!I134&lt;0, Effort!D128, 0)</f>
        <v>44.457120084526352</v>
      </c>
      <c r="E128" s="398">
        <f>IF(PCS!I134&lt;0, 0, PCS!F134/Aide!C128)</f>
        <v>1.0250314716771438</v>
      </c>
      <c r="F128" s="398">
        <f>Effort!G128</f>
        <v>0</v>
      </c>
      <c r="G128" s="285">
        <f t="shared" si="4"/>
        <v>45.482151556203497</v>
      </c>
      <c r="H128" s="161">
        <f t="shared" si="5"/>
        <v>0</v>
      </c>
      <c r="I128" s="42">
        <f t="shared" si="6"/>
        <v>0</v>
      </c>
      <c r="J128" s="29"/>
    </row>
    <row r="129" spans="1:10" x14ac:dyDescent="0.25">
      <c r="A129" s="38">
        <f>Données!A129</f>
        <v>5624</v>
      </c>
      <c r="B129" s="130" t="str">
        <f>Données!B129</f>
        <v>Bussigny</v>
      </c>
      <c r="C129" s="272">
        <f>VPI!R129</f>
        <v>394274.86895999993</v>
      </c>
      <c r="D129" s="150">
        <f>Effort!I129-IF(PCS!I135&lt;0, Effort!D129, 0)</f>
        <v>6.9632597109472751</v>
      </c>
      <c r="E129" s="398">
        <f>IF(PCS!I135&lt;0, 0, PCS!F135/Aide!C129)</f>
        <v>3.8941425661998399</v>
      </c>
      <c r="F129" s="398">
        <f>Effort!G129</f>
        <v>-6.6507323985731377</v>
      </c>
      <c r="G129" s="285">
        <f t="shared" si="4"/>
        <v>17.508134675720253</v>
      </c>
      <c r="H129" s="161">
        <f t="shared" si="5"/>
        <v>0</v>
      </c>
      <c r="I129" s="42">
        <f t="shared" si="6"/>
        <v>0</v>
      </c>
      <c r="J129" s="29"/>
    </row>
    <row r="130" spans="1:10" x14ac:dyDescent="0.25">
      <c r="A130" s="38">
        <f>Données!A130</f>
        <v>5627</v>
      </c>
      <c r="B130" s="130" t="str">
        <f>Données!B130</f>
        <v>Chavannes-près-Renens</v>
      </c>
      <c r="C130" s="272">
        <f>VPI!R130</f>
        <v>188678.11200000002</v>
      </c>
      <c r="D130" s="150">
        <f>Effort!I130-IF(PCS!I136&lt;0, Effort!D130, 0)</f>
        <v>-31.82504151577081</v>
      </c>
      <c r="E130" s="398">
        <f>IF(PCS!I136&lt;0, 0, PCS!F136/Aide!C130)</f>
        <v>5.259888650995193</v>
      </c>
      <c r="F130" s="398">
        <f>Effort!G130</f>
        <v>-12.221953287712322</v>
      </c>
      <c r="G130" s="285">
        <f t="shared" si="4"/>
        <v>-14.343199577063293</v>
      </c>
      <c r="H130" s="161">
        <f t="shared" si="5"/>
        <v>-4.3431995770632934</v>
      </c>
      <c r="I130" s="42">
        <f t="shared" si="6"/>
        <v>819466.69623950077</v>
      </c>
      <c r="J130" s="29"/>
    </row>
    <row r="131" spans="1:10" x14ac:dyDescent="0.25">
      <c r="A131" s="38">
        <f>Données!A131</f>
        <v>5628</v>
      </c>
      <c r="B131" s="130" t="str">
        <f>Données!B131</f>
        <v>Chigny</v>
      </c>
      <c r="C131" s="272">
        <f>VPI!R131</f>
        <v>27627.246129032257</v>
      </c>
      <c r="D131" s="150">
        <f>Effort!I131-IF(PCS!I137&lt;0, Effort!D131, 0)</f>
        <v>34.297012870811919</v>
      </c>
      <c r="E131" s="398">
        <f>IF(PCS!I137&lt;0, 0, PCS!F137/Aide!C131)</f>
        <v>3.5785249654726656</v>
      </c>
      <c r="F131" s="398">
        <f>Effort!G131</f>
        <v>0</v>
      </c>
      <c r="G131" s="285">
        <f t="shared" si="4"/>
        <v>37.875537836284586</v>
      </c>
      <c r="H131" s="161">
        <f t="shared" si="5"/>
        <v>0</v>
      </c>
      <c r="I131" s="42">
        <f t="shared" si="6"/>
        <v>0</v>
      </c>
      <c r="J131" s="29"/>
    </row>
    <row r="132" spans="1:10" x14ac:dyDescent="0.25">
      <c r="A132" s="38">
        <f>Données!A132</f>
        <v>5629</v>
      </c>
      <c r="B132" s="130" t="str">
        <f>Données!B132</f>
        <v>Clarmont</v>
      </c>
      <c r="C132" s="272">
        <f>VPI!R132</f>
        <v>9964.5079166666674</v>
      </c>
      <c r="D132" s="150">
        <f>Effort!I132-IF(PCS!I138&lt;0, Effort!D132, 0)</f>
        <v>23.494229478001966</v>
      </c>
      <c r="E132" s="398">
        <f>IF(PCS!I138&lt;0, 0, PCS!F138/Aide!C132)</f>
        <v>1.612296375732553</v>
      </c>
      <c r="F132" s="398">
        <f>Effort!G132</f>
        <v>-5.3056132557559534</v>
      </c>
      <c r="G132" s="285">
        <f t="shared" si="4"/>
        <v>30.412139109490472</v>
      </c>
      <c r="H132" s="161">
        <f t="shared" si="5"/>
        <v>0</v>
      </c>
      <c r="I132" s="42">
        <f t="shared" si="6"/>
        <v>0</v>
      </c>
      <c r="J132" s="29"/>
    </row>
    <row r="133" spans="1:10" x14ac:dyDescent="0.25">
      <c r="A133" s="38">
        <f>Données!A133</f>
        <v>5631</v>
      </c>
      <c r="B133" s="130" t="str">
        <f>Données!B133</f>
        <v>Denens</v>
      </c>
      <c r="C133" s="272">
        <f>VPI!R133</f>
        <v>41714.033529411769</v>
      </c>
      <c r="D133" s="150">
        <f>Effort!I133-IF(PCS!I139&lt;0, Effort!D133, 0)</f>
        <v>32.384756305725901</v>
      </c>
      <c r="E133" s="398">
        <f>IF(PCS!I139&lt;0, 0, PCS!F139/Aide!C133)</f>
        <v>3.3487654676574707</v>
      </c>
      <c r="F133" s="398">
        <f>Effort!G133</f>
        <v>0</v>
      </c>
      <c r="G133" s="285">
        <f t="shared" si="4"/>
        <v>35.733521773383373</v>
      </c>
      <c r="H133" s="161">
        <f t="shared" si="5"/>
        <v>0</v>
      </c>
      <c r="I133" s="42">
        <f t="shared" si="6"/>
        <v>0</v>
      </c>
      <c r="J133" s="29"/>
    </row>
    <row r="134" spans="1:10" x14ac:dyDescent="0.25">
      <c r="A134" s="38">
        <f>Données!A134</f>
        <v>5632</v>
      </c>
      <c r="B134" s="130" t="str">
        <f>Données!B134</f>
        <v>Denges</v>
      </c>
      <c r="C134" s="272">
        <f>VPI!R134</f>
        <v>81638.998870967742</v>
      </c>
      <c r="D134" s="150">
        <f>Effort!I134-IF(PCS!I140&lt;0, Effort!D134, 0)</f>
        <v>24.218882838655503</v>
      </c>
      <c r="E134" s="398">
        <f>IF(PCS!I140&lt;0, 0, PCS!F140/Aide!C134)</f>
        <v>4.1574192444035374</v>
      </c>
      <c r="F134" s="398">
        <f>Effort!G134</f>
        <v>-2.1109737505282742</v>
      </c>
      <c r="G134" s="285">
        <f t="shared" si="4"/>
        <v>30.487275833587315</v>
      </c>
      <c r="H134" s="161">
        <f t="shared" si="5"/>
        <v>0</v>
      </c>
      <c r="I134" s="42">
        <f t="shared" si="6"/>
        <v>0</v>
      </c>
      <c r="J134" s="29"/>
    </row>
    <row r="135" spans="1:10" x14ac:dyDescent="0.25">
      <c r="A135" s="38">
        <f>Données!A135</f>
        <v>5633</v>
      </c>
      <c r="B135" s="130" t="str">
        <f>Données!B135</f>
        <v>Echandens</v>
      </c>
      <c r="C135" s="272">
        <f>VPI!R135</f>
        <v>149828.14198347108</v>
      </c>
      <c r="D135" s="150">
        <f>Effort!I135-IF(PCS!I141&lt;0, Effort!D135, 0)</f>
        <v>21.903758419439274</v>
      </c>
      <c r="E135" s="398">
        <f>IF(PCS!I141&lt;0, 0, PCS!F141/Aide!C135)</f>
        <v>3.7073518876131999</v>
      </c>
      <c r="F135" s="398">
        <f>Effort!G135</f>
        <v>-5.6020472309216585</v>
      </c>
      <c r="G135" s="285">
        <f t="shared" ref="G135:G198" si="7">D135+E135-F135</f>
        <v>31.213157537974134</v>
      </c>
      <c r="H135" s="161">
        <f t="shared" ref="H135:H198" si="8">IF(G135&lt;H$5,G135-H$5,0)</f>
        <v>0</v>
      </c>
      <c r="I135" s="42">
        <f t="shared" ref="I135:I198" si="9">-H135*C135</f>
        <v>0</v>
      </c>
      <c r="J135" s="29"/>
    </row>
    <row r="136" spans="1:10" x14ac:dyDescent="0.25">
      <c r="A136" s="38">
        <f>Données!A136</f>
        <v>5634</v>
      </c>
      <c r="B136" s="130" t="str">
        <f>Données!B136</f>
        <v>Echichens</v>
      </c>
      <c r="C136" s="272">
        <f>VPI!R136</f>
        <v>183136.60893939398</v>
      </c>
      <c r="D136" s="150">
        <f>Effort!I136-IF(PCS!I142&lt;0, Effort!D136, 0)</f>
        <v>28.537199567606645</v>
      </c>
      <c r="E136" s="398">
        <f>IF(PCS!I142&lt;0, 0, PCS!F142/Aide!C136)</f>
        <v>5.0276869017745556</v>
      </c>
      <c r="F136" s="398">
        <f>Effort!G136</f>
        <v>-0.34527181719417693</v>
      </c>
      <c r="G136" s="285">
        <f t="shared" si="7"/>
        <v>33.910158286575374</v>
      </c>
      <c r="H136" s="161">
        <f t="shared" si="8"/>
        <v>0</v>
      </c>
      <c r="I136" s="42">
        <f t="shared" si="9"/>
        <v>0</v>
      </c>
      <c r="J136" s="29"/>
    </row>
    <row r="137" spans="1:10" x14ac:dyDescent="0.25">
      <c r="A137" s="38">
        <f>Données!A137</f>
        <v>5635</v>
      </c>
      <c r="B137" s="130" t="str">
        <f>Données!B137</f>
        <v>Ecublens</v>
      </c>
      <c r="C137" s="272">
        <f>VPI!R137</f>
        <v>516098.45949333342</v>
      </c>
      <c r="D137" s="150">
        <f>Effort!I137-IF(PCS!I143&lt;0, Effort!D137, 0)</f>
        <v>5.4674903018890522</v>
      </c>
      <c r="E137" s="398">
        <f>IF(PCS!I143&lt;0, 0, PCS!F143/Aide!C137)</f>
        <v>4.432048377446371</v>
      </c>
      <c r="F137" s="398">
        <f>Effort!G137</f>
        <v>-7.1552995013942535</v>
      </c>
      <c r="G137" s="285">
        <f t="shared" si="7"/>
        <v>17.054838180729675</v>
      </c>
      <c r="H137" s="161">
        <f t="shared" si="8"/>
        <v>0</v>
      </c>
      <c r="I137" s="42">
        <f t="shared" si="9"/>
        <v>0</v>
      </c>
      <c r="J137" s="29"/>
    </row>
    <row r="138" spans="1:10" x14ac:dyDescent="0.25">
      <c r="A138" s="38">
        <f>Données!A138</f>
        <v>5636</v>
      </c>
      <c r="B138" s="130" t="str">
        <f>Données!B138</f>
        <v>Etoy</v>
      </c>
      <c r="C138" s="272">
        <f>VPI!R138</f>
        <v>189426.47833333336</v>
      </c>
      <c r="D138" s="150">
        <f>Effort!I138-IF(PCS!I144&lt;0, Effort!D138, 0)</f>
        <v>31.385284102329685</v>
      </c>
      <c r="E138" s="398">
        <f>IF(PCS!I144&lt;0, 0, PCS!F144/Aide!C138)</f>
        <v>4.8809787741131254</v>
      </c>
      <c r="F138" s="398">
        <f>Effort!G138</f>
        <v>0</v>
      </c>
      <c r="G138" s="285">
        <f t="shared" si="7"/>
        <v>36.266262876442809</v>
      </c>
      <c r="H138" s="161">
        <f t="shared" si="8"/>
        <v>0</v>
      </c>
      <c r="I138" s="42">
        <f t="shared" si="9"/>
        <v>0</v>
      </c>
      <c r="J138" s="29"/>
    </row>
    <row r="139" spans="1:10" x14ac:dyDescent="0.25">
      <c r="A139" s="38">
        <f>Données!A139</f>
        <v>5637</v>
      </c>
      <c r="B139" s="130" t="str">
        <f>Données!B139</f>
        <v>Lavigny</v>
      </c>
      <c r="C139" s="272">
        <f>VPI!R139</f>
        <v>36293.251369863014</v>
      </c>
      <c r="D139" s="150">
        <f>Effort!I139-IF(PCS!I145&lt;0, Effort!D139, 0)</f>
        <v>12.815831450032574</v>
      </c>
      <c r="E139" s="398">
        <f>IF(PCS!I145&lt;0, 0, PCS!F145/Aide!C139)</f>
        <v>5.3164626402202737</v>
      </c>
      <c r="F139" s="398">
        <f>Effort!G139</f>
        <v>-7.4163784444681129</v>
      </c>
      <c r="G139" s="285">
        <f t="shared" si="7"/>
        <v>25.548672534720961</v>
      </c>
      <c r="H139" s="161">
        <f t="shared" si="8"/>
        <v>0</v>
      </c>
      <c r="I139" s="42">
        <f t="shared" si="9"/>
        <v>0</v>
      </c>
      <c r="J139" s="29"/>
    </row>
    <row r="140" spans="1:10" x14ac:dyDescent="0.25">
      <c r="A140" s="38">
        <f>Données!A140</f>
        <v>5638</v>
      </c>
      <c r="B140" s="130" t="str">
        <f>Données!B140</f>
        <v>Lonay</v>
      </c>
      <c r="C140" s="272">
        <f>VPI!R140</f>
        <v>153885.49272727271</v>
      </c>
      <c r="D140" s="150">
        <f>Effort!I140-IF(PCS!I146&lt;0, Effort!D140, 0)</f>
        <v>25.919792957305795</v>
      </c>
      <c r="E140" s="398">
        <f>IF(PCS!I146&lt;0, 0, PCS!F146/Aide!C140)</f>
        <v>20.453022888766373</v>
      </c>
      <c r="F140" s="398">
        <f>Effort!G140</f>
        <v>-3.1749796401798487</v>
      </c>
      <c r="G140" s="285">
        <f t="shared" si="7"/>
        <v>49.547795486252021</v>
      </c>
      <c r="H140" s="161">
        <f t="shared" si="8"/>
        <v>0</v>
      </c>
      <c r="I140" s="42">
        <f t="shared" si="9"/>
        <v>0</v>
      </c>
      <c r="J140" s="29"/>
    </row>
    <row r="141" spans="1:10" x14ac:dyDescent="0.25">
      <c r="A141" s="38">
        <f>Données!A141</f>
        <v>5639</v>
      </c>
      <c r="B141" s="130" t="str">
        <f>Données!B141</f>
        <v>Lully</v>
      </c>
      <c r="C141" s="272">
        <f>VPI!R141</f>
        <v>52241.230983606554</v>
      </c>
      <c r="D141" s="150">
        <f>Effort!I141-IF(PCS!I147&lt;0, Effort!D141, 0)</f>
        <v>33.562059514400069</v>
      </c>
      <c r="E141" s="398">
        <f>IF(PCS!I147&lt;0, 0, PCS!F147/Aide!C141)</f>
        <v>2.2400058880067624</v>
      </c>
      <c r="F141" s="398">
        <f>Effort!G141</f>
        <v>0</v>
      </c>
      <c r="G141" s="285">
        <f t="shared" si="7"/>
        <v>35.802065402406832</v>
      </c>
      <c r="H141" s="161">
        <f t="shared" si="8"/>
        <v>0</v>
      </c>
      <c r="I141" s="42">
        <f t="shared" si="9"/>
        <v>0</v>
      </c>
      <c r="J141" s="29"/>
    </row>
    <row r="142" spans="1:10" x14ac:dyDescent="0.25">
      <c r="A142" s="38">
        <f>Données!A142</f>
        <v>5640</v>
      </c>
      <c r="B142" s="130" t="str">
        <f>Données!B142</f>
        <v>Lussy-sur-Morges</v>
      </c>
      <c r="C142" s="272">
        <f>VPI!R142</f>
        <v>57770.543875968993</v>
      </c>
      <c r="D142" s="150">
        <f>Effort!I142-IF(PCS!I148&lt;0, Effort!D142, 0)</f>
        <v>37.892210728242162</v>
      </c>
      <c r="E142" s="398">
        <f>IF(PCS!I148&lt;0, 0, PCS!F148/Aide!C142)</f>
        <v>4.279027483811336</v>
      </c>
      <c r="F142" s="398">
        <f>Effort!G142</f>
        <v>0</v>
      </c>
      <c r="G142" s="285">
        <f t="shared" si="7"/>
        <v>42.171238212053495</v>
      </c>
      <c r="H142" s="161">
        <f t="shared" si="8"/>
        <v>0</v>
      </c>
      <c r="I142" s="42">
        <f t="shared" si="9"/>
        <v>0</v>
      </c>
      <c r="J142" s="29"/>
    </row>
    <row r="143" spans="1:10" x14ac:dyDescent="0.25">
      <c r="A143" s="38">
        <f>Données!A143</f>
        <v>5642</v>
      </c>
      <c r="B143" s="130" t="str">
        <f>Données!B143</f>
        <v>Morges</v>
      </c>
      <c r="C143" s="272">
        <f>VPI!R143</f>
        <v>920688.7619402986</v>
      </c>
      <c r="D143" s="150">
        <f>Effort!I143-IF(PCS!I149&lt;0, Effort!D143, 0)</f>
        <v>17.31442901606059</v>
      </c>
      <c r="E143" s="398">
        <f>IF(PCS!I149&lt;0, 0, PCS!F149/Aide!C143)</f>
        <v>3.8444483915939429</v>
      </c>
      <c r="F143" s="398">
        <f>Effort!G143</f>
        <v>-1.7961193823713217</v>
      </c>
      <c r="G143" s="285">
        <f t="shared" si="7"/>
        <v>22.954996790025856</v>
      </c>
      <c r="H143" s="161">
        <f t="shared" si="8"/>
        <v>0</v>
      </c>
      <c r="I143" s="42">
        <f t="shared" si="9"/>
        <v>0</v>
      </c>
      <c r="J143" s="29"/>
    </row>
    <row r="144" spans="1:10" x14ac:dyDescent="0.25">
      <c r="A144" s="38">
        <f>Données!A144</f>
        <v>5643</v>
      </c>
      <c r="B144" s="130" t="str">
        <f>Données!B144</f>
        <v>Préverenges</v>
      </c>
      <c r="C144" s="272">
        <f>VPI!R144</f>
        <v>252718.14639999994</v>
      </c>
      <c r="D144" s="150">
        <f>Effort!I144-IF(PCS!I150&lt;0, Effort!D144, 0)</f>
        <v>24.16009181748764</v>
      </c>
      <c r="E144" s="398">
        <f>IF(PCS!I150&lt;0, 0, PCS!F150/Aide!C144)</f>
        <v>2.4394673029304879</v>
      </c>
      <c r="F144" s="398">
        <f>Effort!G144</f>
        <v>0</v>
      </c>
      <c r="G144" s="285">
        <f t="shared" si="7"/>
        <v>26.599559120418128</v>
      </c>
      <c r="H144" s="161">
        <f t="shared" si="8"/>
        <v>0</v>
      </c>
      <c r="I144" s="42">
        <f t="shared" si="9"/>
        <v>0</v>
      </c>
      <c r="J144" s="29"/>
    </row>
    <row r="145" spans="1:10" x14ac:dyDescent="0.25">
      <c r="A145" s="38">
        <f>Données!A145</f>
        <v>5645</v>
      </c>
      <c r="B145" s="130" t="str">
        <f>Données!B145</f>
        <v>Romanel-sur-Morges</v>
      </c>
      <c r="C145" s="272">
        <f>VPI!R145</f>
        <v>23767.8325</v>
      </c>
      <c r="D145" s="150">
        <f>Effort!I145-IF(PCS!I151&lt;0, Effort!D145, 0)</f>
        <v>29.295911129784905</v>
      </c>
      <c r="E145" s="398">
        <f>IF(PCS!I151&lt;0, 0, PCS!F151/Aide!C145)</f>
        <v>2.5844632656343398</v>
      </c>
      <c r="F145" s="398">
        <f>Effort!G145</f>
        <v>-1.1387782888525262</v>
      </c>
      <c r="G145" s="285">
        <f t="shared" si="7"/>
        <v>33.019152684271774</v>
      </c>
      <c r="H145" s="161">
        <f t="shared" si="8"/>
        <v>0</v>
      </c>
      <c r="I145" s="42">
        <f t="shared" si="9"/>
        <v>0</v>
      </c>
      <c r="J145" s="29"/>
    </row>
    <row r="146" spans="1:10" x14ac:dyDescent="0.25">
      <c r="A146" s="38">
        <f>Données!A146</f>
        <v>5646</v>
      </c>
      <c r="B146" s="130" t="str">
        <f>Données!B146</f>
        <v>Saint-Prex</v>
      </c>
      <c r="C146" s="272">
        <f>VPI!R146</f>
        <v>515439.56415254233</v>
      </c>
      <c r="D146" s="150">
        <f>Effort!I146-IF(PCS!I152&lt;0, Effort!D146, 0)</f>
        <v>35.771675130717284</v>
      </c>
      <c r="E146" s="398">
        <f>IF(PCS!I152&lt;0, 0, PCS!F152/Aide!C146)</f>
        <v>2.735955140189144</v>
      </c>
      <c r="F146" s="398">
        <f>Effort!G146</f>
        <v>0</v>
      </c>
      <c r="G146" s="285">
        <f t="shared" si="7"/>
        <v>38.507630270906425</v>
      </c>
      <c r="H146" s="161">
        <f t="shared" si="8"/>
        <v>0</v>
      </c>
      <c r="I146" s="42">
        <f t="shared" si="9"/>
        <v>0</v>
      </c>
      <c r="J146" s="29"/>
    </row>
    <row r="147" spans="1:10" x14ac:dyDescent="0.25">
      <c r="A147" s="38">
        <f>Données!A147</f>
        <v>5648</v>
      </c>
      <c r="B147" s="130" t="str">
        <f>Données!B147</f>
        <v>Saint-Sulpice</v>
      </c>
      <c r="C147" s="272">
        <f>VPI!R147</f>
        <v>417026.83077272732</v>
      </c>
      <c r="D147" s="150">
        <f>Effort!I147-IF(PCS!I153&lt;0, Effort!D147, 0)</f>
        <v>34.496336468747181</v>
      </c>
      <c r="E147" s="398">
        <f>IF(PCS!I153&lt;0, 0, PCS!F153/Aide!C147)</f>
        <v>2.1021363742366934</v>
      </c>
      <c r="F147" s="398">
        <f>Effort!G147</f>
        <v>-3.8449000496237561E-3</v>
      </c>
      <c r="G147" s="285">
        <f t="shared" si="7"/>
        <v>36.602317743033495</v>
      </c>
      <c r="H147" s="161">
        <f t="shared" si="8"/>
        <v>0</v>
      </c>
      <c r="I147" s="42">
        <f t="shared" si="9"/>
        <v>0</v>
      </c>
      <c r="J147" s="29"/>
    </row>
    <row r="148" spans="1:10" x14ac:dyDescent="0.25">
      <c r="A148" s="38">
        <f>Données!A148</f>
        <v>5649</v>
      </c>
      <c r="B148" s="130" t="str">
        <f>Données!B148</f>
        <v>Tolochenaz</v>
      </c>
      <c r="C148" s="272">
        <f>VPI!R148</f>
        <v>329645.65999999997</v>
      </c>
      <c r="D148" s="150">
        <f>Effort!I148-IF(PCS!I154&lt;0, Effort!D148, 0)</f>
        <v>52.060187854225816</v>
      </c>
      <c r="E148" s="398">
        <f>IF(PCS!I154&lt;0, 0, PCS!F154/Aide!C148)</f>
        <v>1.5312362977871454</v>
      </c>
      <c r="F148" s="398">
        <f>Effort!G148</f>
        <v>0</v>
      </c>
      <c r="G148" s="285">
        <f t="shared" si="7"/>
        <v>53.591424152012962</v>
      </c>
      <c r="H148" s="161">
        <f t="shared" si="8"/>
        <v>0</v>
      </c>
      <c r="I148" s="42">
        <f t="shared" si="9"/>
        <v>0</v>
      </c>
      <c r="J148" s="29"/>
    </row>
    <row r="149" spans="1:10" x14ac:dyDescent="0.25">
      <c r="A149" s="38">
        <f>Données!A149</f>
        <v>5650</v>
      </c>
      <c r="B149" s="130" t="str">
        <f>Données!B149</f>
        <v>Vaux-sur-Morges</v>
      </c>
      <c r="C149" s="272">
        <f>VPI!R149</f>
        <v>90407.731785714292</v>
      </c>
      <c r="D149" s="150">
        <f>Effort!I149-IF(PCS!I155&lt;0, Effort!D149, 0)</f>
        <v>60.108236272447485</v>
      </c>
      <c r="E149" s="398">
        <f>IF(PCS!I155&lt;0, 0, PCS!F155/Aide!C149)</f>
        <v>0.17993704386432277</v>
      </c>
      <c r="F149" s="398">
        <f>Effort!G149</f>
        <v>0</v>
      </c>
      <c r="G149" s="285">
        <f t="shared" si="7"/>
        <v>60.288173316311806</v>
      </c>
      <c r="H149" s="161">
        <f t="shared" si="8"/>
        <v>0</v>
      </c>
      <c r="I149" s="42">
        <f t="shared" si="9"/>
        <v>0</v>
      </c>
      <c r="J149" s="29"/>
    </row>
    <row r="150" spans="1:10" x14ac:dyDescent="0.25">
      <c r="A150" s="38">
        <f>Données!A150</f>
        <v>5651</v>
      </c>
      <c r="B150" s="130" t="str">
        <f>Données!B150</f>
        <v>Villars-Sainte-Croix</v>
      </c>
      <c r="C150" s="272">
        <f>VPI!R150</f>
        <v>55772.548264462814</v>
      </c>
      <c r="D150" s="150">
        <f>Effort!I150-IF(PCS!I156&lt;0, Effort!D150, 0)</f>
        <v>29.973537030512418</v>
      </c>
      <c r="E150" s="398">
        <f>IF(PCS!I156&lt;0, 0, PCS!F156/Aide!C150)</f>
        <v>3.8049962141539599</v>
      </c>
      <c r="F150" s="398">
        <f>Effort!G150</f>
        <v>-1.7630763062282591</v>
      </c>
      <c r="G150" s="285">
        <f t="shared" si="7"/>
        <v>35.541609550894634</v>
      </c>
      <c r="H150" s="161">
        <f t="shared" si="8"/>
        <v>0</v>
      </c>
      <c r="I150" s="42">
        <f t="shared" si="9"/>
        <v>0</v>
      </c>
      <c r="J150" s="29"/>
    </row>
    <row r="151" spans="1:10" x14ac:dyDescent="0.25">
      <c r="A151" s="38">
        <f>Données!A151</f>
        <v>5652</v>
      </c>
      <c r="B151" s="130" t="str">
        <f>Données!B151</f>
        <v>Villars-sous-Yens</v>
      </c>
      <c r="C151" s="272">
        <f>VPI!R151</f>
        <v>25957.116337719301</v>
      </c>
      <c r="D151" s="150">
        <f>Effort!I151-IF(PCS!I157&lt;0, Effort!D151, 0)</f>
        <v>18.649211628590503</v>
      </c>
      <c r="E151" s="398">
        <f>IF(PCS!I157&lt;0, 0, PCS!F157/Aide!C151)</f>
        <v>9.464118502370777</v>
      </c>
      <c r="F151" s="398">
        <f>Effort!G151</f>
        <v>-7.2316640129782996</v>
      </c>
      <c r="G151" s="285">
        <f t="shared" si="7"/>
        <v>35.34499414393958</v>
      </c>
      <c r="H151" s="161">
        <f t="shared" si="8"/>
        <v>0</v>
      </c>
      <c r="I151" s="42">
        <f t="shared" si="9"/>
        <v>0</v>
      </c>
      <c r="J151" s="29"/>
    </row>
    <row r="152" spans="1:10" x14ac:dyDescent="0.25">
      <c r="A152" s="38">
        <f>Données!A152</f>
        <v>5653</v>
      </c>
      <c r="B152" s="130" t="str">
        <f>Données!B152</f>
        <v>Vufflens-le-Château</v>
      </c>
      <c r="C152" s="272">
        <f>VPI!R152</f>
        <v>71346.485811965817</v>
      </c>
      <c r="D152" s="150">
        <f>Effort!I152-IF(PCS!I158&lt;0, Effort!D152, 0)</f>
        <v>37.555654174001035</v>
      </c>
      <c r="E152" s="398">
        <f>IF(PCS!I158&lt;0, 0, PCS!F158/Aide!C152)</f>
        <v>2.542842831504573</v>
      </c>
      <c r="F152" s="398">
        <f>Effort!G152</f>
        <v>0</v>
      </c>
      <c r="G152" s="285">
        <f t="shared" si="7"/>
        <v>40.098497005505607</v>
      </c>
      <c r="H152" s="161">
        <f t="shared" si="8"/>
        <v>0</v>
      </c>
      <c r="I152" s="42">
        <f t="shared" si="9"/>
        <v>0</v>
      </c>
      <c r="J152" s="29"/>
    </row>
    <row r="153" spans="1:10" x14ac:dyDescent="0.25">
      <c r="A153" s="38">
        <f>Données!A153</f>
        <v>5654</v>
      </c>
      <c r="B153" s="130" t="str">
        <f>Données!B153</f>
        <v>Vullierens</v>
      </c>
      <c r="C153" s="272">
        <f>VPI!R153</f>
        <v>20741.139078947366</v>
      </c>
      <c r="D153" s="150">
        <f>Effort!I153-IF(PCS!I159&lt;0, Effort!D153, 0)</f>
        <v>19.540402428149378</v>
      </c>
      <c r="E153" s="398">
        <f>IF(PCS!I159&lt;0, 0, PCS!F159/Aide!C153)</f>
        <v>2.0032270089820288</v>
      </c>
      <c r="F153" s="398">
        <f>Effort!G153</f>
        <v>-2.1370708823138971</v>
      </c>
      <c r="G153" s="285">
        <f t="shared" si="7"/>
        <v>23.680700319445304</v>
      </c>
      <c r="H153" s="161">
        <f t="shared" si="8"/>
        <v>0</v>
      </c>
      <c r="I153" s="42">
        <f t="shared" si="9"/>
        <v>0</v>
      </c>
      <c r="J153" s="29"/>
    </row>
    <row r="154" spans="1:10" x14ac:dyDescent="0.25">
      <c r="A154" s="38">
        <f>Données!A154</f>
        <v>5655</v>
      </c>
      <c r="B154" s="130" t="str">
        <f>Données!B154</f>
        <v>Yens</v>
      </c>
      <c r="C154" s="272">
        <f>VPI!R154</f>
        <v>81487.913146853141</v>
      </c>
      <c r="D154" s="150">
        <f>Effort!I154-IF(PCS!I160&lt;0, Effort!D154, 0)</f>
        <v>29.759976502526854</v>
      </c>
      <c r="E154" s="398">
        <f>IF(PCS!I160&lt;0, 0, PCS!F160/Aide!C154)</f>
        <v>4.2345024148323693</v>
      </c>
      <c r="F154" s="398">
        <f>Effort!G154</f>
        <v>0</v>
      </c>
      <c r="G154" s="285">
        <f t="shared" si="7"/>
        <v>33.994478917359224</v>
      </c>
      <c r="H154" s="161">
        <f t="shared" si="8"/>
        <v>0</v>
      </c>
      <c r="I154" s="42">
        <f t="shared" si="9"/>
        <v>0</v>
      </c>
      <c r="J154" s="29"/>
    </row>
    <row r="155" spans="1:10" x14ac:dyDescent="0.25">
      <c r="A155" s="38">
        <f>Données!A155</f>
        <v>5656</v>
      </c>
      <c r="B155" s="130" t="str">
        <f>Données!B155</f>
        <v>Hautemorges</v>
      </c>
      <c r="C155" s="272">
        <f>VPI!R155</f>
        <v>168931.37668965515</v>
      </c>
      <c r="D155" s="150">
        <f>Effort!I155-IF(PCS!I161&lt;0, Effort!D155, 0)</f>
        <v>12.935208658137135</v>
      </c>
      <c r="E155" s="398">
        <f>IF(PCS!I161&lt;0, 0, PCS!F161/Aide!C155)</f>
        <v>3.5945554159281592</v>
      </c>
      <c r="F155" s="398">
        <f>Effort!G155</f>
        <v>-5.7914665233929119</v>
      </c>
      <c r="G155" s="285">
        <f t="shared" si="7"/>
        <v>22.321230597458207</v>
      </c>
      <c r="H155" s="161">
        <f t="shared" si="8"/>
        <v>0</v>
      </c>
      <c r="I155" s="42">
        <f t="shared" si="9"/>
        <v>0</v>
      </c>
      <c r="J155" s="29"/>
    </row>
    <row r="156" spans="1:10" x14ac:dyDescent="0.25">
      <c r="A156" s="38">
        <f>Données!A156</f>
        <v>5661</v>
      </c>
      <c r="B156" s="130" t="str">
        <f>Données!B156</f>
        <v>Boulens</v>
      </c>
      <c r="C156" s="272">
        <f>VPI!R156</f>
        <v>11008.663776223777</v>
      </c>
      <c r="D156" s="150">
        <f>Effort!I156-IF(PCS!I162&lt;0, Effort!D156, 0)</f>
        <v>12.618754785304441</v>
      </c>
      <c r="E156" s="398">
        <f>IF(PCS!I162&lt;0, 0, PCS!F162/Aide!C156)</f>
        <v>1.2167766472194701</v>
      </c>
      <c r="F156" s="398">
        <f>Effort!G156</f>
        <v>-1.3197160870904023</v>
      </c>
      <c r="G156" s="285">
        <f t="shared" si="7"/>
        <v>15.155247519614313</v>
      </c>
      <c r="H156" s="161">
        <f t="shared" si="8"/>
        <v>0</v>
      </c>
      <c r="I156" s="42">
        <f t="shared" si="9"/>
        <v>0</v>
      </c>
      <c r="J156" s="29"/>
    </row>
    <row r="157" spans="1:10" x14ac:dyDescent="0.25">
      <c r="A157" s="38">
        <f>Données!A157</f>
        <v>5663</v>
      </c>
      <c r="B157" s="130" t="str">
        <f>Données!B157</f>
        <v>Bussy-sur-Moudon</v>
      </c>
      <c r="C157" s="272">
        <f>VPI!R157</f>
        <v>6463.7352866242045</v>
      </c>
      <c r="D157" s="150">
        <f>Effort!I157-IF(PCS!I163&lt;0, Effort!D157, 0)</f>
        <v>6.8675724357200281</v>
      </c>
      <c r="E157" s="398">
        <f>IF(PCS!I163&lt;0, 0, PCS!F163/Aide!C157)</f>
        <v>3.1934127999818367</v>
      </c>
      <c r="F157" s="398">
        <f>Effort!G157</f>
        <v>0</v>
      </c>
      <c r="G157" s="285">
        <f t="shared" si="7"/>
        <v>10.060985235701864</v>
      </c>
      <c r="H157" s="161">
        <f t="shared" si="8"/>
        <v>0</v>
      </c>
      <c r="I157" s="42">
        <f t="shared" si="9"/>
        <v>0</v>
      </c>
      <c r="J157" s="29"/>
    </row>
    <row r="158" spans="1:10" x14ac:dyDescent="0.25">
      <c r="A158" s="38">
        <f>Données!A158</f>
        <v>5665</v>
      </c>
      <c r="B158" s="130" t="str">
        <f>Données!B158</f>
        <v>Chavannes-sur-Moudon</v>
      </c>
      <c r="C158" s="272">
        <f>VPI!R158</f>
        <v>5786.518857142858</v>
      </c>
      <c r="D158" s="150">
        <f>Effort!I158-IF(PCS!I164&lt;0, Effort!D158, 0)</f>
        <v>7.1031029029385238</v>
      </c>
      <c r="E158" s="398">
        <f>IF(PCS!I164&lt;0, 0, PCS!F164/Aide!C158)</f>
        <v>4.5363889150032266</v>
      </c>
      <c r="F158" s="398">
        <f>Effort!G158</f>
        <v>-4.3216511366240837</v>
      </c>
      <c r="G158" s="285">
        <f t="shared" si="7"/>
        <v>15.961142954565833</v>
      </c>
      <c r="H158" s="161">
        <f t="shared" si="8"/>
        <v>0</v>
      </c>
      <c r="I158" s="42">
        <f t="shared" si="9"/>
        <v>0</v>
      </c>
      <c r="J158" s="29"/>
    </row>
    <row r="159" spans="1:10" x14ac:dyDescent="0.25">
      <c r="A159" s="38">
        <f>Données!A159</f>
        <v>5669</v>
      </c>
      <c r="B159" s="130" t="str">
        <f>Données!B159</f>
        <v>Curtilles</v>
      </c>
      <c r="C159" s="272">
        <f>VPI!R159</f>
        <v>8428.0239726027376</v>
      </c>
      <c r="D159" s="150">
        <f>Effort!I159-IF(PCS!I165&lt;0, Effort!D159, 0)</f>
        <v>13.255100148302837</v>
      </c>
      <c r="E159" s="398">
        <f>IF(PCS!I165&lt;0, 0, PCS!F165/Aide!C159)</f>
        <v>0.61402589940686325</v>
      </c>
      <c r="F159" s="398">
        <f>Effort!G159</f>
        <v>0</v>
      </c>
      <c r="G159" s="285">
        <f t="shared" si="7"/>
        <v>13.869126047709701</v>
      </c>
      <c r="H159" s="161">
        <f t="shared" si="8"/>
        <v>0</v>
      </c>
      <c r="I159" s="42">
        <f t="shared" si="9"/>
        <v>0</v>
      </c>
      <c r="J159" s="29"/>
    </row>
    <row r="160" spans="1:10" x14ac:dyDescent="0.25">
      <c r="A160" s="38">
        <f>Données!A160</f>
        <v>5671</v>
      </c>
      <c r="B160" s="130" t="str">
        <f>Données!B160</f>
        <v>Dompierre</v>
      </c>
      <c r="C160" s="272">
        <f>VPI!R160</f>
        <v>6751.3058974358974</v>
      </c>
      <c r="D160" s="150">
        <f>Effort!I160-IF(PCS!I166&lt;0, Effort!D160, 0)</f>
        <v>7.2432726365439546</v>
      </c>
      <c r="E160" s="398">
        <f>IF(PCS!I166&lt;0, 0, PCS!F166/Aide!C160)</f>
        <v>1.3707429555983719</v>
      </c>
      <c r="F160" s="398">
        <f>Effort!G160</f>
        <v>-1.5958180511402378</v>
      </c>
      <c r="G160" s="285">
        <f t="shared" si="7"/>
        <v>10.209833643282565</v>
      </c>
      <c r="H160" s="161">
        <f t="shared" si="8"/>
        <v>0</v>
      </c>
      <c r="I160" s="42">
        <f t="shared" si="9"/>
        <v>0</v>
      </c>
      <c r="J160" s="29"/>
    </row>
    <row r="161" spans="1:10" x14ac:dyDescent="0.25">
      <c r="A161" s="38">
        <f>Données!A161</f>
        <v>5673</v>
      </c>
      <c r="B161" s="130" t="str">
        <f>Données!B161</f>
        <v>Hermenches</v>
      </c>
      <c r="C161" s="272">
        <f>VPI!R161</f>
        <v>9674.9504761904736</v>
      </c>
      <c r="D161" s="150">
        <f>Effort!I161-IF(PCS!I167&lt;0, Effort!D161, 0)</f>
        <v>1.0252278554820755</v>
      </c>
      <c r="E161" s="398">
        <f>IF(PCS!I167&lt;0, 0, PCS!F167/Aide!C161)</f>
        <v>3.4150329845419178</v>
      </c>
      <c r="F161" s="398">
        <f>Effort!G161</f>
        <v>-7.6429053645993372</v>
      </c>
      <c r="G161" s="285">
        <f t="shared" si="7"/>
        <v>12.083166204623332</v>
      </c>
      <c r="H161" s="161">
        <f t="shared" si="8"/>
        <v>0</v>
      </c>
      <c r="I161" s="42">
        <f t="shared" si="9"/>
        <v>0</v>
      </c>
      <c r="J161" s="29"/>
    </row>
    <row r="162" spans="1:10" x14ac:dyDescent="0.25">
      <c r="A162" s="38">
        <f>Données!A162</f>
        <v>5674</v>
      </c>
      <c r="B162" s="130" t="str">
        <f>Données!B162</f>
        <v>Lovatens</v>
      </c>
      <c r="C162" s="272">
        <f>VPI!R162</f>
        <v>3538.9423999999999</v>
      </c>
      <c r="D162" s="150">
        <f>Effort!I162-IF(PCS!I168&lt;0, Effort!D162, 0)</f>
        <v>0.40832808746293381</v>
      </c>
      <c r="E162" s="398">
        <f>IF(PCS!I168&lt;0, 0, PCS!F168/Aide!C162)</f>
        <v>5.3617925513565865</v>
      </c>
      <c r="F162" s="398">
        <f>Effort!G162</f>
        <v>-5.3902815415482603</v>
      </c>
      <c r="G162" s="285">
        <f t="shared" si="7"/>
        <v>11.160402180367781</v>
      </c>
      <c r="H162" s="161">
        <f t="shared" si="8"/>
        <v>0</v>
      </c>
      <c r="I162" s="42">
        <f t="shared" si="9"/>
        <v>0</v>
      </c>
      <c r="J162" s="29"/>
    </row>
    <row r="163" spans="1:10" x14ac:dyDescent="0.25">
      <c r="A163" s="38">
        <f>Données!A163</f>
        <v>5675</v>
      </c>
      <c r="B163" s="130" t="str">
        <f>Données!B163</f>
        <v>Lucens</v>
      </c>
      <c r="C163" s="272">
        <f>VPI!R163</f>
        <v>92799.568476128188</v>
      </c>
      <c r="D163" s="150">
        <f>Effort!I163-IF(PCS!I169&lt;0, Effort!D163, 0)</f>
        <v>-17.077261289225479</v>
      </c>
      <c r="E163" s="398">
        <f>IF(PCS!I169&lt;0, 0, PCS!F169/Aide!C163)</f>
        <v>4.2202139668434357</v>
      </c>
      <c r="F163" s="398">
        <f>Effort!G163</f>
        <v>-7.1190524471014607</v>
      </c>
      <c r="G163" s="285">
        <f t="shared" si="7"/>
        <v>-5.7379948752805836</v>
      </c>
      <c r="H163" s="161">
        <f t="shared" si="8"/>
        <v>0</v>
      </c>
      <c r="I163" s="42">
        <f t="shared" si="9"/>
        <v>0</v>
      </c>
      <c r="J163" s="29"/>
    </row>
    <row r="164" spans="1:10" x14ac:dyDescent="0.25">
      <c r="A164" s="38">
        <f>Données!A164</f>
        <v>5678</v>
      </c>
      <c r="B164" s="130" t="str">
        <f>Données!B164</f>
        <v>Moudon</v>
      </c>
      <c r="C164" s="272">
        <f>VPI!R164</f>
        <v>130665.93158620689</v>
      </c>
      <c r="D164" s="150">
        <f>Effort!I164-IF(PCS!I170&lt;0, Effort!D164, 0)</f>
        <v>-24.360049275921138</v>
      </c>
      <c r="E164" s="398">
        <f>IF(PCS!I170&lt;0, 0, PCS!F170/Aide!C164)</f>
        <v>4.3765394931785426</v>
      </c>
      <c r="F164" s="398">
        <f>Effort!G164</f>
        <v>-10.173884032938565</v>
      </c>
      <c r="G164" s="285">
        <f t="shared" si="7"/>
        <v>-9.8096257498040291</v>
      </c>
      <c r="H164" s="161">
        <f t="shared" si="8"/>
        <v>0</v>
      </c>
      <c r="I164" s="42">
        <f t="shared" si="9"/>
        <v>0</v>
      </c>
      <c r="J164" s="29"/>
    </row>
    <row r="165" spans="1:10" x14ac:dyDescent="0.25">
      <c r="A165" s="38">
        <f>Données!A165</f>
        <v>5680</v>
      </c>
      <c r="B165" s="130" t="str">
        <f>Données!B165</f>
        <v>Ogens</v>
      </c>
      <c r="C165" s="272">
        <f>VPI!R165</f>
        <v>10095.699401709404</v>
      </c>
      <c r="D165" s="150">
        <f>Effort!I165-IF(PCS!I171&lt;0, Effort!D165, 0)</f>
        <v>13.336592227153391</v>
      </c>
      <c r="E165" s="398">
        <f>IF(PCS!I171&lt;0, 0, PCS!F171/Aide!C165)</f>
        <v>7.4013544804382843</v>
      </c>
      <c r="F165" s="398">
        <f>Effort!G165</f>
        <v>-1.508029579873178</v>
      </c>
      <c r="G165" s="285">
        <f t="shared" si="7"/>
        <v>22.245976287464853</v>
      </c>
      <c r="H165" s="161">
        <f t="shared" si="8"/>
        <v>0</v>
      </c>
      <c r="I165" s="42">
        <f t="shared" si="9"/>
        <v>0</v>
      </c>
      <c r="J165" s="29"/>
    </row>
    <row r="166" spans="1:10" x14ac:dyDescent="0.25">
      <c r="A166" s="38">
        <f>Données!A166</f>
        <v>5683</v>
      </c>
      <c r="B166" s="130" t="str">
        <f>Données!B166</f>
        <v>Prévonloup</v>
      </c>
      <c r="C166" s="272">
        <f>VPI!R166</f>
        <v>5181.5288275862076</v>
      </c>
      <c r="D166" s="150">
        <f>Effort!I166-IF(PCS!I172&lt;0, Effort!D166, 0)</f>
        <v>4.8458875362044544</v>
      </c>
      <c r="E166" s="398">
        <f>IF(PCS!I172&lt;0, 0, PCS!F172/Aide!C166)</f>
        <v>1.072752885288762</v>
      </c>
      <c r="F166" s="398">
        <f>Effort!G166</f>
        <v>0</v>
      </c>
      <c r="G166" s="285">
        <f t="shared" si="7"/>
        <v>5.9186404214932162</v>
      </c>
      <c r="H166" s="161">
        <f t="shared" si="8"/>
        <v>0</v>
      </c>
      <c r="I166" s="42">
        <f t="shared" si="9"/>
        <v>0</v>
      </c>
      <c r="J166" s="29"/>
    </row>
    <row r="167" spans="1:10" x14ac:dyDescent="0.25">
      <c r="A167" s="38">
        <f>Données!A167</f>
        <v>5684</v>
      </c>
      <c r="B167" s="130" t="str">
        <f>Données!B167</f>
        <v>Rossenges</v>
      </c>
      <c r="C167" s="272">
        <f>VPI!R167</f>
        <v>3699.9676666666669</v>
      </c>
      <c r="D167" s="150">
        <f>Effort!I167-IF(PCS!I173&lt;0, Effort!D167, 0)</f>
        <v>24.222196040415316</v>
      </c>
      <c r="E167" s="398">
        <f>IF(PCS!I173&lt;0, 0, PCS!F173/Aide!C167)</f>
        <v>1.7468598599465237</v>
      </c>
      <c r="F167" s="398">
        <f>Effort!G167</f>
        <v>0</v>
      </c>
      <c r="G167" s="285">
        <f t="shared" si="7"/>
        <v>25.969055900361841</v>
      </c>
      <c r="H167" s="161">
        <f t="shared" si="8"/>
        <v>0</v>
      </c>
      <c r="I167" s="42">
        <f t="shared" si="9"/>
        <v>0</v>
      </c>
      <c r="J167" s="29"/>
    </row>
    <row r="168" spans="1:10" x14ac:dyDescent="0.25">
      <c r="A168" s="38">
        <f>Données!A168</f>
        <v>5688</v>
      </c>
      <c r="B168" s="130" t="str">
        <f>Données!B168</f>
        <v>Syens</v>
      </c>
      <c r="C168" s="272">
        <f>VPI!R168</f>
        <v>5276.9227692307695</v>
      </c>
      <c r="D168" s="150">
        <f>Effort!I168-IF(PCS!I174&lt;0, Effort!D168, 0)</f>
        <v>16.370554349313675</v>
      </c>
      <c r="E168" s="398">
        <f>IF(PCS!I174&lt;0, 0, PCS!F174/Aide!C168)</f>
        <v>2.4666572866855558</v>
      </c>
      <c r="F168" s="398">
        <f>Effort!G168</f>
        <v>-3.412968115133431</v>
      </c>
      <c r="G168" s="285">
        <f t="shared" si="7"/>
        <v>22.250179751132663</v>
      </c>
      <c r="H168" s="161">
        <f t="shared" si="8"/>
        <v>0</v>
      </c>
      <c r="I168" s="42">
        <f t="shared" si="9"/>
        <v>0</v>
      </c>
      <c r="J168" s="29"/>
    </row>
    <row r="169" spans="1:10" x14ac:dyDescent="0.25">
      <c r="A169" s="38">
        <f>Données!A169</f>
        <v>5690</v>
      </c>
      <c r="B169" s="130" t="str">
        <f>Données!B169</f>
        <v>Villars-le-Comte</v>
      </c>
      <c r="C169" s="272">
        <f>VPI!R169</f>
        <v>4331.3648095238095</v>
      </c>
      <c r="D169" s="150">
        <f>Effort!I169-IF(PCS!I175&lt;0, Effort!D169, 0)</f>
        <v>17.631848585269488</v>
      </c>
      <c r="E169" s="398">
        <f>IF(PCS!I175&lt;0, 0, PCS!F175/Aide!C169)</f>
        <v>3.9664749462395892</v>
      </c>
      <c r="F169" s="398">
        <f>Effort!G169</f>
        <v>0</v>
      </c>
      <c r="G169" s="285">
        <f t="shared" si="7"/>
        <v>21.598323531509077</v>
      </c>
      <c r="H169" s="161">
        <f t="shared" si="8"/>
        <v>0</v>
      </c>
      <c r="I169" s="42">
        <f t="shared" si="9"/>
        <v>0</v>
      </c>
      <c r="J169" s="29"/>
    </row>
    <row r="170" spans="1:10" x14ac:dyDescent="0.25">
      <c r="A170" s="38">
        <f>Données!A170</f>
        <v>5692</v>
      </c>
      <c r="B170" s="130" t="str">
        <f>Données!B170</f>
        <v>Vucherens</v>
      </c>
      <c r="C170" s="272">
        <f>VPI!R170</f>
        <v>18948.19272727273</v>
      </c>
      <c r="D170" s="150">
        <f>Effort!I170-IF(PCS!I176&lt;0, Effort!D170, 0)</f>
        <v>8.1007762751394772</v>
      </c>
      <c r="E170" s="398">
        <f>IF(PCS!I176&lt;0, 0, PCS!F176/Aide!C170)</f>
        <v>4.8084480304478054</v>
      </c>
      <c r="F170" s="398">
        <f>Effort!G170</f>
        <v>-5.1478303582842209</v>
      </c>
      <c r="G170" s="285">
        <f t="shared" si="7"/>
        <v>18.057054663871504</v>
      </c>
      <c r="H170" s="161">
        <f t="shared" si="8"/>
        <v>0</v>
      </c>
      <c r="I170" s="42">
        <f t="shared" si="9"/>
        <v>0</v>
      </c>
      <c r="J170" s="29"/>
    </row>
    <row r="171" spans="1:10" x14ac:dyDescent="0.25">
      <c r="A171" s="38">
        <f>Données!A171</f>
        <v>5693</v>
      </c>
      <c r="B171" s="130" t="str">
        <f>Données!B171</f>
        <v>Montanaire</v>
      </c>
      <c r="C171" s="272">
        <f>VPI!R171</f>
        <v>80076.194857142837</v>
      </c>
      <c r="D171" s="150">
        <f>Effort!I171-IF(PCS!I177&lt;0, Effort!D171, 0)</f>
        <v>0.69195388480663311</v>
      </c>
      <c r="E171" s="398">
        <f>IF(PCS!I177&lt;0, 0, PCS!F177/Aide!C171)</f>
        <v>2.7514364336749817</v>
      </c>
      <c r="F171" s="398">
        <f>Effort!G171</f>
        <v>-7.9906716005058689</v>
      </c>
      <c r="G171" s="285">
        <f t="shared" si="7"/>
        <v>11.434061918987483</v>
      </c>
      <c r="H171" s="161">
        <f t="shared" si="8"/>
        <v>0</v>
      </c>
      <c r="I171" s="42">
        <f t="shared" si="9"/>
        <v>0</v>
      </c>
      <c r="J171" s="29"/>
    </row>
    <row r="172" spans="1:10" x14ac:dyDescent="0.25">
      <c r="A172" s="38">
        <f>Données!A172</f>
        <v>5701</v>
      </c>
      <c r="B172" s="130" t="str">
        <f>Données!B172</f>
        <v>Arnex-sur-Nyon</v>
      </c>
      <c r="C172" s="272">
        <f>VPI!R172</f>
        <v>12996.777571428571</v>
      </c>
      <c r="D172" s="150">
        <f>Effort!I172-IF(PCS!I178&lt;0, Effort!D172, 0)</f>
        <v>31.29416509408156</v>
      </c>
      <c r="E172" s="398">
        <f>IF(PCS!I178&lt;0, 0, PCS!F178/Aide!C172)</f>
        <v>15.863293333051798</v>
      </c>
      <c r="F172" s="398">
        <f>Effort!G172</f>
        <v>0</v>
      </c>
      <c r="G172" s="285">
        <f t="shared" si="7"/>
        <v>47.157458427133356</v>
      </c>
      <c r="H172" s="161">
        <f t="shared" si="8"/>
        <v>0</v>
      </c>
      <c r="I172" s="42">
        <f t="shared" si="9"/>
        <v>0</v>
      </c>
      <c r="J172" s="29"/>
    </row>
    <row r="173" spans="1:10" x14ac:dyDescent="0.25">
      <c r="A173" s="38">
        <f>Données!A173</f>
        <v>5702</v>
      </c>
      <c r="B173" s="130" t="str">
        <f>Données!B173</f>
        <v>Arzier-Le Muids</v>
      </c>
      <c r="C173" s="272">
        <f>VPI!R173</f>
        <v>187982.65953125001</v>
      </c>
      <c r="D173" s="150">
        <f>Effort!I173-IF(PCS!I179&lt;0, Effort!D173, 0)</f>
        <v>28.526881779195193</v>
      </c>
      <c r="E173" s="398">
        <f>IF(PCS!I179&lt;0, 0, PCS!F179/Aide!C173)</f>
        <v>4.4862168250141474</v>
      </c>
      <c r="F173" s="398">
        <f>Effort!G173</f>
        <v>-2.8414458382622239</v>
      </c>
      <c r="G173" s="285">
        <f t="shared" si="7"/>
        <v>35.854544442471564</v>
      </c>
      <c r="H173" s="161">
        <f t="shared" si="8"/>
        <v>0</v>
      </c>
      <c r="I173" s="42">
        <f t="shared" si="9"/>
        <v>0</v>
      </c>
      <c r="J173" s="29"/>
    </row>
    <row r="174" spans="1:10" x14ac:dyDescent="0.25">
      <c r="A174" s="38">
        <f>Données!A174</f>
        <v>5703</v>
      </c>
      <c r="B174" s="130" t="str">
        <f>Données!B174</f>
        <v>Bassins</v>
      </c>
      <c r="C174" s="272">
        <f>VPI!R174</f>
        <v>65440.672492610829</v>
      </c>
      <c r="D174" s="150">
        <f>Effort!I174-IF(PCS!I180&lt;0, Effort!D174, 0)</f>
        <v>25.694608446951651</v>
      </c>
      <c r="E174" s="398">
        <f>IF(PCS!I180&lt;0, 0, PCS!F180/Aide!C174)</f>
        <v>3.6576251570004392</v>
      </c>
      <c r="F174" s="398">
        <f>Effort!G174</f>
        <v>0</v>
      </c>
      <c r="G174" s="285">
        <f t="shared" si="7"/>
        <v>29.35223360395209</v>
      </c>
      <c r="H174" s="161">
        <f t="shared" si="8"/>
        <v>0</v>
      </c>
      <c r="I174" s="42">
        <f t="shared" si="9"/>
        <v>0</v>
      </c>
      <c r="J174" s="29"/>
    </row>
    <row r="175" spans="1:10" x14ac:dyDescent="0.25">
      <c r="A175" s="38">
        <f>Données!A175</f>
        <v>5704</v>
      </c>
      <c r="B175" s="130" t="str">
        <f>Données!B175</f>
        <v>Begnins</v>
      </c>
      <c r="C175" s="272">
        <f>VPI!R175</f>
        <v>129766.74997333332</v>
      </c>
      <c r="D175" s="150">
        <f>Effort!I175-IF(PCS!I181&lt;0, Effort!D175, 0)</f>
        <v>32.876603980275789</v>
      </c>
      <c r="E175" s="398">
        <f>IF(PCS!I181&lt;0, 0, PCS!F181/Aide!C175)</f>
        <v>2.6240410973533241</v>
      </c>
      <c r="F175" s="398">
        <f>Effort!G175</f>
        <v>0</v>
      </c>
      <c r="G175" s="285">
        <f t="shared" si="7"/>
        <v>35.500645077629116</v>
      </c>
      <c r="H175" s="161">
        <f t="shared" si="8"/>
        <v>0</v>
      </c>
      <c r="I175" s="42">
        <f t="shared" si="9"/>
        <v>0</v>
      </c>
      <c r="J175" s="29"/>
    </row>
    <row r="176" spans="1:10" x14ac:dyDescent="0.25">
      <c r="A176" s="38">
        <f>Données!A176</f>
        <v>5705</v>
      </c>
      <c r="B176" s="130" t="str">
        <f>Données!B176</f>
        <v>Bogis-Bossey</v>
      </c>
      <c r="C176" s="272">
        <f>VPI!R176</f>
        <v>51043.487651006704</v>
      </c>
      <c r="D176" s="150">
        <f>Effort!I176-IF(PCS!I182&lt;0, Effort!D176, 0)</f>
        <v>31.721997645303873</v>
      </c>
      <c r="E176" s="398">
        <f>IF(PCS!I182&lt;0, 0, PCS!F182/Aide!C176)</f>
        <v>6.7962880470053095</v>
      </c>
      <c r="F176" s="398">
        <f>Effort!G176</f>
        <v>0</v>
      </c>
      <c r="G176" s="285">
        <f t="shared" si="7"/>
        <v>38.518285692309185</v>
      </c>
      <c r="H176" s="161">
        <f t="shared" si="8"/>
        <v>0</v>
      </c>
      <c r="I176" s="42">
        <f t="shared" si="9"/>
        <v>0</v>
      </c>
      <c r="J176" s="29"/>
    </row>
    <row r="177" spans="1:10" x14ac:dyDescent="0.25">
      <c r="A177" s="38">
        <f>Données!A177</f>
        <v>5706</v>
      </c>
      <c r="B177" s="130" t="str">
        <f>Données!B177</f>
        <v>Borex</v>
      </c>
      <c r="C177" s="272">
        <f>VPI!R177</f>
        <v>69138.234561403515</v>
      </c>
      <c r="D177" s="150">
        <f>Effort!I177-IF(PCS!I183&lt;0, Effort!D177, 0)</f>
        <v>32.313900145376138</v>
      </c>
      <c r="E177" s="398">
        <f>IF(PCS!I183&lt;0, 0, PCS!F183/Aide!C177)</f>
        <v>2.852993155687483</v>
      </c>
      <c r="F177" s="398">
        <f>Effort!G177</f>
        <v>0</v>
      </c>
      <c r="G177" s="285">
        <f t="shared" si="7"/>
        <v>35.166893301063624</v>
      </c>
      <c r="H177" s="161">
        <f t="shared" si="8"/>
        <v>0</v>
      </c>
      <c r="I177" s="42">
        <f t="shared" si="9"/>
        <v>0</v>
      </c>
      <c r="J177" s="29"/>
    </row>
    <row r="178" spans="1:10" x14ac:dyDescent="0.25">
      <c r="A178" s="38">
        <f>Données!A178</f>
        <v>5707</v>
      </c>
      <c r="B178" s="130" t="str">
        <f>Données!B178</f>
        <v>Chavannes-de-Bogis</v>
      </c>
      <c r="C178" s="272">
        <f>VPI!R178</f>
        <v>86795.072643678155</v>
      </c>
      <c r="D178" s="150">
        <f>Effort!I178-IF(PCS!I184&lt;0, Effort!D178, 0)</f>
        <v>33.200574660829631</v>
      </c>
      <c r="E178" s="398">
        <f>IF(PCS!I184&lt;0, 0, PCS!F184/Aide!C178)</f>
        <v>6.0744277173941814</v>
      </c>
      <c r="F178" s="398">
        <f>Effort!G178</f>
        <v>0</v>
      </c>
      <c r="G178" s="285">
        <f t="shared" si="7"/>
        <v>39.27500237822381</v>
      </c>
      <c r="H178" s="161">
        <f t="shared" si="8"/>
        <v>0</v>
      </c>
      <c r="I178" s="42">
        <f t="shared" si="9"/>
        <v>0</v>
      </c>
      <c r="J178" s="29"/>
    </row>
    <row r="179" spans="1:10" x14ac:dyDescent="0.25">
      <c r="A179" s="38">
        <f>Données!A179</f>
        <v>5708</v>
      </c>
      <c r="B179" s="130" t="str">
        <f>Données!B179</f>
        <v>Chavannes-des-Bois</v>
      </c>
      <c r="C179" s="272">
        <f>VPI!R179</f>
        <v>68805.474411764691</v>
      </c>
      <c r="D179" s="150">
        <f>Effort!I179-IF(PCS!I185&lt;0, Effort!D179, 0)</f>
        <v>35.054951492253963</v>
      </c>
      <c r="E179" s="398">
        <f>IF(PCS!I185&lt;0, 0, PCS!F185/Aide!C179)</f>
        <v>1.801157190754141</v>
      </c>
      <c r="F179" s="398">
        <f>Effort!G179</f>
        <v>0</v>
      </c>
      <c r="G179" s="285">
        <f t="shared" si="7"/>
        <v>36.856108683008102</v>
      </c>
      <c r="H179" s="161">
        <f t="shared" si="8"/>
        <v>0</v>
      </c>
      <c r="I179" s="42">
        <f t="shared" si="9"/>
        <v>0</v>
      </c>
      <c r="J179" s="29"/>
    </row>
    <row r="180" spans="1:10" x14ac:dyDescent="0.25">
      <c r="A180" s="38">
        <f>Données!A180</f>
        <v>5709</v>
      </c>
      <c r="B180" s="130" t="str">
        <f>Données!B180</f>
        <v>Chéserex</v>
      </c>
      <c r="C180" s="272">
        <f>VPI!R180</f>
        <v>90983.181403508803</v>
      </c>
      <c r="D180" s="150">
        <f>Effort!I180-IF(PCS!I186&lt;0, Effort!D180, 0)</f>
        <v>34.799540979943274</v>
      </c>
      <c r="E180" s="398">
        <f>IF(PCS!I186&lt;0, 0, PCS!F186/Aide!C180)</f>
        <v>3.1429857209738312</v>
      </c>
      <c r="F180" s="398">
        <f>Effort!G180</f>
        <v>0</v>
      </c>
      <c r="G180" s="285">
        <f t="shared" si="7"/>
        <v>37.942526700917107</v>
      </c>
      <c r="H180" s="161">
        <f t="shared" si="8"/>
        <v>0</v>
      </c>
      <c r="I180" s="42">
        <f t="shared" si="9"/>
        <v>0</v>
      </c>
      <c r="J180" s="29"/>
    </row>
    <row r="181" spans="1:10" x14ac:dyDescent="0.25">
      <c r="A181" s="38">
        <f>Données!A181</f>
        <v>5710</v>
      </c>
      <c r="B181" s="130" t="str">
        <f>Données!B181</f>
        <v>Coinsins</v>
      </c>
      <c r="C181" s="272">
        <f>VPI!R181</f>
        <v>33546.798235294118</v>
      </c>
      <c r="D181" s="150">
        <f>Effort!I181-IF(PCS!I187&lt;0, Effort!D181, 0)</f>
        <v>33.820732464603807</v>
      </c>
      <c r="E181" s="398">
        <f>IF(PCS!I187&lt;0, 0, PCS!F187/Aide!C181)</f>
        <v>3.2092718430199279</v>
      </c>
      <c r="F181" s="398">
        <f>Effort!G181</f>
        <v>0</v>
      </c>
      <c r="G181" s="285">
        <f t="shared" si="7"/>
        <v>37.030004307623734</v>
      </c>
      <c r="H181" s="161">
        <f t="shared" si="8"/>
        <v>0</v>
      </c>
      <c r="I181" s="42">
        <f t="shared" si="9"/>
        <v>0</v>
      </c>
      <c r="J181" s="29"/>
    </row>
    <row r="182" spans="1:10" x14ac:dyDescent="0.25">
      <c r="A182" s="38">
        <f>Données!A182</f>
        <v>5711</v>
      </c>
      <c r="B182" s="130" t="str">
        <f>Données!B182</f>
        <v>Commugny</v>
      </c>
      <c r="C182" s="272">
        <f>VPI!R182</f>
        <v>305460.14325236168</v>
      </c>
      <c r="D182" s="150">
        <f>Effort!I182-IF(PCS!I188&lt;0, Effort!D182, 0)</f>
        <v>39.920810265038838</v>
      </c>
      <c r="E182" s="398">
        <f>IF(PCS!I188&lt;0, 0, PCS!F188/Aide!C182)</f>
        <v>3.8971042418994752</v>
      </c>
      <c r="F182" s="398">
        <f>Effort!G182</f>
        <v>0</v>
      </c>
      <c r="G182" s="285">
        <f t="shared" si="7"/>
        <v>43.817914506938315</v>
      </c>
      <c r="H182" s="161">
        <f t="shared" si="8"/>
        <v>0</v>
      </c>
      <c r="I182" s="42">
        <f t="shared" si="9"/>
        <v>0</v>
      </c>
      <c r="J182" s="29"/>
    </row>
    <row r="183" spans="1:10" x14ac:dyDescent="0.25">
      <c r="A183" s="38">
        <f>Données!A183</f>
        <v>5712</v>
      </c>
      <c r="B183" s="130" t="str">
        <f>Données!B183</f>
        <v>Coppet</v>
      </c>
      <c r="C183" s="272">
        <f>VPI!R183</f>
        <v>422775.96742138366</v>
      </c>
      <c r="D183" s="150">
        <f>Effort!I183-IF(PCS!I189&lt;0, Effort!D183, 0)</f>
        <v>43.513599911533383</v>
      </c>
      <c r="E183" s="398">
        <f>IF(PCS!I189&lt;0, 0, PCS!F189/Aide!C183)</f>
        <v>3.5987421760980767</v>
      </c>
      <c r="F183" s="398">
        <f>Effort!G183</f>
        <v>0</v>
      </c>
      <c r="G183" s="285">
        <f t="shared" si="7"/>
        <v>47.112342087631461</v>
      </c>
      <c r="H183" s="161">
        <f t="shared" si="8"/>
        <v>0</v>
      </c>
      <c r="I183" s="42">
        <f t="shared" si="9"/>
        <v>0</v>
      </c>
      <c r="J183" s="29"/>
    </row>
    <row r="184" spans="1:10" x14ac:dyDescent="0.25">
      <c r="A184" s="38">
        <f>Données!A184</f>
        <v>5713</v>
      </c>
      <c r="B184" s="130" t="str">
        <f>Données!B184</f>
        <v>Crans</v>
      </c>
      <c r="C184" s="272">
        <f>VPI!R184</f>
        <v>284268.21966101695</v>
      </c>
      <c r="D184" s="150">
        <f>Effort!I184-IF(PCS!I190&lt;0, Effort!D184, 0)</f>
        <v>43.684645828558828</v>
      </c>
      <c r="E184" s="398">
        <f>IF(PCS!I190&lt;0, 0, PCS!F190/Aide!C184)</f>
        <v>2.9767705162718321</v>
      </c>
      <c r="F184" s="398">
        <f>Effort!G184</f>
        <v>0</v>
      </c>
      <c r="G184" s="285">
        <f t="shared" si="7"/>
        <v>46.661416344830663</v>
      </c>
      <c r="H184" s="161">
        <f t="shared" si="8"/>
        <v>0</v>
      </c>
      <c r="I184" s="42">
        <f t="shared" si="9"/>
        <v>0</v>
      </c>
      <c r="J184" s="29"/>
    </row>
    <row r="185" spans="1:10" x14ac:dyDescent="0.25">
      <c r="A185" s="38">
        <f>Données!A185</f>
        <v>5714</v>
      </c>
      <c r="B185" s="130" t="str">
        <f>Données!B185</f>
        <v>Crassier</v>
      </c>
      <c r="C185" s="272">
        <f>VPI!R185</f>
        <v>62524.177894736851</v>
      </c>
      <c r="D185" s="150">
        <f>Effort!I185-IF(PCS!I191&lt;0, Effort!D185, 0)</f>
        <v>29.369932179965076</v>
      </c>
      <c r="E185" s="398">
        <f>IF(PCS!I191&lt;0, 0, PCS!F191/Aide!C185)</f>
        <v>4.3402425131741449</v>
      </c>
      <c r="F185" s="398">
        <f>Effort!G185</f>
        <v>0</v>
      </c>
      <c r="G185" s="285">
        <f t="shared" si="7"/>
        <v>33.710174693139223</v>
      </c>
      <c r="H185" s="161">
        <f t="shared" si="8"/>
        <v>0</v>
      </c>
      <c r="I185" s="42">
        <f t="shared" si="9"/>
        <v>0</v>
      </c>
      <c r="J185" s="29"/>
    </row>
    <row r="186" spans="1:10" x14ac:dyDescent="0.25">
      <c r="A186" s="38">
        <f>Données!A186</f>
        <v>5715</v>
      </c>
      <c r="B186" s="130" t="str">
        <f>Données!B186</f>
        <v>Duillier</v>
      </c>
      <c r="C186" s="272">
        <f>VPI!R186</f>
        <v>60549.503181818189</v>
      </c>
      <c r="D186" s="150">
        <f>Effort!I186-IF(PCS!I192&lt;0, Effort!D186, 0)</f>
        <v>30.776278364888391</v>
      </c>
      <c r="E186" s="398">
        <f>IF(PCS!I192&lt;0, 0, PCS!F192/Aide!C186)</f>
        <v>3.6302688453107712</v>
      </c>
      <c r="F186" s="398">
        <f>Effort!G186</f>
        <v>0</v>
      </c>
      <c r="G186" s="285">
        <f t="shared" si="7"/>
        <v>34.406547210199165</v>
      </c>
      <c r="H186" s="161">
        <f t="shared" si="8"/>
        <v>0</v>
      </c>
      <c r="I186" s="42">
        <f t="shared" si="9"/>
        <v>0</v>
      </c>
      <c r="J186" s="29"/>
    </row>
    <row r="187" spans="1:10" x14ac:dyDescent="0.25">
      <c r="A187" s="38">
        <f>Données!A187</f>
        <v>5716</v>
      </c>
      <c r="B187" s="130" t="str">
        <f>Données!B187</f>
        <v>Eysins</v>
      </c>
      <c r="C187" s="272">
        <f>VPI!R187</f>
        <v>232449.31983193275</v>
      </c>
      <c r="D187" s="150">
        <f>Effort!I187-IF(PCS!I193&lt;0, Effort!D187, 0)</f>
        <v>45.547713459075752</v>
      </c>
      <c r="E187" s="398">
        <f>IF(PCS!I193&lt;0, 0, PCS!F193/Aide!C187)</f>
        <v>1.8665221748710694</v>
      </c>
      <c r="F187" s="398">
        <f>Effort!G187</f>
        <v>0</v>
      </c>
      <c r="G187" s="285">
        <f t="shared" si="7"/>
        <v>47.414235633946824</v>
      </c>
      <c r="H187" s="161">
        <f t="shared" si="8"/>
        <v>0</v>
      </c>
      <c r="I187" s="42">
        <f t="shared" si="9"/>
        <v>0</v>
      </c>
      <c r="J187" s="29"/>
    </row>
    <row r="188" spans="1:10" x14ac:dyDescent="0.25">
      <c r="A188" s="38">
        <f>Données!A188</f>
        <v>5717</v>
      </c>
      <c r="B188" s="130" t="str">
        <f>Données!B188</f>
        <v>Founex</v>
      </c>
      <c r="C188" s="272">
        <f>VPI!R188</f>
        <v>361580.60666666663</v>
      </c>
      <c r="D188" s="150">
        <f>Effort!I188-IF(PCS!I194&lt;0, Effort!D188, 0)</f>
        <v>38.059430949165431</v>
      </c>
      <c r="E188" s="398">
        <f>IF(PCS!I194&lt;0, 0, PCS!F194/Aide!C188)</f>
        <v>3.518395944207259</v>
      </c>
      <c r="F188" s="398">
        <f>Effort!G188</f>
        <v>0</v>
      </c>
      <c r="G188" s="285">
        <f t="shared" si="7"/>
        <v>41.577826893372688</v>
      </c>
      <c r="H188" s="161">
        <f t="shared" si="8"/>
        <v>0</v>
      </c>
      <c r="I188" s="42">
        <f t="shared" si="9"/>
        <v>0</v>
      </c>
      <c r="J188" s="29"/>
    </row>
    <row r="189" spans="1:10" x14ac:dyDescent="0.25">
      <c r="A189" s="38">
        <f>Données!A189</f>
        <v>5718</v>
      </c>
      <c r="B189" s="130" t="str">
        <f>Données!B189</f>
        <v>Genolier</v>
      </c>
      <c r="C189" s="272">
        <f>VPI!R189</f>
        <v>212690.22036363633</v>
      </c>
      <c r="D189" s="150">
        <f>Effort!I189-IF(PCS!I195&lt;0, Effort!D189, 0)</f>
        <v>40.39671958260233</v>
      </c>
      <c r="E189" s="398">
        <f>IF(PCS!I195&lt;0, 0, PCS!F195/Aide!C189)</f>
        <v>3.0155774153763466</v>
      </c>
      <c r="F189" s="398">
        <f>Effort!G189</f>
        <v>0</v>
      </c>
      <c r="G189" s="285">
        <f t="shared" si="7"/>
        <v>43.412296997978679</v>
      </c>
      <c r="H189" s="161">
        <f t="shared" si="8"/>
        <v>0</v>
      </c>
      <c r="I189" s="42">
        <f t="shared" si="9"/>
        <v>0</v>
      </c>
      <c r="J189" s="29"/>
    </row>
    <row r="190" spans="1:10" x14ac:dyDescent="0.25">
      <c r="A190" s="38">
        <f>Données!A190</f>
        <v>5719</v>
      </c>
      <c r="B190" s="130" t="str">
        <f>Données!B190</f>
        <v>Gingins</v>
      </c>
      <c r="C190" s="272">
        <f>VPI!R190</f>
        <v>119942.45777777776</v>
      </c>
      <c r="D190" s="150">
        <f>Effort!I190-IF(PCS!I196&lt;0, Effort!D190, 0)</f>
        <v>39.87636375714699</v>
      </c>
      <c r="E190" s="398">
        <f>IF(PCS!I196&lt;0, 0, PCS!F196/Aide!C190)</f>
        <v>4.9215460141201799</v>
      </c>
      <c r="F190" s="398">
        <f>Effort!G190</f>
        <v>0</v>
      </c>
      <c r="G190" s="285">
        <f t="shared" si="7"/>
        <v>44.797909771267172</v>
      </c>
      <c r="H190" s="161">
        <f t="shared" si="8"/>
        <v>0</v>
      </c>
      <c r="I190" s="42">
        <f t="shared" si="9"/>
        <v>0</v>
      </c>
      <c r="J190" s="29"/>
    </row>
    <row r="191" spans="1:10" x14ac:dyDescent="0.25">
      <c r="A191" s="38">
        <f>Données!A191</f>
        <v>5720</v>
      </c>
      <c r="B191" s="130" t="str">
        <f>Données!B191</f>
        <v>Givrins</v>
      </c>
      <c r="C191" s="272">
        <f>VPI!R191</f>
        <v>84867.165124378109</v>
      </c>
      <c r="D191" s="150">
        <f>Effort!I191-IF(PCS!I197&lt;0, Effort!D191, 0)</f>
        <v>38.824522785490856</v>
      </c>
      <c r="E191" s="398">
        <f>IF(PCS!I197&lt;0, 0, PCS!F197/Aide!C191)</f>
        <v>2.5942029485412639</v>
      </c>
      <c r="F191" s="398">
        <f>Effort!G191</f>
        <v>-0.22475052215760422</v>
      </c>
      <c r="G191" s="285">
        <f t="shared" si="7"/>
        <v>41.643476256189729</v>
      </c>
      <c r="H191" s="161">
        <f t="shared" si="8"/>
        <v>0</v>
      </c>
      <c r="I191" s="42">
        <f t="shared" si="9"/>
        <v>0</v>
      </c>
      <c r="J191" s="29"/>
    </row>
    <row r="192" spans="1:10" x14ac:dyDescent="0.25">
      <c r="A192" s="38">
        <f>Données!A192</f>
        <v>5721</v>
      </c>
      <c r="B192" s="130" t="str">
        <f>Données!B192</f>
        <v>Gland</v>
      </c>
      <c r="C192" s="272">
        <f>VPI!R192</f>
        <v>688905.14770491805</v>
      </c>
      <c r="D192" s="150">
        <f>Effort!I192-IF(PCS!I198&lt;0, Effort!D192, 0)</f>
        <v>19.803020003330815</v>
      </c>
      <c r="E192" s="398">
        <f>IF(PCS!I198&lt;0, 0, PCS!F198/Aide!C192)</f>
        <v>3.685078328210432</v>
      </c>
      <c r="F192" s="398">
        <f>Effort!G192</f>
        <v>0</v>
      </c>
      <c r="G192" s="285">
        <f t="shared" si="7"/>
        <v>23.488098331541245</v>
      </c>
      <c r="H192" s="161">
        <f t="shared" si="8"/>
        <v>0</v>
      </c>
      <c r="I192" s="42">
        <f t="shared" si="9"/>
        <v>0</v>
      </c>
      <c r="J192" s="29"/>
    </row>
    <row r="193" spans="1:10" x14ac:dyDescent="0.25">
      <c r="A193" s="38">
        <f>Données!A193</f>
        <v>5722</v>
      </c>
      <c r="B193" s="130" t="str">
        <f>Données!B193</f>
        <v>Grens</v>
      </c>
      <c r="C193" s="272">
        <f>VPI!R193</f>
        <v>20912.601129032257</v>
      </c>
      <c r="D193" s="150">
        <f>Effort!I193-IF(PCS!I199&lt;0, Effort!D193, 0)</f>
        <v>30.630216040360274</v>
      </c>
      <c r="E193" s="398">
        <f>IF(PCS!I199&lt;0, 0, PCS!F199/Aide!C193)</f>
        <v>5.4471530966971322</v>
      </c>
      <c r="F193" s="398">
        <f>Effort!G193</f>
        <v>0</v>
      </c>
      <c r="G193" s="285">
        <f t="shared" si="7"/>
        <v>36.077369137057403</v>
      </c>
      <c r="H193" s="161">
        <f t="shared" si="8"/>
        <v>0</v>
      </c>
      <c r="I193" s="42">
        <f t="shared" si="9"/>
        <v>0</v>
      </c>
      <c r="J193" s="29"/>
    </row>
    <row r="194" spans="1:10" x14ac:dyDescent="0.25">
      <c r="A194" s="38">
        <f>Données!A194</f>
        <v>5723</v>
      </c>
      <c r="B194" s="130" t="str">
        <f>Données!B194</f>
        <v>Mies</v>
      </c>
      <c r="C194" s="272">
        <f>VPI!R194</f>
        <v>253768.06750000003</v>
      </c>
      <c r="D194" s="150">
        <f>Effort!I194-IF(PCS!I200&lt;0, Effort!D194, 0)</f>
        <v>41.169367467733309</v>
      </c>
      <c r="E194" s="398">
        <f>IF(PCS!I200&lt;0, 0, PCS!F200/Aide!C194)</f>
        <v>4.1575047656458972</v>
      </c>
      <c r="F194" s="398">
        <f>Effort!G194</f>
        <v>0</v>
      </c>
      <c r="G194" s="285">
        <f t="shared" si="7"/>
        <v>45.326872233379206</v>
      </c>
      <c r="H194" s="161">
        <f t="shared" si="8"/>
        <v>0</v>
      </c>
      <c r="I194" s="42">
        <f t="shared" si="9"/>
        <v>0</v>
      </c>
      <c r="J194" s="29"/>
    </row>
    <row r="195" spans="1:10" x14ac:dyDescent="0.25">
      <c r="A195" s="38">
        <f>Données!A195</f>
        <v>5724</v>
      </c>
      <c r="B195" s="130" t="str">
        <f>Données!B195</f>
        <v>Nyon</v>
      </c>
      <c r="C195" s="272">
        <f>VPI!R195</f>
        <v>1519986.9332786887</v>
      </c>
      <c r="D195" s="150">
        <f>Effort!I195-IF(PCS!I201&lt;0, Effort!D195, 0)</f>
        <v>23.459707797177934</v>
      </c>
      <c r="E195" s="398">
        <f>IF(PCS!I201&lt;0, 0, PCS!F201/Aide!C195)</f>
        <v>3.8107948878912987</v>
      </c>
      <c r="F195" s="398">
        <f>Effort!G195</f>
        <v>-0.96681817562426919</v>
      </c>
      <c r="G195" s="285">
        <f t="shared" si="7"/>
        <v>28.237320860693501</v>
      </c>
      <c r="H195" s="161">
        <f t="shared" si="8"/>
        <v>0</v>
      </c>
      <c r="I195" s="42">
        <f t="shared" si="9"/>
        <v>0</v>
      </c>
      <c r="J195" s="29"/>
    </row>
    <row r="196" spans="1:10" x14ac:dyDescent="0.25">
      <c r="A196" s="38">
        <f>Données!A196</f>
        <v>5725</v>
      </c>
      <c r="B196" s="130" t="str">
        <f>Données!B196</f>
        <v>Prangins</v>
      </c>
      <c r="C196" s="272">
        <f>VPI!R196</f>
        <v>388906.70535064931</v>
      </c>
      <c r="D196" s="150">
        <f>Effort!I196-IF(PCS!I202&lt;0, Effort!D196, 0)</f>
        <v>36.533479634575066</v>
      </c>
      <c r="E196" s="398">
        <f>IF(PCS!I202&lt;0, 0, PCS!F202/Aide!C196)</f>
        <v>2.8721471104307228</v>
      </c>
      <c r="F196" s="398">
        <f>Effort!G196</f>
        <v>0</v>
      </c>
      <c r="G196" s="285">
        <f t="shared" si="7"/>
        <v>39.40562674500579</v>
      </c>
      <c r="H196" s="161">
        <f t="shared" si="8"/>
        <v>0</v>
      </c>
      <c r="I196" s="42">
        <f t="shared" si="9"/>
        <v>0</v>
      </c>
      <c r="J196" s="29"/>
    </row>
    <row r="197" spans="1:10" x14ac:dyDescent="0.25">
      <c r="A197" s="38">
        <f>Données!A197</f>
        <v>5726</v>
      </c>
      <c r="B197" s="130" t="str">
        <f>Données!B197</f>
        <v>La Rippe</v>
      </c>
      <c r="C197" s="272">
        <f>VPI!R197</f>
        <v>69785.14234375002</v>
      </c>
      <c r="D197" s="150">
        <f>Effort!I197-IF(PCS!I203&lt;0, Effort!D197, 0)</f>
        <v>31.555901034489427</v>
      </c>
      <c r="E197" s="398">
        <f>IF(PCS!I203&lt;0, 0, PCS!F203/Aide!C197)</f>
        <v>3.0336801343353632</v>
      </c>
      <c r="F197" s="398">
        <f>Effort!G197</f>
        <v>0</v>
      </c>
      <c r="G197" s="285">
        <f t="shared" si="7"/>
        <v>34.589581168824793</v>
      </c>
      <c r="H197" s="161">
        <f t="shared" si="8"/>
        <v>0</v>
      </c>
      <c r="I197" s="42">
        <f t="shared" si="9"/>
        <v>0</v>
      </c>
      <c r="J197" s="29"/>
    </row>
    <row r="198" spans="1:10" x14ac:dyDescent="0.25">
      <c r="A198" s="38">
        <f>Données!A198</f>
        <v>5727</v>
      </c>
      <c r="B198" s="130" t="str">
        <f>Données!B198</f>
        <v>Saint-Cergue</v>
      </c>
      <c r="C198" s="272">
        <f>VPI!R198</f>
        <v>107047.00984848487</v>
      </c>
      <c r="D198" s="150">
        <f>Effort!I198-IF(PCS!I204&lt;0, Effort!D198, 0)</f>
        <v>17.201267336817214</v>
      </c>
      <c r="E198" s="398">
        <f>IF(PCS!I204&lt;0, 0, PCS!F204/Aide!C198)</f>
        <v>7.1121987066953638</v>
      </c>
      <c r="F198" s="398">
        <f>Effort!G198</f>
        <v>-3.2574801441076895</v>
      </c>
      <c r="G198" s="285">
        <f t="shared" si="7"/>
        <v>27.570946187620265</v>
      </c>
      <c r="H198" s="161">
        <f t="shared" si="8"/>
        <v>0</v>
      </c>
      <c r="I198" s="42">
        <f t="shared" si="9"/>
        <v>0</v>
      </c>
      <c r="J198" s="29"/>
    </row>
    <row r="199" spans="1:10" x14ac:dyDescent="0.25">
      <c r="A199" s="38">
        <f>Données!A199</f>
        <v>5728</v>
      </c>
      <c r="B199" s="130" t="str">
        <f>Données!B199</f>
        <v>Signy-Avenex</v>
      </c>
      <c r="C199" s="272">
        <f>VPI!R199</f>
        <v>65974.816379310345</v>
      </c>
      <c r="D199" s="150">
        <f>Effort!I199-IF(PCS!I205&lt;0, Effort!D199, 0)</f>
        <v>43.491202897084605</v>
      </c>
      <c r="E199" s="398">
        <f>IF(PCS!I205&lt;0, 0, PCS!F205/Aide!C199)</f>
        <v>2.5092463925661708</v>
      </c>
      <c r="F199" s="398">
        <f>Effort!G199</f>
        <v>0</v>
      </c>
      <c r="G199" s="285">
        <f t="shared" ref="G199:G262" si="10">D199+E199-F199</f>
        <v>46.000449289650774</v>
      </c>
      <c r="H199" s="161">
        <f t="shared" ref="H199:H262" si="11">IF(G199&lt;H$5,G199-H$5,0)</f>
        <v>0</v>
      </c>
      <c r="I199" s="42">
        <f t="shared" ref="I199:I262" si="12">-H199*C199</f>
        <v>0</v>
      </c>
      <c r="J199" s="29"/>
    </row>
    <row r="200" spans="1:10" x14ac:dyDescent="0.25">
      <c r="A200" s="38">
        <f>Données!A200</f>
        <v>5729</v>
      </c>
      <c r="B200" s="130" t="str">
        <f>Données!B200</f>
        <v>Tannay</v>
      </c>
      <c r="C200" s="272">
        <f>VPI!R200</f>
        <v>189083.86110192843</v>
      </c>
      <c r="D200" s="150">
        <f>Effort!I200-IF(PCS!I206&lt;0, Effort!D200, 0)</f>
        <v>42.594501976784287</v>
      </c>
      <c r="E200" s="398">
        <f>IF(PCS!I206&lt;0, 0, PCS!F206/Aide!C200)</f>
        <v>4.811001265251412</v>
      </c>
      <c r="F200" s="398">
        <f>Effort!G200</f>
        <v>0</v>
      </c>
      <c r="G200" s="285">
        <f t="shared" si="10"/>
        <v>47.405503242035699</v>
      </c>
      <c r="H200" s="161">
        <f t="shared" si="11"/>
        <v>0</v>
      </c>
      <c r="I200" s="42">
        <f t="shared" si="12"/>
        <v>0</v>
      </c>
      <c r="J200" s="29"/>
    </row>
    <row r="201" spans="1:10" x14ac:dyDescent="0.25">
      <c r="A201" s="38">
        <f>Données!A201</f>
        <v>5730</v>
      </c>
      <c r="B201" s="130" t="str">
        <f>Données!B201</f>
        <v>Trélex</v>
      </c>
      <c r="C201" s="272">
        <f>VPI!R201</f>
        <v>121413.58176176177</v>
      </c>
      <c r="D201" s="150">
        <f>Effort!I201-IF(PCS!I207&lt;0, Effort!D201, 0)</f>
        <v>37.241968735397364</v>
      </c>
      <c r="E201" s="398">
        <f>IF(PCS!I207&lt;0, 0, PCS!F207/Aide!C201)</f>
        <v>4.5524667584930629</v>
      </c>
      <c r="F201" s="398">
        <f>Effort!G201</f>
        <v>0</v>
      </c>
      <c r="G201" s="285">
        <f t="shared" si="10"/>
        <v>41.794435493890425</v>
      </c>
      <c r="H201" s="161">
        <f t="shared" si="11"/>
        <v>0</v>
      </c>
      <c r="I201" s="42">
        <f t="shared" si="12"/>
        <v>0</v>
      </c>
      <c r="J201" s="29"/>
    </row>
    <row r="202" spans="1:10" x14ac:dyDescent="0.25">
      <c r="A202" s="38">
        <f>Données!A202</f>
        <v>5731</v>
      </c>
      <c r="B202" s="130" t="str">
        <f>Données!B202</f>
        <v>Le Vaud</v>
      </c>
      <c r="C202" s="272">
        <f>VPI!R202</f>
        <v>69610.281891891893</v>
      </c>
      <c r="D202" s="150">
        <f>Effort!I202-IF(PCS!I208&lt;0, Effort!D202, 0)</f>
        <v>28.118009448732689</v>
      </c>
      <c r="E202" s="398">
        <f>IF(PCS!I208&lt;0, 0, PCS!F208/Aide!C202)</f>
        <v>1.7901698084419753</v>
      </c>
      <c r="F202" s="398">
        <f>Effort!G202</f>
        <v>-0.35880078467482046</v>
      </c>
      <c r="G202" s="285">
        <f t="shared" si="10"/>
        <v>30.266980041849486</v>
      </c>
      <c r="H202" s="161">
        <f t="shared" si="11"/>
        <v>0</v>
      </c>
      <c r="I202" s="42">
        <f t="shared" si="12"/>
        <v>0</v>
      </c>
      <c r="J202" s="29"/>
    </row>
    <row r="203" spans="1:10" x14ac:dyDescent="0.25">
      <c r="A203" s="38">
        <f>Données!A203</f>
        <v>5732</v>
      </c>
      <c r="B203" s="130" t="str">
        <f>Données!B203</f>
        <v>Vich</v>
      </c>
      <c r="C203" s="272">
        <f>VPI!R203</f>
        <v>79859.716666666689</v>
      </c>
      <c r="D203" s="150">
        <f>Effort!I203-IF(PCS!I209&lt;0, Effort!D203, 0)</f>
        <v>34.594360080681632</v>
      </c>
      <c r="E203" s="398">
        <f>IF(PCS!I209&lt;0, 0, PCS!F209/Aide!C203)</f>
        <v>2.3029437453133959</v>
      </c>
      <c r="F203" s="398">
        <f>Effort!G203</f>
        <v>0</v>
      </c>
      <c r="G203" s="285">
        <f t="shared" si="10"/>
        <v>36.897303825995024</v>
      </c>
      <c r="H203" s="161">
        <f t="shared" si="11"/>
        <v>0</v>
      </c>
      <c r="I203" s="42">
        <f t="shared" si="12"/>
        <v>0</v>
      </c>
      <c r="J203" s="29"/>
    </row>
    <row r="204" spans="1:10" x14ac:dyDescent="0.25">
      <c r="A204" s="38">
        <f>Données!A204</f>
        <v>5741</v>
      </c>
      <c r="B204" s="130" t="str">
        <f>Données!B204</f>
        <v>L'Abergement</v>
      </c>
      <c r="C204" s="272">
        <f>VPI!R204</f>
        <v>10833.767520833331</v>
      </c>
      <c r="D204" s="150">
        <f>Effort!I204-IF(PCS!I210&lt;0, Effort!D204, 0)</f>
        <v>14.700029498779404</v>
      </c>
      <c r="E204" s="398">
        <f>IF(PCS!I210&lt;0, 0, PCS!F210/Aide!C204)</f>
        <v>1.5718959233020435</v>
      </c>
      <c r="F204" s="398">
        <f>Effort!G204</f>
        <v>-10.429866101180336</v>
      </c>
      <c r="G204" s="285">
        <f t="shared" si="10"/>
        <v>26.701791523261782</v>
      </c>
      <c r="H204" s="161">
        <f t="shared" si="11"/>
        <v>0</v>
      </c>
      <c r="I204" s="42">
        <f t="shared" si="12"/>
        <v>0</v>
      </c>
      <c r="J204" s="29"/>
    </row>
    <row r="205" spans="1:10" x14ac:dyDescent="0.25">
      <c r="A205" s="38">
        <f>Données!A205</f>
        <v>5742</v>
      </c>
      <c r="B205" s="130" t="str">
        <f>Données!B205</f>
        <v>Agiez</v>
      </c>
      <c r="C205" s="272">
        <f>VPI!R205</f>
        <v>9049.0200000000023</v>
      </c>
      <c r="D205" s="150">
        <f>Effort!I205-IF(PCS!I211&lt;0, Effort!D205, 0)</f>
        <v>-1.4192004790332184</v>
      </c>
      <c r="E205" s="398">
        <f>IF(PCS!I211&lt;0, 0, PCS!F211/Aide!C205)</f>
        <v>0.10017438352440371</v>
      </c>
      <c r="F205" s="398">
        <f>Effort!G205</f>
        <v>-4.5585071198998106</v>
      </c>
      <c r="G205" s="285">
        <f t="shared" si="10"/>
        <v>3.2394810243909959</v>
      </c>
      <c r="H205" s="161">
        <f t="shared" si="11"/>
        <v>0</v>
      </c>
      <c r="I205" s="42">
        <f t="shared" si="12"/>
        <v>0</v>
      </c>
      <c r="J205" s="29"/>
    </row>
    <row r="206" spans="1:10" x14ac:dyDescent="0.25">
      <c r="A206" s="38">
        <f>Données!A206</f>
        <v>5743</v>
      </c>
      <c r="B206" s="130" t="str">
        <f>Données!B206</f>
        <v>Arnex-sur-Orbe</v>
      </c>
      <c r="C206" s="272">
        <f>VPI!R206</f>
        <v>19423.434366197183</v>
      </c>
      <c r="D206" s="150">
        <f>Effort!I206-IF(PCS!I212&lt;0, Effort!D206, 0)</f>
        <v>8.5213579704601798</v>
      </c>
      <c r="E206" s="398">
        <f>IF(PCS!I212&lt;0, 0, PCS!F212/Aide!C206)</f>
        <v>4.5816336247348781</v>
      </c>
      <c r="F206" s="398">
        <f>Effort!G206</f>
        <v>-4.6911605526737397</v>
      </c>
      <c r="G206" s="285">
        <f t="shared" si="10"/>
        <v>17.794152147868797</v>
      </c>
      <c r="H206" s="161">
        <f t="shared" si="11"/>
        <v>0</v>
      </c>
      <c r="I206" s="42">
        <f t="shared" si="12"/>
        <v>0</v>
      </c>
      <c r="J206" s="29"/>
    </row>
    <row r="207" spans="1:10" x14ac:dyDescent="0.25">
      <c r="A207" s="38">
        <f>Données!A207</f>
        <v>5744</v>
      </c>
      <c r="B207" s="130" t="str">
        <f>Données!B207</f>
        <v>Ballaigues</v>
      </c>
      <c r="C207" s="272">
        <f>VPI!R207</f>
        <v>54083.704307692322</v>
      </c>
      <c r="D207" s="150">
        <f>Effort!I207-IF(PCS!I213&lt;0, Effort!D207, 0)</f>
        <v>22.451830837868183</v>
      </c>
      <c r="E207" s="398">
        <f>IF(PCS!I213&lt;0, 0, PCS!F213/Aide!C207)</f>
        <v>10.672675483101152</v>
      </c>
      <c r="F207" s="398">
        <f>Effort!G207</f>
        <v>-5.8476048754114851</v>
      </c>
      <c r="G207" s="285">
        <f t="shared" si="10"/>
        <v>38.972111196380816</v>
      </c>
      <c r="H207" s="161">
        <f t="shared" si="11"/>
        <v>0</v>
      </c>
      <c r="I207" s="42">
        <f t="shared" si="12"/>
        <v>0</v>
      </c>
      <c r="J207" s="29"/>
    </row>
    <row r="208" spans="1:10" x14ac:dyDescent="0.25">
      <c r="A208" s="38">
        <f>Données!A208</f>
        <v>5745</v>
      </c>
      <c r="B208" s="130" t="str">
        <f>Données!B208</f>
        <v>Baulmes</v>
      </c>
      <c r="C208" s="272">
        <f>VPI!R208</f>
        <v>27704.620130718955</v>
      </c>
      <c r="D208" s="150">
        <f>Effort!I208-IF(PCS!I214&lt;0, Effort!D208, 0)</f>
        <v>-10.029637563130205</v>
      </c>
      <c r="E208" s="398">
        <f>IF(PCS!I214&lt;0, 0, PCS!F214/Aide!C208)</f>
        <v>4.9338110161791571</v>
      </c>
      <c r="F208" s="398">
        <f>Effort!G208</f>
        <v>-13.289864947041785</v>
      </c>
      <c r="G208" s="285">
        <f t="shared" si="10"/>
        <v>8.1940384000907365</v>
      </c>
      <c r="H208" s="161">
        <f t="shared" si="11"/>
        <v>0</v>
      </c>
      <c r="I208" s="42">
        <f t="shared" si="12"/>
        <v>0</v>
      </c>
      <c r="J208" s="29"/>
    </row>
    <row r="209" spans="1:10" x14ac:dyDescent="0.25">
      <c r="A209" s="38">
        <f>Données!A209</f>
        <v>5746</v>
      </c>
      <c r="B209" s="130" t="str">
        <f>Données!B209</f>
        <v>Bavois</v>
      </c>
      <c r="C209" s="272">
        <f>VPI!R209</f>
        <v>29513.069143518514</v>
      </c>
      <c r="D209" s="150">
        <f>Effort!I209-IF(PCS!I215&lt;0, Effort!D209, 0)</f>
        <v>5.4984938592981223</v>
      </c>
      <c r="E209" s="398">
        <f>IF(PCS!I215&lt;0, 0, PCS!F215/Aide!C209)</f>
        <v>4.3083555417998447</v>
      </c>
      <c r="F209" s="398">
        <f>Effort!G209</f>
        <v>-8.8531810903457409</v>
      </c>
      <c r="G209" s="285">
        <f t="shared" si="10"/>
        <v>18.660030491443706</v>
      </c>
      <c r="H209" s="161">
        <f t="shared" si="11"/>
        <v>0</v>
      </c>
      <c r="I209" s="42">
        <f t="shared" si="12"/>
        <v>0</v>
      </c>
      <c r="J209" s="29"/>
    </row>
    <row r="210" spans="1:10" x14ac:dyDescent="0.25">
      <c r="A210" s="38">
        <f>Données!A210</f>
        <v>5747</v>
      </c>
      <c r="B210" s="130" t="str">
        <f>Données!B210</f>
        <v>Bofflens</v>
      </c>
      <c r="C210" s="272">
        <f>VPI!R210</f>
        <v>5777.9618840579697</v>
      </c>
      <c r="D210" s="150">
        <f>Effort!I210-IF(PCS!I216&lt;0, Effort!D210, 0)</f>
        <v>10.789040959881536</v>
      </c>
      <c r="E210" s="398">
        <f>IF(PCS!I216&lt;0, 0, PCS!F216/Aide!C210)</f>
        <v>6.8620649972432748</v>
      </c>
      <c r="F210" s="398">
        <f>Effort!G210</f>
        <v>-3.5468296621741748</v>
      </c>
      <c r="G210" s="285">
        <f t="shared" si="10"/>
        <v>21.197935619298988</v>
      </c>
      <c r="H210" s="161">
        <f t="shared" si="11"/>
        <v>0</v>
      </c>
      <c r="I210" s="42">
        <f t="shared" si="12"/>
        <v>0</v>
      </c>
      <c r="J210" s="29"/>
    </row>
    <row r="211" spans="1:10" x14ac:dyDescent="0.25">
      <c r="A211" s="38">
        <f>Données!A211</f>
        <v>5748</v>
      </c>
      <c r="B211" s="130" t="str">
        <f>Données!B211</f>
        <v>Bretonnières</v>
      </c>
      <c r="C211" s="272">
        <f>VPI!R211</f>
        <v>6762.44146572104</v>
      </c>
      <c r="D211" s="150">
        <f>Effort!I211-IF(PCS!I217&lt;0, Effort!D211, 0)</f>
        <v>-2.3551475814214129</v>
      </c>
      <c r="E211" s="398">
        <f>IF(PCS!I217&lt;0, 0, PCS!F217/Aide!C211)</f>
        <v>2.9575324387473274</v>
      </c>
      <c r="F211" s="398">
        <f>Effort!G211</f>
        <v>-12.078056033088947</v>
      </c>
      <c r="G211" s="285">
        <f t="shared" si="10"/>
        <v>12.680440890414861</v>
      </c>
      <c r="H211" s="161">
        <f t="shared" si="11"/>
        <v>0</v>
      </c>
      <c r="I211" s="42">
        <f t="shared" si="12"/>
        <v>0</v>
      </c>
      <c r="J211" s="29"/>
    </row>
    <row r="212" spans="1:10" x14ac:dyDescent="0.25">
      <c r="A212" s="38">
        <f>Données!A212</f>
        <v>5749</v>
      </c>
      <c r="B212" s="130" t="str">
        <f>Données!B212</f>
        <v>Chavornay</v>
      </c>
      <c r="C212" s="272">
        <f>VPI!R212</f>
        <v>144688.12992907799</v>
      </c>
      <c r="D212" s="150">
        <f>Effort!I212-IF(PCS!I218&lt;0, Effort!D212, 0)</f>
        <v>-4.0772562213545172</v>
      </c>
      <c r="E212" s="398">
        <f>IF(PCS!I218&lt;0, 0, PCS!F218/Aide!C212)</f>
        <v>2.9769332163677151</v>
      </c>
      <c r="F212" s="398">
        <f>Effort!G212</f>
        <v>-5.5220884707459712</v>
      </c>
      <c r="G212" s="285">
        <f t="shared" si="10"/>
        <v>4.4217654657591687</v>
      </c>
      <c r="H212" s="161">
        <f t="shared" si="11"/>
        <v>0</v>
      </c>
      <c r="I212" s="42">
        <f t="shared" si="12"/>
        <v>0</v>
      </c>
      <c r="J212" s="29"/>
    </row>
    <row r="213" spans="1:10" x14ac:dyDescent="0.25">
      <c r="A213" s="38">
        <f>Données!A213</f>
        <v>5750</v>
      </c>
      <c r="B213" s="130" t="str">
        <f>Données!B213</f>
        <v>Les Clées</v>
      </c>
      <c r="C213" s="272">
        <f>VPI!R213</f>
        <v>5460.4397083333333</v>
      </c>
      <c r="D213" s="150">
        <f>Effort!I213-IF(PCS!I219&lt;0, Effort!D213, 0)</f>
        <v>1.6730521589997061</v>
      </c>
      <c r="E213" s="398">
        <f>IF(PCS!I219&lt;0, 0, PCS!F219/Aide!C213)</f>
        <v>5.6574271762134423</v>
      </c>
      <c r="F213" s="398">
        <f>Effort!G213</f>
        <v>-9.8251010006752413</v>
      </c>
      <c r="G213" s="285">
        <f t="shared" si="10"/>
        <v>17.155580335888388</v>
      </c>
      <c r="H213" s="161">
        <f t="shared" si="11"/>
        <v>0</v>
      </c>
      <c r="I213" s="42">
        <f t="shared" si="12"/>
        <v>0</v>
      </c>
      <c r="J213" s="29"/>
    </row>
    <row r="214" spans="1:10" x14ac:dyDescent="0.25">
      <c r="A214" s="38">
        <f>Données!A214</f>
        <v>5752</v>
      </c>
      <c r="B214" s="130" t="str">
        <f>Données!B214</f>
        <v>Croy</v>
      </c>
      <c r="C214" s="272">
        <f>VPI!R214</f>
        <v>10204.205250965251</v>
      </c>
      <c r="D214" s="150">
        <f>Effort!I214-IF(PCS!I220&lt;0, Effort!D214, 0)</f>
        <v>-15.783373488985351</v>
      </c>
      <c r="E214" s="398">
        <f>IF(PCS!I220&lt;0, 0, PCS!F220/Aide!C214)</f>
        <v>2.5107996526800993</v>
      </c>
      <c r="F214" s="398">
        <f>Effort!G214</f>
        <v>-25.177249952313481</v>
      </c>
      <c r="G214" s="285">
        <f t="shared" si="10"/>
        <v>11.904676116008229</v>
      </c>
      <c r="H214" s="161">
        <f t="shared" si="11"/>
        <v>0</v>
      </c>
      <c r="I214" s="42">
        <f t="shared" si="12"/>
        <v>0</v>
      </c>
      <c r="J214" s="29"/>
    </row>
    <row r="215" spans="1:10" x14ac:dyDescent="0.25">
      <c r="A215" s="38">
        <f>Données!A215</f>
        <v>5754</v>
      </c>
      <c r="B215" s="130" t="str">
        <f>Données!B215</f>
        <v>Juriens</v>
      </c>
      <c r="C215" s="272">
        <f>VPI!R215</f>
        <v>8633.221645569618</v>
      </c>
      <c r="D215" s="150">
        <f>Effort!I215-IF(PCS!I221&lt;0, Effort!D215, 0)</f>
        <v>0.21736946406246815</v>
      </c>
      <c r="E215" s="398">
        <f>IF(PCS!I221&lt;0, 0, PCS!F221/Aide!C215)</f>
        <v>18.829147063937636</v>
      </c>
      <c r="F215" s="398">
        <f>Effort!G215</f>
        <v>-3.7178415774613045</v>
      </c>
      <c r="G215" s="285">
        <f t="shared" si="10"/>
        <v>22.764358105461408</v>
      </c>
      <c r="H215" s="161">
        <f t="shared" si="11"/>
        <v>0</v>
      </c>
      <c r="I215" s="42">
        <f t="shared" si="12"/>
        <v>0</v>
      </c>
      <c r="J215" s="29"/>
    </row>
    <row r="216" spans="1:10" x14ac:dyDescent="0.25">
      <c r="A216" s="38">
        <f>Données!A216</f>
        <v>5755</v>
      </c>
      <c r="B216" s="130" t="str">
        <f>Données!B216</f>
        <v>Lignerolle</v>
      </c>
      <c r="C216" s="272">
        <f>VPI!R216</f>
        <v>10920.772411282986</v>
      </c>
      <c r="D216" s="150">
        <f>Effort!I216-IF(PCS!I222&lt;0, Effort!D216, 0)</f>
        <v>-8.048140823547083</v>
      </c>
      <c r="E216" s="398">
        <f>IF(PCS!I222&lt;0, 0, PCS!F222/Aide!C216)</f>
        <v>4.7427542713450901</v>
      </c>
      <c r="F216" s="398">
        <f>Effort!G216</f>
        <v>-11.15525739536282</v>
      </c>
      <c r="G216" s="285">
        <f t="shared" si="10"/>
        <v>7.8498708431608275</v>
      </c>
      <c r="H216" s="161">
        <f t="shared" si="11"/>
        <v>0</v>
      </c>
      <c r="I216" s="42">
        <f t="shared" si="12"/>
        <v>0</v>
      </c>
      <c r="J216" s="29"/>
    </row>
    <row r="217" spans="1:10" x14ac:dyDescent="0.25">
      <c r="A217" s="38">
        <f>Données!A217</f>
        <v>5756</v>
      </c>
      <c r="B217" s="130" t="str">
        <f>Données!B217</f>
        <v>Montcherand</v>
      </c>
      <c r="C217" s="272">
        <f>VPI!R217</f>
        <v>17503.013888888887</v>
      </c>
      <c r="D217" s="150">
        <f>Effort!I217-IF(PCS!I223&lt;0, Effort!D217, 0)</f>
        <v>17.835629975186851</v>
      </c>
      <c r="E217" s="398">
        <f>IF(PCS!I223&lt;0, 0, PCS!F223/Aide!C217)</f>
        <v>0.75473373236514041</v>
      </c>
      <c r="F217" s="398">
        <f>Effort!G217</f>
        <v>-3.1523535920999564</v>
      </c>
      <c r="G217" s="285">
        <f t="shared" si="10"/>
        <v>21.742717299651947</v>
      </c>
      <c r="H217" s="161">
        <f t="shared" si="11"/>
        <v>0</v>
      </c>
      <c r="I217" s="42">
        <f t="shared" si="12"/>
        <v>0</v>
      </c>
      <c r="J217" s="29"/>
    </row>
    <row r="218" spans="1:10" x14ac:dyDescent="0.25">
      <c r="A218" s="38">
        <f>Données!A218</f>
        <v>5757</v>
      </c>
      <c r="B218" s="130" t="str">
        <f>Données!B218</f>
        <v>Orbe</v>
      </c>
      <c r="C218" s="272">
        <f>VPI!R218</f>
        <v>217746.16132450331</v>
      </c>
      <c r="D218" s="150">
        <f>Effort!I218-IF(PCS!I224&lt;0, Effort!D218, 0)</f>
        <v>-8.9705147826298059</v>
      </c>
      <c r="E218" s="398">
        <f>IF(PCS!I224&lt;0, 0, PCS!F224/Aide!C218)</f>
        <v>8.0989312935435418</v>
      </c>
      <c r="F218" s="398">
        <f>Effort!G218</f>
        <v>-9.3394690144948491</v>
      </c>
      <c r="G218" s="285">
        <f t="shared" si="10"/>
        <v>8.467885525408585</v>
      </c>
      <c r="H218" s="161">
        <f t="shared" si="11"/>
        <v>0</v>
      </c>
      <c r="I218" s="42">
        <f t="shared" si="12"/>
        <v>0</v>
      </c>
      <c r="J218" s="29"/>
    </row>
    <row r="219" spans="1:10" x14ac:dyDescent="0.25">
      <c r="A219" s="38">
        <f>Données!A219</f>
        <v>5758</v>
      </c>
      <c r="B219" s="130" t="str">
        <f>Données!B219</f>
        <v>La Praz</v>
      </c>
      <c r="C219" s="272">
        <f>VPI!R219</f>
        <v>4500.7037349397597</v>
      </c>
      <c r="D219" s="150">
        <f>Effort!I219-IF(PCS!I225&lt;0, Effort!D219, 0)</f>
        <v>-13.88299121233857</v>
      </c>
      <c r="E219" s="398">
        <f>IF(PCS!I225&lt;0, 0, PCS!F225/Aide!C219)</f>
        <v>0.26535072520519609</v>
      </c>
      <c r="F219" s="398">
        <f>Effort!G219</f>
        <v>-14.595931068001372</v>
      </c>
      <c r="G219" s="285">
        <f t="shared" si="10"/>
        <v>0.9782905808679967</v>
      </c>
      <c r="H219" s="161">
        <f t="shared" si="11"/>
        <v>0</v>
      </c>
      <c r="I219" s="42">
        <f t="shared" si="12"/>
        <v>0</v>
      </c>
      <c r="J219" s="29"/>
    </row>
    <row r="220" spans="1:10" x14ac:dyDescent="0.25">
      <c r="A220" s="38">
        <f>Données!A220</f>
        <v>5759</v>
      </c>
      <c r="B220" s="130" t="str">
        <f>Données!B220</f>
        <v>Premier</v>
      </c>
      <c r="C220" s="272">
        <f>VPI!R220</f>
        <v>5667.0481761006295</v>
      </c>
      <c r="D220" s="150">
        <f>Effort!I220-IF(PCS!I226&lt;0, Effort!D220, 0)</f>
        <v>-4.6878728442257973</v>
      </c>
      <c r="E220" s="398">
        <f>IF(PCS!I226&lt;0, 0, PCS!F226/Aide!C220)</f>
        <v>3.8727392670766467</v>
      </c>
      <c r="F220" s="398">
        <f>Effort!G220</f>
        <v>-6.2342224196115916</v>
      </c>
      <c r="G220" s="285">
        <f t="shared" si="10"/>
        <v>5.4190888424624415</v>
      </c>
      <c r="H220" s="161">
        <f t="shared" si="11"/>
        <v>0</v>
      </c>
      <c r="I220" s="42">
        <f t="shared" si="12"/>
        <v>0</v>
      </c>
      <c r="J220" s="29"/>
    </row>
    <row r="221" spans="1:10" x14ac:dyDescent="0.25">
      <c r="A221" s="38">
        <f>Données!A221</f>
        <v>5760</v>
      </c>
      <c r="B221" s="130" t="str">
        <f>Données!B221</f>
        <v>Rances</v>
      </c>
      <c r="C221" s="272">
        <f>VPI!R221</f>
        <v>16308.667189542481</v>
      </c>
      <c r="D221" s="150">
        <f>Effort!I221-IF(PCS!I227&lt;0, Effort!D221, 0)</f>
        <v>6.169331258058568</v>
      </c>
      <c r="E221" s="398">
        <f>IF(PCS!I227&lt;0, 0, PCS!F227/Aide!C221)</f>
        <v>4.3504030203948494</v>
      </c>
      <c r="F221" s="398">
        <f>Effort!G221</f>
        <v>-9.3556142226352108</v>
      </c>
      <c r="G221" s="285">
        <f t="shared" si="10"/>
        <v>19.875348501088627</v>
      </c>
      <c r="H221" s="161">
        <f t="shared" si="11"/>
        <v>0</v>
      </c>
      <c r="I221" s="42">
        <f t="shared" si="12"/>
        <v>0</v>
      </c>
      <c r="J221" s="29"/>
    </row>
    <row r="222" spans="1:10" x14ac:dyDescent="0.25">
      <c r="A222" s="38">
        <f>Données!A222</f>
        <v>5761</v>
      </c>
      <c r="B222" s="130" t="str">
        <f>Données!B222</f>
        <v>Romainmôtier-Envy</v>
      </c>
      <c r="C222" s="272">
        <f>VPI!R222</f>
        <v>14407.745072951739</v>
      </c>
      <c r="D222" s="150">
        <f>Effort!I222-IF(PCS!I228&lt;0, Effort!D222, 0)</f>
        <v>-8.6515568895192807</v>
      </c>
      <c r="E222" s="398">
        <f>IF(PCS!I228&lt;0, 0, PCS!F228/Aide!C222)</f>
        <v>3.3306887897461026</v>
      </c>
      <c r="F222" s="398">
        <f>Effort!G222</f>
        <v>-13.184053658760158</v>
      </c>
      <c r="G222" s="285">
        <f t="shared" si="10"/>
        <v>7.8631855589869799</v>
      </c>
      <c r="H222" s="161">
        <f t="shared" si="11"/>
        <v>0</v>
      </c>
      <c r="I222" s="42">
        <f t="shared" si="12"/>
        <v>0</v>
      </c>
      <c r="J222" s="29"/>
    </row>
    <row r="223" spans="1:10" x14ac:dyDescent="0.25">
      <c r="A223" s="38">
        <f>Données!A223</f>
        <v>5762</v>
      </c>
      <c r="B223" s="130" t="str">
        <f>Données!B223</f>
        <v>Sergey</v>
      </c>
      <c r="C223" s="272">
        <f>VPI!R223</f>
        <v>3741.3970512820511</v>
      </c>
      <c r="D223" s="150">
        <f>Effort!I223-IF(PCS!I229&lt;0, Effort!D223, 0)</f>
        <v>-3.1565100639099519</v>
      </c>
      <c r="E223" s="398">
        <f>IF(PCS!I229&lt;0, 0, PCS!F229/Aide!C223)</f>
        <v>1.783663938504803</v>
      </c>
      <c r="F223" s="398">
        <f>Effort!G223</f>
        <v>-11.108450516758472</v>
      </c>
      <c r="G223" s="285">
        <f t="shared" si="10"/>
        <v>9.7356043913533235</v>
      </c>
      <c r="H223" s="161">
        <f t="shared" si="11"/>
        <v>0</v>
      </c>
      <c r="I223" s="42">
        <f t="shared" si="12"/>
        <v>0</v>
      </c>
      <c r="J223" s="29"/>
    </row>
    <row r="224" spans="1:10" x14ac:dyDescent="0.25">
      <c r="A224" s="38">
        <f>Données!A224</f>
        <v>5763</v>
      </c>
      <c r="B224" s="130" t="str">
        <f>Données!B224</f>
        <v>Valeyres-sous-Rances</v>
      </c>
      <c r="C224" s="272">
        <f>VPI!R224</f>
        <v>22296.785352112674</v>
      </c>
      <c r="D224" s="150">
        <f>Effort!I224-IF(PCS!I230&lt;0, Effort!D224, 0)</f>
        <v>19.325117784232805</v>
      </c>
      <c r="E224" s="398">
        <f>IF(PCS!I230&lt;0, 0, PCS!F230/Aide!C224)</f>
        <v>0.89760114222491105</v>
      </c>
      <c r="F224" s="398">
        <f>Effort!G224</f>
        <v>-3.1358803749021118</v>
      </c>
      <c r="G224" s="285">
        <f t="shared" si="10"/>
        <v>23.358599301359828</v>
      </c>
      <c r="H224" s="161">
        <f t="shared" si="11"/>
        <v>0</v>
      </c>
      <c r="I224" s="42">
        <f t="shared" si="12"/>
        <v>0</v>
      </c>
      <c r="J224" s="29"/>
    </row>
    <row r="225" spans="1:10" x14ac:dyDescent="0.25">
      <c r="A225" s="38">
        <f>Données!A225</f>
        <v>5764</v>
      </c>
      <c r="B225" s="130" t="str">
        <f>Données!B225</f>
        <v>Vallorbe</v>
      </c>
      <c r="C225" s="272">
        <f>VPI!R225</f>
        <v>83714.253286713283</v>
      </c>
      <c r="D225" s="150">
        <f>Effort!I225-IF(PCS!I231&lt;0, Effort!D225, 0)</f>
        <v>-36.55506168990776</v>
      </c>
      <c r="E225" s="398">
        <f>IF(PCS!I231&lt;0, 0, PCS!F231/Aide!C225)</f>
        <v>12.633376079672399</v>
      </c>
      <c r="F225" s="398">
        <f>Effort!G225</f>
        <v>-25.987772566630923</v>
      </c>
      <c r="G225" s="285">
        <f t="shared" si="10"/>
        <v>2.0660869563955622</v>
      </c>
      <c r="H225" s="161">
        <f t="shared" si="11"/>
        <v>0</v>
      </c>
      <c r="I225" s="42">
        <f t="shared" si="12"/>
        <v>0</v>
      </c>
      <c r="J225" s="29"/>
    </row>
    <row r="226" spans="1:10" x14ac:dyDescent="0.25">
      <c r="A226" s="38">
        <f>Données!A226</f>
        <v>5765</v>
      </c>
      <c r="B226" s="130" t="str">
        <f>Données!B226</f>
        <v>Vaulion</v>
      </c>
      <c r="C226" s="272">
        <f>VPI!R226</f>
        <v>9627.8182716049378</v>
      </c>
      <c r="D226" s="150">
        <f>Effort!I226-IF(PCS!I232&lt;0, Effort!D226, 0)</f>
        <v>-29.069576627244306</v>
      </c>
      <c r="E226" s="398">
        <f>IF(PCS!I232&lt;0, 0, PCS!F232/Aide!C226)</f>
        <v>1.6088624196079551</v>
      </c>
      <c r="F226" s="398">
        <f>Effort!G226</f>
        <v>-17.85368314862292</v>
      </c>
      <c r="G226" s="285">
        <f t="shared" si="10"/>
        <v>-9.6070310590134298</v>
      </c>
      <c r="H226" s="161">
        <f t="shared" si="11"/>
        <v>0</v>
      </c>
      <c r="I226" s="42">
        <f t="shared" si="12"/>
        <v>0</v>
      </c>
      <c r="J226" s="29"/>
    </row>
    <row r="227" spans="1:10" x14ac:dyDescent="0.25">
      <c r="A227" s="38">
        <f>Données!A227</f>
        <v>5766</v>
      </c>
      <c r="B227" s="130" t="str">
        <f>Données!B227</f>
        <v>Vuiteboeuf</v>
      </c>
      <c r="C227" s="272">
        <f>VPI!R227</f>
        <v>15422.129161904764</v>
      </c>
      <c r="D227" s="150">
        <f>Effort!I227-IF(PCS!I233&lt;0, Effort!D227, 0)</f>
        <v>4.5486092774258928</v>
      </c>
      <c r="E227" s="398">
        <f>IF(PCS!I233&lt;0, 0, PCS!F233/Aide!C227)</f>
        <v>6.1774586375097771</v>
      </c>
      <c r="F227" s="398">
        <f>Effort!G227</f>
        <v>-3.6882150243408516</v>
      </c>
      <c r="G227" s="285">
        <f t="shared" si="10"/>
        <v>14.414282939276521</v>
      </c>
      <c r="H227" s="161">
        <f t="shared" si="11"/>
        <v>0</v>
      </c>
      <c r="I227" s="42">
        <f t="shared" si="12"/>
        <v>0</v>
      </c>
      <c r="J227" s="29"/>
    </row>
    <row r="228" spans="1:10" x14ac:dyDescent="0.25">
      <c r="A228" s="38">
        <f>Données!A228</f>
        <v>5785</v>
      </c>
      <c r="B228" s="130" t="str">
        <f>Données!B228</f>
        <v>Corcelles-le-Jorat</v>
      </c>
      <c r="C228" s="272">
        <f>VPI!R228</f>
        <v>15461.79373333333</v>
      </c>
      <c r="D228" s="150">
        <f>Effort!I228-IF(PCS!I234&lt;0, Effort!D228, 0)</f>
        <v>11.575321093657365</v>
      </c>
      <c r="E228" s="398">
        <f>IF(PCS!I234&lt;0, 0, PCS!F234/Aide!C228)</f>
        <v>1.1736105986771541</v>
      </c>
      <c r="F228" s="398">
        <f>Effort!G228</f>
        <v>-5.1285679287838173</v>
      </c>
      <c r="G228" s="285">
        <f t="shared" si="10"/>
        <v>17.877499621118336</v>
      </c>
      <c r="H228" s="161">
        <f t="shared" si="11"/>
        <v>0</v>
      </c>
      <c r="I228" s="42">
        <f t="shared" si="12"/>
        <v>0</v>
      </c>
      <c r="J228" s="29"/>
    </row>
    <row r="229" spans="1:10" x14ac:dyDescent="0.25">
      <c r="A229" s="38">
        <f>Données!A229</f>
        <v>5790</v>
      </c>
      <c r="B229" s="130" t="str">
        <f>Données!B229</f>
        <v>Maracon</v>
      </c>
      <c r="C229" s="272">
        <f>VPI!R229</f>
        <v>16326.326308724832</v>
      </c>
      <c r="D229" s="150">
        <f>Effort!I229-IF(PCS!I235&lt;0, Effort!D229, 0)</f>
        <v>11.152367907069621</v>
      </c>
      <c r="E229" s="398">
        <f>IF(PCS!I235&lt;0, 0, PCS!F235/Aide!C229)</f>
        <v>0.80803909897047654</v>
      </c>
      <c r="F229" s="398">
        <f>Effort!G229</f>
        <v>-3.3736442161590903</v>
      </c>
      <c r="G229" s="285">
        <f t="shared" si="10"/>
        <v>15.334051222199189</v>
      </c>
      <c r="H229" s="161">
        <f t="shared" si="11"/>
        <v>0</v>
      </c>
      <c r="I229" s="42">
        <f t="shared" si="12"/>
        <v>0</v>
      </c>
      <c r="J229" s="29"/>
    </row>
    <row r="230" spans="1:10" x14ac:dyDescent="0.25">
      <c r="A230" s="38">
        <f>Données!A230</f>
        <v>5792</v>
      </c>
      <c r="B230" s="130" t="str">
        <f>Données!B230</f>
        <v>Montpreveyres</v>
      </c>
      <c r="C230" s="272">
        <f>VPI!R230</f>
        <v>19363.003178807943</v>
      </c>
      <c r="D230" s="150">
        <f>Effort!I230-IF(PCS!I236&lt;0, Effort!D230, 0)</f>
        <v>4.9243860738181517</v>
      </c>
      <c r="E230" s="398">
        <f>IF(PCS!I236&lt;0, 0, PCS!F236/Aide!C230)</f>
        <v>1.0082475233680093</v>
      </c>
      <c r="F230" s="398">
        <f>Effort!G230</f>
        <v>-8.2475817084355327</v>
      </c>
      <c r="G230" s="285">
        <f t="shared" si="10"/>
        <v>14.180215305621694</v>
      </c>
      <c r="H230" s="161">
        <f t="shared" si="11"/>
        <v>0</v>
      </c>
      <c r="I230" s="42">
        <f t="shared" si="12"/>
        <v>0</v>
      </c>
      <c r="J230" s="29"/>
    </row>
    <row r="231" spans="1:10" x14ac:dyDescent="0.25">
      <c r="A231" s="38">
        <f>Données!A231</f>
        <v>5798</v>
      </c>
      <c r="B231" s="130" t="str">
        <f>Données!B231</f>
        <v>Ropraz</v>
      </c>
      <c r="C231" s="272">
        <f>VPI!R231</f>
        <v>16208.095096774196</v>
      </c>
      <c r="D231" s="150">
        <f>Effort!I231-IF(PCS!I237&lt;0, Effort!D231, 0)</f>
        <v>8.9917359940087103</v>
      </c>
      <c r="E231" s="398">
        <f>IF(PCS!I237&lt;0, 0, PCS!F237/Aide!C231)</f>
        <v>2.359990163656732</v>
      </c>
      <c r="F231" s="398">
        <f>Effort!G231</f>
        <v>-5.3222774324576365</v>
      </c>
      <c r="G231" s="285">
        <f t="shared" si="10"/>
        <v>16.674003590123078</v>
      </c>
      <c r="H231" s="161">
        <f t="shared" si="11"/>
        <v>0</v>
      </c>
      <c r="I231" s="42">
        <f t="shared" si="12"/>
        <v>0</v>
      </c>
      <c r="J231" s="29"/>
    </row>
    <row r="232" spans="1:10" x14ac:dyDescent="0.25">
      <c r="A232" s="38">
        <f>Données!A232</f>
        <v>5799</v>
      </c>
      <c r="B232" s="130" t="str">
        <f>Données!B232</f>
        <v>Servion</v>
      </c>
      <c r="C232" s="272">
        <f>VPI!R232</f>
        <v>73170.005797101461</v>
      </c>
      <c r="D232" s="150">
        <f>Effort!I232-IF(PCS!I238&lt;0, Effort!D232, 0)</f>
        <v>12.005396566989889</v>
      </c>
      <c r="E232" s="398">
        <f>IF(PCS!I238&lt;0, 0, PCS!F238/Aide!C232)</f>
        <v>5.7706174189851769</v>
      </c>
      <c r="F232" s="398">
        <f>Effort!G232</f>
        <v>-5.0312206082996509</v>
      </c>
      <c r="G232" s="285">
        <f t="shared" si="10"/>
        <v>22.807234594274718</v>
      </c>
      <c r="H232" s="161">
        <f t="shared" si="11"/>
        <v>0</v>
      </c>
      <c r="I232" s="42">
        <f t="shared" si="12"/>
        <v>0</v>
      </c>
      <c r="J232" s="29"/>
    </row>
    <row r="233" spans="1:10" x14ac:dyDescent="0.25">
      <c r="A233" s="38">
        <f>Données!A233</f>
        <v>5803</v>
      </c>
      <c r="B233" s="130" t="str">
        <f>Données!B233</f>
        <v>Vulliens</v>
      </c>
      <c r="C233" s="272">
        <f>VPI!R233</f>
        <v>16577.495675675673</v>
      </c>
      <c r="D233" s="150">
        <f>Effort!I233-IF(PCS!I239&lt;0, Effort!D233, 0)</f>
        <v>2.951918091949711</v>
      </c>
      <c r="E233" s="398">
        <f>IF(PCS!I239&lt;0, 0, PCS!F239/Aide!C233)</f>
        <v>4.1078508679643759</v>
      </c>
      <c r="F233" s="398">
        <f>Effort!G233</f>
        <v>-6.0928014098992476</v>
      </c>
      <c r="G233" s="285">
        <f t="shared" si="10"/>
        <v>13.152570369813334</v>
      </c>
      <c r="H233" s="161">
        <f t="shared" si="11"/>
        <v>0</v>
      </c>
      <c r="I233" s="42">
        <f t="shared" si="12"/>
        <v>0</v>
      </c>
      <c r="J233" s="29"/>
    </row>
    <row r="234" spans="1:10" x14ac:dyDescent="0.25">
      <c r="A234" s="38">
        <f>Données!A234</f>
        <v>5804</v>
      </c>
      <c r="B234" s="130" t="str">
        <f>Données!B234</f>
        <v>Jorat-Menthue</v>
      </c>
      <c r="C234" s="272">
        <f>VPI!R234</f>
        <v>45125.096170212761</v>
      </c>
      <c r="D234" s="150">
        <f>Effort!I234-IF(PCS!I240&lt;0, Effort!D234, 0)</f>
        <v>2.1689737671134495</v>
      </c>
      <c r="E234" s="398">
        <f>IF(PCS!I240&lt;0, 0, PCS!F240/Aide!C234)</f>
        <v>2.3090059377818881</v>
      </c>
      <c r="F234" s="398">
        <f>Effort!G234</f>
        <v>-9.3095169355349476</v>
      </c>
      <c r="G234" s="285">
        <f t="shared" si="10"/>
        <v>13.787496640430286</v>
      </c>
      <c r="H234" s="161">
        <f t="shared" si="11"/>
        <v>0</v>
      </c>
      <c r="I234" s="42">
        <f t="shared" si="12"/>
        <v>0</v>
      </c>
      <c r="J234" s="29"/>
    </row>
    <row r="235" spans="1:10" x14ac:dyDescent="0.25">
      <c r="A235" s="38">
        <f>Données!A235</f>
        <v>5805</v>
      </c>
      <c r="B235" s="130" t="str">
        <f>Données!B235</f>
        <v>Oron</v>
      </c>
      <c r="C235" s="272">
        <f>VPI!R235</f>
        <v>174503.6837022398</v>
      </c>
      <c r="D235" s="150">
        <f>Effort!I235-IF(PCS!I241&lt;0, Effort!D235, 0)</f>
        <v>-2.7616223248627385</v>
      </c>
      <c r="E235" s="398">
        <f>IF(PCS!I241&lt;0, 0, PCS!F241/Aide!C235)</f>
        <v>2.8485412711870439</v>
      </c>
      <c r="F235" s="398">
        <f>Effort!G235</f>
        <v>-6.9371329662358052</v>
      </c>
      <c r="G235" s="285">
        <f t="shared" si="10"/>
        <v>7.0240519125601111</v>
      </c>
      <c r="H235" s="161">
        <f t="shared" si="11"/>
        <v>0</v>
      </c>
      <c r="I235" s="42">
        <f t="shared" si="12"/>
        <v>0</v>
      </c>
      <c r="J235" s="29"/>
    </row>
    <row r="236" spans="1:10" x14ac:dyDescent="0.25">
      <c r="A236" s="38">
        <f>Données!A236</f>
        <v>5806</v>
      </c>
      <c r="B236" s="130" t="str">
        <f>Données!B236</f>
        <v>Jorat-Mézières</v>
      </c>
      <c r="C236" s="272">
        <f>VPI!R236</f>
        <v>102976.58753424657</v>
      </c>
      <c r="D236" s="150">
        <f>Effort!I236-IF(PCS!I242&lt;0, Effort!D236, 0)</f>
        <v>8.7335101273720372</v>
      </c>
      <c r="E236" s="398">
        <f>IF(PCS!I242&lt;0, 0, PCS!F242/Aide!C236)</f>
        <v>3.6120777926953416</v>
      </c>
      <c r="F236" s="398">
        <f>Effort!G236</f>
        <v>-4.8998122750118078</v>
      </c>
      <c r="G236" s="285">
        <f t="shared" si="10"/>
        <v>17.245400195079185</v>
      </c>
      <c r="H236" s="161">
        <f t="shared" si="11"/>
        <v>0</v>
      </c>
      <c r="I236" s="42">
        <f t="shared" si="12"/>
        <v>0</v>
      </c>
      <c r="J236" s="29"/>
    </row>
    <row r="237" spans="1:10" x14ac:dyDescent="0.25">
      <c r="A237" s="38">
        <f>Données!A237</f>
        <v>5812</v>
      </c>
      <c r="B237" s="130" t="str">
        <f>Données!B237</f>
        <v>Champtauroz</v>
      </c>
      <c r="C237" s="272">
        <f>VPI!R237</f>
        <v>3659.2728571428574</v>
      </c>
      <c r="D237" s="150">
        <f>Effort!I237-IF(PCS!I243&lt;0, Effort!D237, 0)</f>
        <v>-13.333089731647409</v>
      </c>
      <c r="E237" s="398">
        <f>IF(PCS!I243&lt;0, 0, PCS!F243/Aide!C237)</f>
        <v>6.31842743152328</v>
      </c>
      <c r="F237" s="398">
        <f>Effort!G237</f>
        <v>-10.692470973079875</v>
      </c>
      <c r="G237" s="285">
        <f t="shared" si="10"/>
        <v>3.677808672955746</v>
      </c>
      <c r="H237" s="161">
        <f t="shared" si="11"/>
        <v>0</v>
      </c>
      <c r="I237" s="42">
        <f t="shared" si="12"/>
        <v>0</v>
      </c>
      <c r="J237" s="29"/>
    </row>
    <row r="238" spans="1:10" x14ac:dyDescent="0.25">
      <c r="A238" s="38">
        <f>Données!A238</f>
        <v>5813</v>
      </c>
      <c r="B238" s="130" t="str">
        <f>Données!B238</f>
        <v>Chevroux</v>
      </c>
      <c r="C238" s="272">
        <f>VPI!R238</f>
        <v>17497.520778588809</v>
      </c>
      <c r="D238" s="150">
        <f>Effort!I238-IF(PCS!I244&lt;0, Effort!D238, 0)</f>
        <v>10.510129507742757</v>
      </c>
      <c r="E238" s="398">
        <f>IF(PCS!I244&lt;0, 0, PCS!F244/Aide!C238)</f>
        <v>4.6739978786066576</v>
      </c>
      <c r="F238" s="398">
        <f>Effort!G238</f>
        <v>-9.6427704797992551</v>
      </c>
      <c r="G238" s="285">
        <f t="shared" si="10"/>
        <v>24.82689786614867</v>
      </c>
      <c r="H238" s="161">
        <f t="shared" si="11"/>
        <v>0</v>
      </c>
      <c r="I238" s="42">
        <f t="shared" si="12"/>
        <v>0</v>
      </c>
      <c r="J238" s="29"/>
    </row>
    <row r="239" spans="1:10" x14ac:dyDescent="0.25">
      <c r="A239" s="38">
        <f>Données!A239</f>
        <v>5816</v>
      </c>
      <c r="B239" s="130" t="str">
        <f>Données!B239</f>
        <v>Corcelles-près-Payerne</v>
      </c>
      <c r="C239" s="272">
        <f>VPI!R239</f>
        <v>65699.549864442117</v>
      </c>
      <c r="D239" s="150">
        <f>Effort!I239-IF(PCS!I245&lt;0, Effort!D239, 0)</f>
        <v>-5.6422491761927454</v>
      </c>
      <c r="E239" s="398">
        <f>IF(PCS!I245&lt;0, 0, PCS!F245/Aide!C239)</f>
        <v>3.2861366698167909</v>
      </c>
      <c r="F239" s="398">
        <f>Effort!G239</f>
        <v>-5.105132731641242</v>
      </c>
      <c r="G239" s="285">
        <f t="shared" si="10"/>
        <v>2.7490202252652876</v>
      </c>
      <c r="H239" s="161">
        <f t="shared" si="11"/>
        <v>0</v>
      </c>
      <c r="I239" s="42">
        <f t="shared" si="12"/>
        <v>0</v>
      </c>
      <c r="J239" s="29"/>
    </row>
    <row r="240" spans="1:10" x14ac:dyDescent="0.25">
      <c r="A240" s="38">
        <f>Données!A240</f>
        <v>5817</v>
      </c>
      <c r="B240" s="130" t="str">
        <f>Données!B240</f>
        <v>Grandcour</v>
      </c>
      <c r="C240" s="272">
        <f>VPI!R240</f>
        <v>25916.533605442175</v>
      </c>
      <c r="D240" s="150">
        <f>Effort!I240-IF(PCS!I246&lt;0, Effort!D240, 0)</f>
        <v>4.0977518225125422</v>
      </c>
      <c r="E240" s="398">
        <f>IF(PCS!I246&lt;0, 0, PCS!F246/Aide!C240)</f>
        <v>3.8303893765775205</v>
      </c>
      <c r="F240" s="398">
        <f>Effort!G240</f>
        <v>-4.5991362776882685</v>
      </c>
      <c r="G240" s="285">
        <f t="shared" si="10"/>
        <v>12.52727747677833</v>
      </c>
      <c r="H240" s="161">
        <f t="shared" si="11"/>
        <v>0</v>
      </c>
      <c r="I240" s="42">
        <f t="shared" si="12"/>
        <v>0</v>
      </c>
      <c r="J240" s="29"/>
    </row>
    <row r="241" spans="1:10" x14ac:dyDescent="0.25">
      <c r="A241" s="38">
        <f>Données!A241</f>
        <v>5819</v>
      </c>
      <c r="B241" s="130" t="str">
        <f>Données!B241</f>
        <v>Henniez</v>
      </c>
      <c r="C241" s="272">
        <f>VPI!R241</f>
        <v>10275.484492753623</v>
      </c>
      <c r="D241" s="150">
        <f>Effort!I241-IF(PCS!I247&lt;0, Effort!D241, 0)</f>
        <v>-0.80731458347332463</v>
      </c>
      <c r="E241" s="398">
        <f>IF(PCS!I247&lt;0, 0, PCS!F247/Aide!C241)</f>
        <v>8.8510201211570934</v>
      </c>
      <c r="F241" s="398">
        <f>Effort!G241</f>
        <v>-9.9543635482088959</v>
      </c>
      <c r="G241" s="285">
        <f t="shared" si="10"/>
        <v>17.998069085892666</v>
      </c>
      <c r="H241" s="161">
        <f t="shared" si="11"/>
        <v>0</v>
      </c>
      <c r="I241" s="42">
        <f t="shared" si="12"/>
        <v>0</v>
      </c>
      <c r="J241" s="29"/>
    </row>
    <row r="242" spans="1:10" x14ac:dyDescent="0.25">
      <c r="A242" s="38">
        <f>Données!A242</f>
        <v>5821</v>
      </c>
      <c r="B242" s="130" t="str">
        <f>Données!B242</f>
        <v>Missy</v>
      </c>
      <c r="C242" s="272">
        <f>VPI!R242</f>
        <v>8375.9038888888899</v>
      </c>
      <c r="D242" s="150">
        <f>Effort!I242-IF(PCS!I248&lt;0, Effort!D242, 0)</f>
        <v>-4.5348023668240209</v>
      </c>
      <c r="E242" s="398">
        <f>IF(PCS!I248&lt;0, 0, PCS!F248/Aide!C242)</f>
        <v>4.8081765901617111</v>
      </c>
      <c r="F242" s="398">
        <f>Effort!G242</f>
        <v>-5.4761871124053041</v>
      </c>
      <c r="G242" s="285">
        <f t="shared" si="10"/>
        <v>5.7495613357429942</v>
      </c>
      <c r="H242" s="161">
        <f t="shared" si="11"/>
        <v>0</v>
      </c>
      <c r="I242" s="42">
        <f t="shared" si="12"/>
        <v>0</v>
      </c>
      <c r="J242" s="29"/>
    </row>
    <row r="243" spans="1:10" x14ac:dyDescent="0.25">
      <c r="A243" s="38">
        <f>Données!A243</f>
        <v>5822</v>
      </c>
      <c r="B243" s="130" t="str">
        <f>Données!B243</f>
        <v>Payerne</v>
      </c>
      <c r="C243" s="272">
        <f>VPI!R243</f>
        <v>226829.36520547947</v>
      </c>
      <c r="D243" s="150">
        <f>Effort!I243-IF(PCS!I249&lt;0, Effort!D243, 0)</f>
        <v>-25.56608302317321</v>
      </c>
      <c r="E243" s="398">
        <f>IF(PCS!I249&lt;0, 0, PCS!F249/Aide!C243)</f>
        <v>4.5087994187769045</v>
      </c>
      <c r="F243" s="398">
        <f>Effort!G243</f>
        <v>-7.4131682586623562</v>
      </c>
      <c r="G243" s="285">
        <f t="shared" si="10"/>
        <v>-13.644115345733947</v>
      </c>
      <c r="H243" s="161">
        <f t="shared" si="11"/>
        <v>-3.6441153457339475</v>
      </c>
      <c r="I243" s="42">
        <f t="shared" si="12"/>
        <v>826592.37060837762</v>
      </c>
      <c r="J243" s="29"/>
    </row>
    <row r="244" spans="1:10" x14ac:dyDescent="0.25">
      <c r="A244" s="38">
        <f>Données!A244</f>
        <v>5827</v>
      </c>
      <c r="B244" s="130" t="str">
        <f>Données!B244</f>
        <v>Trey</v>
      </c>
      <c r="C244" s="272">
        <f>VPI!R244</f>
        <v>7714.9719230769242</v>
      </c>
      <c r="D244" s="150">
        <f>Effort!I244-IF(PCS!I250&lt;0, Effort!D244, 0)</f>
        <v>1.699454555689929</v>
      </c>
      <c r="E244" s="398">
        <f>IF(PCS!I250&lt;0, 0, PCS!F250/Aide!C244)</f>
        <v>3.193358996720014</v>
      </c>
      <c r="F244" s="398">
        <f>Effort!G244</f>
        <v>-4.0195597952037954</v>
      </c>
      <c r="G244" s="285">
        <f t="shared" si="10"/>
        <v>8.9123733476137375</v>
      </c>
      <c r="H244" s="161">
        <f t="shared" si="11"/>
        <v>0</v>
      </c>
      <c r="I244" s="42">
        <f t="shared" si="12"/>
        <v>0</v>
      </c>
      <c r="J244" s="29"/>
    </row>
    <row r="245" spans="1:10" x14ac:dyDescent="0.25">
      <c r="A245" s="38">
        <f>Données!A245</f>
        <v>5828</v>
      </c>
      <c r="B245" s="130" t="str">
        <f>Données!B245</f>
        <v>Treytorrens (Payerne)</v>
      </c>
      <c r="C245" s="272">
        <f>VPI!R245</f>
        <v>2864.8037627811859</v>
      </c>
      <c r="D245" s="150">
        <f>Effort!I245-IF(PCS!I251&lt;0, Effort!D245, 0)</f>
        <v>-6.6311975213806527</v>
      </c>
      <c r="E245" s="398">
        <f>IF(PCS!I251&lt;0, 0, PCS!F251/Aide!C245)</f>
        <v>3.8213612193011381</v>
      </c>
      <c r="F245" s="398">
        <f>Effort!G245</f>
        <v>-13.892587423502029</v>
      </c>
      <c r="G245" s="285">
        <f t="shared" si="10"/>
        <v>11.082751121422515</v>
      </c>
      <c r="H245" s="161">
        <f t="shared" si="11"/>
        <v>0</v>
      </c>
      <c r="I245" s="42">
        <f t="shared" si="12"/>
        <v>0</v>
      </c>
      <c r="J245" s="29"/>
    </row>
    <row r="246" spans="1:10" x14ac:dyDescent="0.25">
      <c r="A246" s="38">
        <f>Données!A246</f>
        <v>5830</v>
      </c>
      <c r="B246" s="130" t="str">
        <f>Données!B246</f>
        <v>Villarzel</v>
      </c>
      <c r="C246" s="272">
        <f>VPI!R246</f>
        <v>12474.066133333334</v>
      </c>
      <c r="D246" s="150">
        <f>Effort!I246-IF(PCS!I252&lt;0, Effort!D246, 0)</f>
        <v>-0.83807413985998025</v>
      </c>
      <c r="E246" s="398">
        <f>IF(PCS!I252&lt;0, 0, PCS!F252/Aide!C246)</f>
        <v>2.5494465605740571</v>
      </c>
      <c r="F246" s="398">
        <f>Effort!G246</f>
        <v>-8.3819315289462448</v>
      </c>
      <c r="G246" s="285">
        <f t="shared" si="10"/>
        <v>10.093303949660321</v>
      </c>
      <c r="H246" s="161">
        <f t="shared" si="11"/>
        <v>0</v>
      </c>
      <c r="I246" s="42">
        <f t="shared" si="12"/>
        <v>0</v>
      </c>
      <c r="J246" s="29"/>
    </row>
    <row r="247" spans="1:10" x14ac:dyDescent="0.25">
      <c r="A247" s="38">
        <f>Données!A247</f>
        <v>5831</v>
      </c>
      <c r="B247" s="130" t="str">
        <f>Données!B247</f>
        <v>Valbroye</v>
      </c>
      <c r="C247" s="272">
        <f>VPI!R247</f>
        <v>87465.086477541365</v>
      </c>
      <c r="D247" s="150">
        <f>Effort!I247-IF(PCS!I253&lt;0, Effort!D247, 0)</f>
        <v>-7.6254563654328855</v>
      </c>
      <c r="E247" s="398">
        <f>IF(PCS!I253&lt;0, 0, PCS!F253/Aide!C247)</f>
        <v>5.0484291822358269</v>
      </c>
      <c r="F247" s="398">
        <f>Effort!G247</f>
        <v>-10.987891786470781</v>
      </c>
      <c r="G247" s="285">
        <f t="shared" si="10"/>
        <v>8.4108646032737227</v>
      </c>
      <c r="H247" s="161">
        <f t="shared" si="11"/>
        <v>0</v>
      </c>
      <c r="I247" s="42">
        <f t="shared" si="12"/>
        <v>0</v>
      </c>
      <c r="J247" s="29"/>
    </row>
    <row r="248" spans="1:10" x14ac:dyDescent="0.25">
      <c r="A248" s="38">
        <f>Données!A248</f>
        <v>5841</v>
      </c>
      <c r="B248" s="130" t="str">
        <f>Données!B248</f>
        <v>Château-d'Oex</v>
      </c>
      <c r="C248" s="272">
        <f>VPI!R248</f>
        <v>123825.99529652353</v>
      </c>
      <c r="D248" s="150">
        <f>Effort!I248-IF(PCS!I254&lt;0, Effort!D248, 0)</f>
        <v>-4.4740300825766042</v>
      </c>
      <c r="E248" s="398">
        <f>IF(PCS!I254&lt;0, 0, PCS!F254/Aide!C248)</f>
        <v>9.0214872678787419</v>
      </c>
      <c r="F248" s="398">
        <f>Effort!G248</f>
        <v>-17.095312090175497</v>
      </c>
      <c r="G248" s="285">
        <f t="shared" si="10"/>
        <v>21.642769275477633</v>
      </c>
      <c r="H248" s="161">
        <f t="shared" si="11"/>
        <v>0</v>
      </c>
      <c r="I248" s="42">
        <f t="shared" si="12"/>
        <v>0</v>
      </c>
      <c r="J248" s="29"/>
    </row>
    <row r="249" spans="1:10" x14ac:dyDescent="0.25">
      <c r="A249" s="38">
        <f>Données!A249</f>
        <v>5842</v>
      </c>
      <c r="B249" s="130" t="str">
        <f>Données!B249</f>
        <v>Rossinière</v>
      </c>
      <c r="C249" s="272">
        <f>VPI!R249</f>
        <v>16473.108683127575</v>
      </c>
      <c r="D249" s="150">
        <f>Effort!I249-IF(PCS!I255&lt;0, Effort!D249, 0)</f>
        <v>-5.8838249864552772</v>
      </c>
      <c r="E249" s="398">
        <f>IF(PCS!I255&lt;0, 0, PCS!F255/Aide!C249)</f>
        <v>3.0576715038364517</v>
      </c>
      <c r="F249" s="398">
        <f>Effort!G249</f>
        <v>-19.257195548827159</v>
      </c>
      <c r="G249" s="285">
        <f t="shared" si="10"/>
        <v>16.431042066208335</v>
      </c>
      <c r="H249" s="161">
        <f t="shared" si="11"/>
        <v>0</v>
      </c>
      <c r="I249" s="42">
        <f t="shared" si="12"/>
        <v>0</v>
      </c>
      <c r="J249" s="29"/>
    </row>
    <row r="250" spans="1:10" x14ac:dyDescent="0.25">
      <c r="A250" s="38">
        <f>Données!A250</f>
        <v>5843</v>
      </c>
      <c r="B250" s="130" t="str">
        <f>Données!B250</f>
        <v>Rougemont</v>
      </c>
      <c r="C250" s="272">
        <f>VPI!R250</f>
        <v>89735.240928270054</v>
      </c>
      <c r="D250" s="150">
        <f>Effort!I250-IF(PCS!I256&lt;0, Effort!D250, 0)</f>
        <v>45.930761665527143</v>
      </c>
      <c r="E250" s="398">
        <f>IF(PCS!I256&lt;0, 0, PCS!F256/Aide!C250)</f>
        <v>10.564008578945653</v>
      </c>
      <c r="F250" s="398">
        <f>Effort!G250</f>
        <v>-1.1219475893088011</v>
      </c>
      <c r="G250" s="285">
        <f t="shared" si="10"/>
        <v>57.6167178337816</v>
      </c>
      <c r="H250" s="161">
        <f t="shared" si="11"/>
        <v>0</v>
      </c>
      <c r="I250" s="42">
        <f t="shared" si="12"/>
        <v>0</v>
      </c>
      <c r="J250" s="29"/>
    </row>
    <row r="251" spans="1:10" x14ac:dyDescent="0.25">
      <c r="A251" s="38">
        <f>Données!A251</f>
        <v>5851</v>
      </c>
      <c r="B251" s="130" t="str">
        <f>Données!B251</f>
        <v>Allaman</v>
      </c>
      <c r="C251" s="272">
        <f>VPI!R251</f>
        <v>24650.249641025639</v>
      </c>
      <c r="D251" s="150">
        <f>Effort!I251-IF(PCS!I257&lt;0, Effort!D251, 0)</f>
        <v>32.087519002499718</v>
      </c>
      <c r="E251" s="398">
        <f>IF(PCS!I257&lt;0, 0, PCS!F257/Aide!C251)</f>
        <v>12.459439132366578</v>
      </c>
      <c r="F251" s="398">
        <f>Effort!G251</f>
        <v>-0.30076310373409426</v>
      </c>
      <c r="G251" s="285">
        <f t="shared" si="10"/>
        <v>44.847721238600386</v>
      </c>
      <c r="H251" s="161">
        <f t="shared" si="11"/>
        <v>0</v>
      </c>
      <c r="I251" s="42">
        <f t="shared" si="12"/>
        <v>0</v>
      </c>
      <c r="J251" s="29"/>
    </row>
    <row r="252" spans="1:10" x14ac:dyDescent="0.25">
      <c r="A252" s="38">
        <f>Données!A252</f>
        <v>5852</v>
      </c>
      <c r="B252" s="130" t="str">
        <f>Données!B252</f>
        <v>Bursinel</v>
      </c>
      <c r="C252" s="272">
        <f>VPI!R252</f>
        <v>35648.966451612905</v>
      </c>
      <c r="D252" s="150">
        <f>Effort!I252-IF(PCS!I258&lt;0, Effort!D252, 0)</f>
        <v>35.439675722194423</v>
      </c>
      <c r="E252" s="398">
        <f>IF(PCS!I258&lt;0, 0, PCS!F258/Aide!C252)</f>
        <v>3.2203132776884744</v>
      </c>
      <c r="F252" s="398">
        <f>Effort!G252</f>
        <v>0</v>
      </c>
      <c r="G252" s="285">
        <f t="shared" si="10"/>
        <v>38.659988999882898</v>
      </c>
      <c r="H252" s="161">
        <f t="shared" si="11"/>
        <v>0</v>
      </c>
      <c r="I252" s="42">
        <f t="shared" si="12"/>
        <v>0</v>
      </c>
      <c r="J252" s="29"/>
    </row>
    <row r="253" spans="1:10" x14ac:dyDescent="0.25">
      <c r="A253" s="38">
        <f>Données!A253</f>
        <v>5853</v>
      </c>
      <c r="B253" s="130" t="str">
        <f>Données!B253</f>
        <v>Bursins</v>
      </c>
      <c r="C253" s="272">
        <f>VPI!R253</f>
        <v>47535.713943661962</v>
      </c>
      <c r="D253" s="150">
        <f>Effort!I253-IF(PCS!I259&lt;0, Effort!D253, 0)</f>
        <v>33.748167833733319</v>
      </c>
      <c r="E253" s="398">
        <f>IF(PCS!I259&lt;0, 0, PCS!F259/Aide!C253)</f>
        <v>8.2476145296703525</v>
      </c>
      <c r="F253" s="398">
        <f>Effort!G253</f>
        <v>0</v>
      </c>
      <c r="G253" s="285">
        <f t="shared" si="10"/>
        <v>41.99578236340367</v>
      </c>
      <c r="H253" s="161">
        <f t="shared" si="11"/>
        <v>0</v>
      </c>
      <c r="I253" s="42">
        <f t="shared" si="12"/>
        <v>0</v>
      </c>
      <c r="J253" s="29"/>
    </row>
    <row r="254" spans="1:10" x14ac:dyDescent="0.25">
      <c r="A254" s="38">
        <f>Données!A254</f>
        <v>5854</v>
      </c>
      <c r="B254" s="130" t="str">
        <f>Données!B254</f>
        <v>Burtigny</v>
      </c>
      <c r="C254" s="272">
        <f>VPI!R254</f>
        <v>15260.82696390658</v>
      </c>
      <c r="D254" s="150">
        <f>Effort!I254-IF(PCS!I260&lt;0, Effort!D254, 0)</f>
        <v>19.041710065346042</v>
      </c>
      <c r="E254" s="398">
        <f>IF(PCS!I260&lt;0, 0, PCS!F260/Aide!C254)</f>
        <v>3.7111455449922821</v>
      </c>
      <c r="F254" s="398">
        <f>Effort!G254</f>
        <v>-2.133945894674377</v>
      </c>
      <c r="G254" s="285">
        <f t="shared" si="10"/>
        <v>24.886801505012698</v>
      </c>
      <c r="H254" s="161">
        <f t="shared" si="11"/>
        <v>0</v>
      </c>
      <c r="I254" s="42">
        <f t="shared" si="12"/>
        <v>0</v>
      </c>
      <c r="J254" s="29"/>
    </row>
    <row r="255" spans="1:10" x14ac:dyDescent="0.25">
      <c r="A255" s="38">
        <f>Données!A255</f>
        <v>5855</v>
      </c>
      <c r="B255" s="130" t="str">
        <f>Données!B255</f>
        <v>Dully</v>
      </c>
      <c r="C255" s="272">
        <f>VPI!R255</f>
        <v>82571.316415094334</v>
      </c>
      <c r="D255" s="150">
        <f>Effort!I255-IF(PCS!I261&lt;0, Effort!D255, 0)</f>
        <v>44.598861941679075</v>
      </c>
      <c r="E255" s="398">
        <f>IF(PCS!I261&lt;0, 0, PCS!F261/Aide!C255)</f>
        <v>8.2718376629289416</v>
      </c>
      <c r="F255" s="398">
        <f>Effort!G255</f>
        <v>0</v>
      </c>
      <c r="G255" s="285">
        <f t="shared" si="10"/>
        <v>52.870699604608021</v>
      </c>
      <c r="H255" s="161">
        <f t="shared" si="11"/>
        <v>0</v>
      </c>
      <c r="I255" s="42">
        <f t="shared" si="12"/>
        <v>0</v>
      </c>
      <c r="J255" s="29"/>
    </row>
    <row r="256" spans="1:10" x14ac:dyDescent="0.25">
      <c r="A256" s="38">
        <f>Données!A256</f>
        <v>5856</v>
      </c>
      <c r="B256" s="130" t="str">
        <f>Données!B256</f>
        <v>Essertines-sur-Rolle</v>
      </c>
      <c r="C256" s="272">
        <f>VPI!R256</f>
        <v>36460.735639097751</v>
      </c>
      <c r="D256" s="150">
        <f>Effort!I256-IF(PCS!I262&lt;0, Effort!D256, 0)</f>
        <v>29.617944864061112</v>
      </c>
      <c r="E256" s="398">
        <f>IF(PCS!I262&lt;0, 0, PCS!F262/Aide!C256)</f>
        <v>2.8984025732788283</v>
      </c>
      <c r="F256" s="398">
        <f>Effort!G256</f>
        <v>0</v>
      </c>
      <c r="G256" s="285">
        <f t="shared" si="10"/>
        <v>32.516347437339938</v>
      </c>
      <c r="H256" s="161">
        <f t="shared" si="11"/>
        <v>0</v>
      </c>
      <c r="I256" s="42">
        <f t="shared" si="12"/>
        <v>0</v>
      </c>
      <c r="J256" s="29"/>
    </row>
    <row r="257" spans="1:10" x14ac:dyDescent="0.25">
      <c r="A257" s="38">
        <f>Données!A257</f>
        <v>5857</v>
      </c>
      <c r="B257" s="130" t="str">
        <f>Données!B257</f>
        <v>Gilly</v>
      </c>
      <c r="C257" s="272">
        <f>VPI!R257</f>
        <v>87016.843255813976</v>
      </c>
      <c r="D257" s="150">
        <f>Effort!I257-IF(PCS!I263&lt;0, Effort!D257, 0)</f>
        <v>31.630217718858582</v>
      </c>
      <c r="E257" s="398">
        <f>IF(PCS!I263&lt;0, 0, PCS!F263/Aide!C257)</f>
        <v>2.8875678041010957</v>
      </c>
      <c r="F257" s="398">
        <f>Effort!G257</f>
        <v>0</v>
      </c>
      <c r="G257" s="285">
        <f t="shared" si="10"/>
        <v>34.517785522959677</v>
      </c>
      <c r="H257" s="161">
        <f t="shared" si="11"/>
        <v>0</v>
      </c>
      <c r="I257" s="42">
        <f t="shared" si="12"/>
        <v>0</v>
      </c>
      <c r="J257" s="29"/>
    </row>
    <row r="258" spans="1:10" x14ac:dyDescent="0.25">
      <c r="A258" s="38">
        <f>Données!A258</f>
        <v>5858</v>
      </c>
      <c r="B258" s="130" t="str">
        <f>Données!B258</f>
        <v>Luins</v>
      </c>
      <c r="C258" s="272">
        <f>VPI!R258</f>
        <v>41161.497549857544</v>
      </c>
      <c r="D258" s="150">
        <f>Effort!I258-IF(PCS!I264&lt;0, Effort!D258, 0)</f>
        <v>34.217220843991434</v>
      </c>
      <c r="E258" s="398">
        <f>IF(PCS!I264&lt;0, 0, PCS!F264/Aide!C258)</f>
        <v>4.6261440019122686</v>
      </c>
      <c r="F258" s="398">
        <f>Effort!G258</f>
        <v>0</v>
      </c>
      <c r="G258" s="285">
        <f t="shared" si="10"/>
        <v>38.8433648459037</v>
      </c>
      <c r="H258" s="161">
        <f t="shared" si="11"/>
        <v>0</v>
      </c>
      <c r="I258" s="42">
        <f t="shared" si="12"/>
        <v>0</v>
      </c>
      <c r="J258" s="29"/>
    </row>
    <row r="259" spans="1:10" x14ac:dyDescent="0.25">
      <c r="A259" s="38">
        <f>Données!A259</f>
        <v>5859</v>
      </c>
      <c r="B259" s="130" t="str">
        <f>Données!B259</f>
        <v>Mont-sur-Rolle</v>
      </c>
      <c r="C259" s="272">
        <f>VPI!R259</f>
        <v>158432.4612598425</v>
      </c>
      <c r="D259" s="150">
        <f>Effort!I259-IF(PCS!I265&lt;0, Effort!D259, 0)</f>
        <v>27.860361407420136</v>
      </c>
      <c r="E259" s="398">
        <f>IF(PCS!I265&lt;0, 0, PCS!F265/Aide!C259)</f>
        <v>4.4483279145940644</v>
      </c>
      <c r="F259" s="398">
        <f>Effort!G259</f>
        <v>-1.4405769992274582</v>
      </c>
      <c r="G259" s="285">
        <f t="shared" si="10"/>
        <v>33.749266321241663</v>
      </c>
      <c r="H259" s="161">
        <f t="shared" si="11"/>
        <v>0</v>
      </c>
      <c r="I259" s="42">
        <f t="shared" si="12"/>
        <v>0</v>
      </c>
      <c r="J259" s="29"/>
    </row>
    <row r="260" spans="1:10" x14ac:dyDescent="0.25">
      <c r="A260" s="38">
        <f>Données!A260</f>
        <v>5860</v>
      </c>
      <c r="B260" s="130" t="str">
        <f>Données!B260</f>
        <v>Perroy</v>
      </c>
      <c r="C260" s="272">
        <f>VPI!R260</f>
        <v>132372.96084155163</v>
      </c>
      <c r="D260" s="150">
        <f>Effort!I260-IF(PCS!I266&lt;0, Effort!D260, 0)</f>
        <v>37.662742042012084</v>
      </c>
      <c r="E260" s="398">
        <f>IF(PCS!I266&lt;0, 0, PCS!F266/Aide!C260)</f>
        <v>2.978114053608556</v>
      </c>
      <c r="F260" s="398">
        <f>Effort!G260</f>
        <v>0</v>
      </c>
      <c r="G260" s="285">
        <f t="shared" si="10"/>
        <v>40.640856095620641</v>
      </c>
      <c r="H260" s="161">
        <f t="shared" si="11"/>
        <v>0</v>
      </c>
      <c r="I260" s="42">
        <f t="shared" si="12"/>
        <v>0</v>
      </c>
      <c r="J260" s="29"/>
    </row>
    <row r="261" spans="1:10" x14ac:dyDescent="0.25">
      <c r="A261" s="38">
        <f>Données!A261</f>
        <v>5861</v>
      </c>
      <c r="B261" s="130" t="str">
        <f>Données!B261</f>
        <v>Rolle</v>
      </c>
      <c r="C261" s="272">
        <f>VPI!R261</f>
        <v>796252.79529411776</v>
      </c>
      <c r="D261" s="150">
        <f>Effort!I261-IF(PCS!I267&lt;0, Effort!D261, 0)</f>
        <v>43.240916244797063</v>
      </c>
      <c r="E261" s="398">
        <f>IF(PCS!I267&lt;0, 0, PCS!F267/Aide!C261)</f>
        <v>1.2869217364838177</v>
      </c>
      <c r="F261" s="398">
        <f>Effort!G261</f>
        <v>0</v>
      </c>
      <c r="G261" s="285">
        <f t="shared" si="10"/>
        <v>44.527837981280882</v>
      </c>
      <c r="H261" s="161">
        <f t="shared" si="11"/>
        <v>0</v>
      </c>
      <c r="I261" s="42">
        <f t="shared" si="12"/>
        <v>0</v>
      </c>
      <c r="J261" s="29"/>
    </row>
    <row r="262" spans="1:10" x14ac:dyDescent="0.25">
      <c r="A262" s="38">
        <f>Données!A262</f>
        <v>5862</v>
      </c>
      <c r="B262" s="130" t="str">
        <f>Données!B262</f>
        <v>Tartegnin</v>
      </c>
      <c r="C262" s="272">
        <f>VPI!R262</f>
        <v>10371.38594936709</v>
      </c>
      <c r="D262" s="150">
        <f>Effort!I262-IF(PCS!I268&lt;0, Effort!D262, 0)</f>
        <v>25.212557393118473</v>
      </c>
      <c r="E262" s="398">
        <f>IF(PCS!I268&lt;0, 0, PCS!F268/Aide!C262)</f>
        <v>7.9776377432997885</v>
      </c>
      <c r="F262" s="398">
        <f>Effort!G262</f>
        <v>0</v>
      </c>
      <c r="G262" s="285">
        <f t="shared" si="10"/>
        <v>33.190195136418261</v>
      </c>
      <c r="H262" s="161">
        <f t="shared" si="11"/>
        <v>0</v>
      </c>
      <c r="I262" s="42">
        <f t="shared" si="12"/>
        <v>0</v>
      </c>
      <c r="J262" s="29"/>
    </row>
    <row r="263" spans="1:10" x14ac:dyDescent="0.25">
      <c r="A263" s="38">
        <f>Données!A263</f>
        <v>5863</v>
      </c>
      <c r="B263" s="130" t="str">
        <f>Données!B263</f>
        <v>Vinzel</v>
      </c>
      <c r="C263" s="272">
        <f>VPI!R263</f>
        <v>23660.86104477612</v>
      </c>
      <c r="D263" s="150">
        <f>Effort!I263-IF(PCS!I269&lt;0, Effort!D263, 0)</f>
        <v>33.696717712330866</v>
      </c>
      <c r="E263" s="398">
        <f>IF(PCS!I269&lt;0, 0, PCS!F269/Aide!C263)</f>
        <v>3.5991073967615095</v>
      </c>
      <c r="F263" s="398">
        <f>Effort!G263</f>
        <v>0</v>
      </c>
      <c r="G263" s="285">
        <f t="shared" ref="G263:G305" si="13">D263+E263-F263</f>
        <v>37.295825109092377</v>
      </c>
      <c r="H263" s="161">
        <f t="shared" ref="H263:H305" si="14">IF(G263&lt;H$5,G263-H$5,0)</f>
        <v>0</v>
      </c>
      <c r="I263" s="42">
        <f t="shared" ref="I263:I305" si="15">-H263*C263</f>
        <v>0</v>
      </c>
      <c r="J263" s="29"/>
    </row>
    <row r="264" spans="1:10" x14ac:dyDescent="0.25">
      <c r="A264" s="38">
        <f>Données!A264</f>
        <v>5871</v>
      </c>
      <c r="B264" s="130" t="str">
        <f>Données!B264</f>
        <v>L'Abbaye</v>
      </c>
      <c r="C264" s="272">
        <f>VPI!R264</f>
        <v>50235.576326002578</v>
      </c>
      <c r="D264" s="150">
        <f>Effort!I264-IF(PCS!I270&lt;0, Effort!D264, 0)</f>
        <v>6.0688291948524018</v>
      </c>
      <c r="E264" s="398">
        <f>IF(PCS!I270&lt;0, 0, PCS!F270/Aide!C264)</f>
        <v>7.8831546080027284</v>
      </c>
      <c r="F264" s="398">
        <f>Effort!G264</f>
        <v>-8.4815113205804877</v>
      </c>
      <c r="G264" s="285">
        <f t="shared" si="13"/>
        <v>22.43349512343562</v>
      </c>
      <c r="H264" s="161">
        <f t="shared" si="14"/>
        <v>0</v>
      </c>
      <c r="I264" s="42">
        <f t="shared" si="15"/>
        <v>0</v>
      </c>
      <c r="J264" s="29"/>
    </row>
    <row r="265" spans="1:10" x14ac:dyDescent="0.25">
      <c r="A265" s="38">
        <f>Données!A265</f>
        <v>5872</v>
      </c>
      <c r="B265" s="130" t="str">
        <f>Données!B265</f>
        <v>Le Chenit</v>
      </c>
      <c r="C265" s="272">
        <f>VPI!R265</f>
        <v>316919.42630555143</v>
      </c>
      <c r="D265" s="150">
        <f>Effort!I265-IF(PCS!I271&lt;0, Effort!D265, 0)</f>
        <v>28.088130815942439</v>
      </c>
      <c r="E265" s="398">
        <f>IF(PCS!I271&lt;0, 0, PCS!F271/Aide!C265)</f>
        <v>8.6871460897623543</v>
      </c>
      <c r="F265" s="398">
        <f>Effort!G265</f>
        <v>-3.7477420519139537</v>
      </c>
      <c r="G265" s="285">
        <f t="shared" si="13"/>
        <v>40.523018957618746</v>
      </c>
      <c r="H265" s="161">
        <f t="shared" si="14"/>
        <v>0</v>
      </c>
      <c r="I265" s="42">
        <f t="shared" si="15"/>
        <v>0</v>
      </c>
      <c r="J265" s="29"/>
    </row>
    <row r="266" spans="1:10" x14ac:dyDescent="0.25">
      <c r="A266" s="38">
        <f>Données!A266</f>
        <v>5873</v>
      </c>
      <c r="B266" s="130" t="str">
        <f>Données!B266</f>
        <v>Le Lieu</v>
      </c>
      <c r="C266" s="272">
        <f>VPI!R266</f>
        <v>35203.466500000002</v>
      </c>
      <c r="D266" s="150">
        <f>Effort!I266-IF(PCS!I272&lt;0, Effort!D266, 0)</f>
        <v>6.0930406570306559</v>
      </c>
      <c r="E266" s="398">
        <f>IF(PCS!I272&lt;0, 0, PCS!F272/Aide!C266)</f>
        <v>11.011081820592866</v>
      </c>
      <c r="F266" s="398">
        <f>Effort!G266</f>
        <v>-18.685010557306892</v>
      </c>
      <c r="G266" s="285">
        <f t="shared" si="13"/>
        <v>35.789133034930416</v>
      </c>
      <c r="H266" s="161">
        <f t="shared" si="14"/>
        <v>0</v>
      </c>
      <c r="I266" s="42">
        <f t="shared" si="15"/>
        <v>0</v>
      </c>
      <c r="J266" s="29"/>
    </row>
    <row r="267" spans="1:10" x14ac:dyDescent="0.25">
      <c r="A267" s="38">
        <f>Données!A267</f>
        <v>5882</v>
      </c>
      <c r="B267" s="130" t="str">
        <f>Données!B267</f>
        <v>Chardonne</v>
      </c>
      <c r="C267" s="272">
        <f>VPI!R267</f>
        <v>201755.16911764705</v>
      </c>
      <c r="D267" s="150">
        <f>Effort!I267-IF(PCS!I273&lt;0, Effort!D267, 0)</f>
        <v>29.884075862459547</v>
      </c>
      <c r="E267" s="398">
        <f>IF(PCS!I273&lt;0, 0, PCS!F273/Aide!C267)</f>
        <v>7.7698389184066023</v>
      </c>
      <c r="F267" s="398">
        <f>Effort!G267</f>
        <v>-1.33432365827247</v>
      </c>
      <c r="G267" s="285">
        <f t="shared" si="13"/>
        <v>38.988238439138613</v>
      </c>
      <c r="H267" s="161">
        <f t="shared" si="14"/>
        <v>0</v>
      </c>
      <c r="I267" s="42">
        <f t="shared" si="15"/>
        <v>0</v>
      </c>
      <c r="J267" s="29"/>
    </row>
    <row r="268" spans="1:10" x14ac:dyDescent="0.25">
      <c r="A268" s="38">
        <f>Données!A268</f>
        <v>5883</v>
      </c>
      <c r="B268" s="130" t="str">
        <f>Données!B268</f>
        <v>Corseaux</v>
      </c>
      <c r="C268" s="272">
        <f>VPI!R268</f>
        <v>180895.17037037041</v>
      </c>
      <c r="D268" s="150">
        <f>Effort!I268-IF(PCS!I274&lt;0, Effort!D268, 0)</f>
        <v>36.339560609284149</v>
      </c>
      <c r="E268" s="398">
        <f>IF(PCS!I274&lt;0, 0, PCS!F274/Aide!C268)</f>
        <v>4.1422256794686234</v>
      </c>
      <c r="F268" s="398">
        <f>Effort!G268</f>
        <v>0</v>
      </c>
      <c r="G268" s="285">
        <f t="shared" si="13"/>
        <v>40.481786288752772</v>
      </c>
      <c r="H268" s="161">
        <f t="shared" si="14"/>
        <v>0</v>
      </c>
      <c r="I268" s="42">
        <f t="shared" si="15"/>
        <v>0</v>
      </c>
      <c r="J268" s="29"/>
    </row>
    <row r="269" spans="1:10" x14ac:dyDescent="0.25">
      <c r="A269" s="38">
        <f>Données!A269</f>
        <v>5884</v>
      </c>
      <c r="B269" s="130" t="str">
        <f>Données!B269</f>
        <v>Corsier-sur-Vevey</v>
      </c>
      <c r="C269" s="272">
        <f>VPI!R269</f>
        <v>128040.06408268733</v>
      </c>
      <c r="D269" s="150">
        <f>Effort!I269-IF(PCS!I275&lt;0, Effort!D269, 0)</f>
        <v>8.5681656588257376</v>
      </c>
      <c r="E269" s="398">
        <f>IF(PCS!I275&lt;0, 0, PCS!F275/Aide!C269)</f>
        <v>5.3636901458944184</v>
      </c>
      <c r="F269" s="398">
        <f>Effort!G269</f>
        <v>-10.966499505326233</v>
      </c>
      <c r="G269" s="285">
        <f t="shared" si="13"/>
        <v>24.898355310046391</v>
      </c>
      <c r="H269" s="161">
        <f t="shared" si="14"/>
        <v>0</v>
      </c>
      <c r="I269" s="42">
        <f t="shared" si="15"/>
        <v>0</v>
      </c>
      <c r="J269" s="29"/>
    </row>
    <row r="270" spans="1:10" x14ac:dyDescent="0.25">
      <c r="A270" s="38">
        <f>Données!A270</f>
        <v>5885</v>
      </c>
      <c r="B270" s="130" t="str">
        <f>Données!B270</f>
        <v>Jongny</v>
      </c>
      <c r="C270" s="272">
        <f>VPI!R270</f>
        <v>104088.6996882494</v>
      </c>
      <c r="D270" s="150">
        <f>Effort!I270-IF(PCS!I276&lt;0, Effort!D270, 0)</f>
        <v>29.39665510946158</v>
      </c>
      <c r="E270" s="398">
        <f>IF(PCS!I276&lt;0, 0, PCS!F276/Aide!C270)</f>
        <v>2.8467882285732067</v>
      </c>
      <c r="F270" s="398">
        <f>Effort!G270</f>
        <v>-0.58967633577422851</v>
      </c>
      <c r="G270" s="285">
        <f t="shared" si="13"/>
        <v>32.833119673809016</v>
      </c>
      <c r="H270" s="161">
        <f t="shared" si="14"/>
        <v>0</v>
      </c>
      <c r="I270" s="42">
        <f t="shared" si="15"/>
        <v>0</v>
      </c>
      <c r="J270" s="29"/>
    </row>
    <row r="271" spans="1:10" x14ac:dyDescent="0.25">
      <c r="A271" s="38">
        <f>Données!A271</f>
        <v>5886</v>
      </c>
      <c r="B271" s="130" t="str">
        <f>Données!B271</f>
        <v>Montreux</v>
      </c>
      <c r="C271" s="272">
        <f>VPI!R271</f>
        <v>1153058.3310769231</v>
      </c>
      <c r="D271" s="150">
        <f>Effort!I271-IF(PCS!I277&lt;0, Effort!D271, 0)</f>
        <v>5.5318446554073795</v>
      </c>
      <c r="E271" s="398">
        <f>IF(PCS!I277&lt;0, 0, PCS!F277/Aide!C271)</f>
        <v>10.105744636628133</v>
      </c>
      <c r="F271" s="398">
        <f>Effort!G271</f>
        <v>-5.6765969805134926</v>
      </c>
      <c r="G271" s="285">
        <f t="shared" si="13"/>
        <v>21.314186272549005</v>
      </c>
      <c r="H271" s="161">
        <f t="shared" si="14"/>
        <v>0</v>
      </c>
      <c r="I271" s="42">
        <f t="shared" si="15"/>
        <v>0</v>
      </c>
      <c r="J271" s="29"/>
    </row>
    <row r="272" spans="1:10" x14ac:dyDescent="0.25">
      <c r="A272" s="38">
        <f>Données!A272</f>
        <v>5889</v>
      </c>
      <c r="B272" s="130" t="str">
        <f>Données!B272</f>
        <v>La Tour-de-Peilz</v>
      </c>
      <c r="C272" s="272">
        <f>VPI!R272</f>
        <v>709087.81846354157</v>
      </c>
      <c r="D272" s="150">
        <f>Effort!I272-IF(PCS!I278&lt;0, Effort!D272, 0)</f>
        <v>22.490160989608174</v>
      </c>
      <c r="E272" s="398">
        <f>IF(PCS!I278&lt;0, 0, PCS!F278/Aide!C272)</f>
        <v>3.2184683273011836</v>
      </c>
      <c r="F272" s="398">
        <f>Effort!G272</f>
        <v>-1.0705190398588418</v>
      </c>
      <c r="G272" s="285">
        <f t="shared" si="13"/>
        <v>26.7791483567682</v>
      </c>
      <c r="H272" s="161">
        <f t="shared" si="14"/>
        <v>0</v>
      </c>
      <c r="I272" s="42">
        <f t="shared" si="15"/>
        <v>0</v>
      </c>
      <c r="J272" s="29"/>
    </row>
    <row r="273" spans="1:10" x14ac:dyDescent="0.25">
      <c r="A273" s="38">
        <f>Données!A273</f>
        <v>5890</v>
      </c>
      <c r="B273" s="130" t="str">
        <f>Données!B273</f>
        <v>Vevey</v>
      </c>
      <c r="C273" s="272">
        <f>VPI!R273</f>
        <v>944872.98138702475</v>
      </c>
      <c r="D273" s="150">
        <f>Effort!I273-IF(PCS!I279&lt;0, Effort!D273, 0)</f>
        <v>11.821916919211487</v>
      </c>
      <c r="E273" s="398">
        <f>IF(PCS!I279&lt;0, 0, PCS!F279/Aide!C273)</f>
        <v>3.7129062838161664</v>
      </c>
      <c r="F273" s="398">
        <f>Effort!G273</f>
        <v>-3.870885988051556</v>
      </c>
      <c r="G273" s="285">
        <f t="shared" si="13"/>
        <v>19.405709191079207</v>
      </c>
      <c r="H273" s="161">
        <f t="shared" si="14"/>
        <v>0</v>
      </c>
      <c r="I273" s="42">
        <f t="shared" si="15"/>
        <v>0</v>
      </c>
      <c r="J273" s="29"/>
    </row>
    <row r="274" spans="1:10" x14ac:dyDescent="0.25">
      <c r="A274" s="38">
        <f>Données!A274</f>
        <v>5891</v>
      </c>
      <c r="B274" s="130" t="str">
        <f>Données!B274</f>
        <v>Veytaux</v>
      </c>
      <c r="C274" s="272">
        <f>VPI!R274</f>
        <v>41112.713045563549</v>
      </c>
      <c r="D274" s="150">
        <f>Effort!I274-IF(PCS!I280&lt;0, Effort!D274, 0)</f>
        <v>9.5755130346007391</v>
      </c>
      <c r="E274" s="398">
        <f>IF(PCS!I280&lt;0, 0, PCS!F280/Aide!C274)</f>
        <v>7.2493008347490013</v>
      </c>
      <c r="F274" s="398">
        <f>Effort!G274</f>
        <v>-16.919801046820929</v>
      </c>
      <c r="G274" s="285">
        <f t="shared" si="13"/>
        <v>33.744614916170669</v>
      </c>
      <c r="H274" s="161">
        <f t="shared" si="14"/>
        <v>0</v>
      </c>
      <c r="I274" s="42">
        <f t="shared" si="15"/>
        <v>0</v>
      </c>
      <c r="J274" s="29"/>
    </row>
    <row r="275" spans="1:10" x14ac:dyDescent="0.25">
      <c r="A275" s="38">
        <f>Données!A275</f>
        <v>5892</v>
      </c>
      <c r="B275" s="130" t="str">
        <f>Données!B275</f>
        <v>Blonay-St-Légier</v>
      </c>
      <c r="C275" s="272">
        <f>VPI!R275</f>
        <v>749721.2351824817</v>
      </c>
      <c r="D275" s="150">
        <f>Effort!I275-IF(PCS!I281&lt;0, Effort!D275, 0)</f>
        <v>23.296383970997397</v>
      </c>
      <c r="E275" s="398">
        <f>IF(PCS!I281&lt;0, 0, PCS!F281/Aide!C275)</f>
        <v>4.5621736380022462</v>
      </c>
      <c r="F275" s="398">
        <f>Effort!G275</f>
        <v>-2.7200446970013101</v>
      </c>
      <c r="G275" s="285">
        <f t="shared" si="13"/>
        <v>30.578602306000953</v>
      </c>
      <c r="H275" s="161">
        <f t="shared" si="14"/>
        <v>0</v>
      </c>
      <c r="I275" s="42">
        <f t="shared" si="15"/>
        <v>0</v>
      </c>
      <c r="J275" s="29"/>
    </row>
    <row r="276" spans="1:10" x14ac:dyDescent="0.25">
      <c r="A276" s="38">
        <f>Données!A276</f>
        <v>5902</v>
      </c>
      <c r="B276" s="130" t="str">
        <f>Données!B276</f>
        <v>Belmont-sur-Yverdon</v>
      </c>
      <c r="C276" s="272">
        <f>VPI!R276</f>
        <v>11917.701714285715</v>
      </c>
      <c r="D276" s="150">
        <f>Effort!I276-IF(PCS!I282&lt;0, Effort!D276, 0)</f>
        <v>12.238536536583426</v>
      </c>
      <c r="E276" s="398">
        <f>IF(PCS!I282&lt;0, 0, PCS!F282/Aide!C276)</f>
        <v>3.4466083297556223</v>
      </c>
      <c r="F276" s="398">
        <f>Effort!G276</f>
        <v>-0.52878267163559045</v>
      </c>
      <c r="G276" s="285">
        <f t="shared" si="13"/>
        <v>16.213927537974637</v>
      </c>
      <c r="H276" s="161">
        <f t="shared" si="14"/>
        <v>0</v>
      </c>
      <c r="I276" s="42">
        <f t="shared" si="15"/>
        <v>0</v>
      </c>
      <c r="J276" s="29"/>
    </row>
    <row r="277" spans="1:10" x14ac:dyDescent="0.25">
      <c r="A277" s="38">
        <f>Données!A277</f>
        <v>5903</v>
      </c>
      <c r="B277" s="130" t="str">
        <f>Données!B277</f>
        <v>Bioley-Magnoux</v>
      </c>
      <c r="C277" s="272">
        <f>VPI!R277</f>
        <v>6275.3681349206354</v>
      </c>
      <c r="D277" s="150">
        <f>Effort!I277-IF(PCS!I283&lt;0, Effort!D277, 0)</f>
        <v>-14.067749242838534</v>
      </c>
      <c r="E277" s="398">
        <f>IF(PCS!I283&lt;0, 0, PCS!F283/Aide!C277)</f>
        <v>3.1495626352205974</v>
      </c>
      <c r="F277" s="398">
        <f>Effort!G277</f>
        <v>-22.688162893386298</v>
      </c>
      <c r="G277" s="285">
        <f t="shared" si="13"/>
        <v>11.769976285768362</v>
      </c>
      <c r="H277" s="161">
        <f t="shared" si="14"/>
        <v>0</v>
      </c>
      <c r="I277" s="42">
        <f t="shared" si="15"/>
        <v>0</v>
      </c>
      <c r="J277" s="29"/>
    </row>
    <row r="278" spans="1:10" x14ac:dyDescent="0.25">
      <c r="A278" s="38">
        <f>Données!A278</f>
        <v>5904</v>
      </c>
      <c r="B278" s="130" t="str">
        <f>Données!B278</f>
        <v>Chamblon</v>
      </c>
      <c r="C278" s="272">
        <f>VPI!R278</f>
        <v>18889.911515151514</v>
      </c>
      <c r="D278" s="150">
        <f>Effort!I278-IF(PCS!I284&lt;0, Effort!D278, 0)</f>
        <v>20.552182831860648</v>
      </c>
      <c r="E278" s="398">
        <f>IF(PCS!I284&lt;0, 0, PCS!F284/Aide!C278)</f>
        <v>3.7374478934627091</v>
      </c>
      <c r="F278" s="398">
        <f>Effort!G278</f>
        <v>0</v>
      </c>
      <c r="G278" s="285">
        <f t="shared" si="13"/>
        <v>24.289630725323356</v>
      </c>
      <c r="H278" s="161">
        <f t="shared" si="14"/>
        <v>0</v>
      </c>
      <c r="I278" s="42">
        <f t="shared" si="15"/>
        <v>0</v>
      </c>
      <c r="J278" s="29"/>
    </row>
    <row r="279" spans="1:10" s="158" customFormat="1" x14ac:dyDescent="0.25">
      <c r="A279" s="38">
        <f>Données!A279</f>
        <v>5905</v>
      </c>
      <c r="B279" s="130" t="str">
        <f>Données!B279</f>
        <v>Champvent</v>
      </c>
      <c r="C279" s="272">
        <f>VPI!R279</f>
        <v>21532.633285714288</v>
      </c>
      <c r="D279" s="150">
        <f>Effort!I279-IF(PCS!I285&lt;0, Effort!D279, 0)</f>
        <v>11.446110448068778</v>
      </c>
      <c r="E279" s="398">
        <f>IF(PCS!I285&lt;0, 0, PCS!F285/Aide!C279)</f>
        <v>4.7945401581929792</v>
      </c>
      <c r="F279" s="398">
        <f>Effort!G279</f>
        <v>-3.8076379942968668</v>
      </c>
      <c r="G279" s="285">
        <f t="shared" si="13"/>
        <v>20.048288600558621</v>
      </c>
      <c r="H279" s="161">
        <f t="shared" si="14"/>
        <v>0</v>
      </c>
      <c r="I279" s="42">
        <f t="shared" si="15"/>
        <v>0</v>
      </c>
      <c r="J279" s="164"/>
    </row>
    <row r="280" spans="1:10" s="158" customFormat="1" x14ac:dyDescent="0.25">
      <c r="A280" s="38">
        <f>Données!A280</f>
        <v>5907</v>
      </c>
      <c r="B280" s="130" t="str">
        <f>Données!B280</f>
        <v>Chavannes-le-Chêne</v>
      </c>
      <c r="C280" s="272">
        <f>VPI!R280</f>
        <v>8453.4518666666645</v>
      </c>
      <c r="D280" s="150">
        <f>Effort!I280-IF(PCS!I286&lt;0, Effort!D280, 0)</f>
        <v>4.0457989982812208</v>
      </c>
      <c r="E280" s="398">
        <f>IF(PCS!I286&lt;0, 0, PCS!F286/Aide!C280)</f>
        <v>4.0570178361379137</v>
      </c>
      <c r="F280" s="398">
        <f>Effort!G280</f>
        <v>-5.4036698997841919</v>
      </c>
      <c r="G280" s="285">
        <f t="shared" si="13"/>
        <v>13.506486734203325</v>
      </c>
      <c r="H280" s="161">
        <f t="shared" si="14"/>
        <v>0</v>
      </c>
      <c r="I280" s="42">
        <f t="shared" si="15"/>
        <v>0</v>
      </c>
      <c r="J280" s="164"/>
    </row>
    <row r="281" spans="1:10" s="158" customFormat="1" x14ac:dyDescent="0.25">
      <c r="A281" s="38">
        <f>Données!A281</f>
        <v>5908</v>
      </c>
      <c r="B281" s="130" t="str">
        <f>Données!B281</f>
        <v>Chêne-Pâquier</v>
      </c>
      <c r="C281" s="272">
        <f>VPI!R281</f>
        <v>4917.7774666666683</v>
      </c>
      <c r="D281" s="150">
        <f>Effort!I281-IF(PCS!I287&lt;0, Effort!D281, 0)</f>
        <v>6.5707515196580886</v>
      </c>
      <c r="E281" s="398">
        <f>IF(PCS!I287&lt;0, 0, PCS!F287/Aide!C281)</f>
        <v>2.4754271787436979</v>
      </c>
      <c r="F281" s="398">
        <f>Effort!G281</f>
        <v>-7.9889590189833095</v>
      </c>
      <c r="G281" s="285">
        <f t="shared" si="13"/>
        <v>17.035137717385094</v>
      </c>
      <c r="H281" s="161">
        <f t="shared" si="14"/>
        <v>0</v>
      </c>
      <c r="I281" s="42">
        <f t="shared" si="15"/>
        <v>0</v>
      </c>
      <c r="J281" s="164"/>
    </row>
    <row r="282" spans="1:10" s="158" customFormat="1" x14ac:dyDescent="0.25">
      <c r="A282" s="38">
        <f>Données!A282</f>
        <v>5909</v>
      </c>
      <c r="B282" s="130" t="str">
        <f>Données!B282</f>
        <v>Cheseaux-Noréaz</v>
      </c>
      <c r="C282" s="272">
        <f>VPI!R282</f>
        <v>34184.486119402987</v>
      </c>
      <c r="D282" s="150">
        <f>Effort!I282-IF(PCS!I288&lt;0, Effort!D282, 0)</f>
        <v>27.275994088549282</v>
      </c>
      <c r="E282" s="398">
        <f>IF(PCS!I288&lt;0, 0, PCS!F288/Aide!C282)</f>
        <v>3.1363175864488442</v>
      </c>
      <c r="F282" s="398">
        <f>Effort!G282</f>
        <v>-1.4958371287442007</v>
      </c>
      <c r="G282" s="285">
        <f t="shared" si="13"/>
        <v>31.908148803742325</v>
      </c>
      <c r="H282" s="161">
        <f t="shared" si="14"/>
        <v>0</v>
      </c>
      <c r="I282" s="42">
        <f t="shared" si="15"/>
        <v>0</v>
      </c>
      <c r="J282" s="164"/>
    </row>
    <row r="283" spans="1:10" s="158" customFormat="1" x14ac:dyDescent="0.25">
      <c r="A283" s="38">
        <f>Données!A283</f>
        <v>5910</v>
      </c>
      <c r="B283" s="130" t="str">
        <f>Données!B283</f>
        <v>Cronay</v>
      </c>
      <c r="C283" s="272">
        <f>VPI!R283</f>
        <v>10619.844545454544</v>
      </c>
      <c r="D283" s="150">
        <f>Effort!I283-IF(PCS!I289&lt;0, Effort!D283, 0)</f>
        <v>1.7580889287339119</v>
      </c>
      <c r="E283" s="398">
        <f>IF(PCS!I289&lt;0, 0, PCS!F289/Aide!C283)</f>
        <v>6.7760930672756814</v>
      </c>
      <c r="F283" s="398">
        <f>Effort!G283</f>
        <v>-5.1821644276269394</v>
      </c>
      <c r="G283" s="285">
        <f t="shared" si="13"/>
        <v>13.716346423636534</v>
      </c>
      <c r="H283" s="161">
        <f t="shared" si="14"/>
        <v>0</v>
      </c>
      <c r="I283" s="42">
        <f t="shared" si="15"/>
        <v>0</v>
      </c>
      <c r="J283" s="164"/>
    </row>
    <row r="284" spans="1:10" s="158" customFormat="1" x14ac:dyDescent="0.25">
      <c r="A284" s="38">
        <f>Données!A284</f>
        <v>5911</v>
      </c>
      <c r="B284" s="130" t="str">
        <f>Données!B284</f>
        <v>Cuarny</v>
      </c>
      <c r="C284" s="272">
        <f>VPI!R284</f>
        <v>7630.6846753246737</v>
      </c>
      <c r="D284" s="150">
        <f>Effort!I284-IF(PCS!I290&lt;0, Effort!D284, 0)</f>
        <v>15.578876813317716</v>
      </c>
      <c r="E284" s="398">
        <f>IF(PCS!I290&lt;0, 0, PCS!F290/Aide!C284)</f>
        <v>2.0089285106447874</v>
      </c>
      <c r="F284" s="398">
        <f>Effort!G284</f>
        <v>-1.0713942573697726</v>
      </c>
      <c r="G284" s="285">
        <f t="shared" si="13"/>
        <v>18.659199581332274</v>
      </c>
      <c r="H284" s="161">
        <f t="shared" si="14"/>
        <v>0</v>
      </c>
      <c r="I284" s="42">
        <f t="shared" si="15"/>
        <v>0</v>
      </c>
      <c r="J284" s="164"/>
    </row>
    <row r="285" spans="1:10" s="158" customFormat="1" x14ac:dyDescent="0.25">
      <c r="A285" s="38">
        <f>Données!A285</f>
        <v>5912</v>
      </c>
      <c r="B285" s="130" t="str">
        <f>Données!B285</f>
        <v>Démoret</v>
      </c>
      <c r="C285" s="272">
        <f>VPI!R285</f>
        <v>3035.5676923076921</v>
      </c>
      <c r="D285" s="150">
        <f>Effort!I285-IF(PCS!I291&lt;0, Effort!D285, 0)</f>
        <v>-19.781197783917921</v>
      </c>
      <c r="E285" s="398">
        <f>IF(PCS!I291&lt;0, 0, PCS!F291/Aide!C285)</f>
        <v>6.8332358565296873</v>
      </c>
      <c r="F285" s="398">
        <f>Effort!G285</f>
        <v>-4.9634271262242464</v>
      </c>
      <c r="G285" s="285">
        <f t="shared" si="13"/>
        <v>-7.9845348011639885</v>
      </c>
      <c r="H285" s="161">
        <f t="shared" si="14"/>
        <v>0</v>
      </c>
      <c r="I285" s="42">
        <f t="shared" si="15"/>
        <v>0</v>
      </c>
      <c r="J285" s="164"/>
    </row>
    <row r="286" spans="1:10" s="158" customFormat="1" x14ac:dyDescent="0.25">
      <c r="A286" s="38">
        <f>Données!A286</f>
        <v>5913</v>
      </c>
      <c r="B286" s="130" t="str">
        <f>Données!B286</f>
        <v>Donneloye</v>
      </c>
      <c r="C286" s="272">
        <f>VPI!R286</f>
        <v>21868.154383561647</v>
      </c>
      <c r="D286" s="150">
        <f>Effort!I286-IF(PCS!I292&lt;0, Effort!D286, 0)</f>
        <v>1.5184503869941608</v>
      </c>
      <c r="E286" s="398">
        <f>IF(PCS!I292&lt;0, 0, PCS!F292/Aide!C286)</f>
        <v>4.2158098202059966</v>
      </c>
      <c r="F286" s="398">
        <f>Effort!G286</f>
        <v>-4.2622772660408819</v>
      </c>
      <c r="G286" s="285">
        <f t="shared" si="13"/>
        <v>9.9965374732410393</v>
      </c>
      <c r="H286" s="161">
        <f t="shared" si="14"/>
        <v>0</v>
      </c>
      <c r="I286" s="42">
        <f t="shared" si="15"/>
        <v>0</v>
      </c>
      <c r="J286" s="164"/>
    </row>
    <row r="287" spans="1:10" x14ac:dyDescent="0.25">
      <c r="A287" s="38">
        <f>Données!A287</f>
        <v>5914</v>
      </c>
      <c r="B287" s="130" t="str">
        <f>Données!B287</f>
        <v>Ependes</v>
      </c>
      <c r="C287" s="272">
        <f>VPI!R287</f>
        <v>9825.9911564625836</v>
      </c>
      <c r="D287" s="150">
        <f>Effort!I287-IF(PCS!I293&lt;0, Effort!D287, 0)</f>
        <v>2.167274101343228</v>
      </c>
      <c r="E287" s="398">
        <f>IF(PCS!I293&lt;0, 0, PCS!F293/Aide!C287)</f>
        <v>2.0010525846105645</v>
      </c>
      <c r="F287" s="398">
        <f>Effort!G287</f>
        <v>-7.429260052725235</v>
      </c>
      <c r="G287" s="285">
        <f t="shared" si="13"/>
        <v>11.597586738679027</v>
      </c>
      <c r="H287" s="161">
        <f t="shared" si="14"/>
        <v>0</v>
      </c>
      <c r="I287" s="42">
        <f t="shared" si="15"/>
        <v>0</v>
      </c>
      <c r="J287" s="29"/>
    </row>
    <row r="288" spans="1:10" x14ac:dyDescent="0.25">
      <c r="A288" s="38">
        <f>Données!A288</f>
        <v>5919</v>
      </c>
      <c r="B288" s="130" t="str">
        <f>Données!B288</f>
        <v>Mathod</v>
      </c>
      <c r="C288" s="272">
        <f>VPI!R288</f>
        <v>20853.913634259261</v>
      </c>
      <c r="D288" s="150">
        <f>Effort!I288-IF(PCS!I294&lt;0, Effort!D288, 0)</f>
        <v>11.276062023873141</v>
      </c>
      <c r="E288" s="398">
        <f>IF(PCS!I294&lt;0, 0, PCS!F294/Aide!C288)</f>
        <v>7.0862660405972786</v>
      </c>
      <c r="F288" s="398">
        <f>Effort!G288</f>
        <v>-4.7057428656962221</v>
      </c>
      <c r="G288" s="285">
        <f t="shared" si="13"/>
        <v>23.068070930166641</v>
      </c>
      <c r="H288" s="161">
        <f t="shared" si="14"/>
        <v>0</v>
      </c>
      <c r="I288" s="42">
        <f t="shared" si="15"/>
        <v>0</v>
      </c>
      <c r="J288" s="29"/>
    </row>
    <row r="289" spans="1:10" x14ac:dyDescent="0.25">
      <c r="A289" s="38">
        <f>Données!A289</f>
        <v>5921</v>
      </c>
      <c r="B289" s="130" t="str">
        <f>Données!B289</f>
        <v>Molondin</v>
      </c>
      <c r="C289" s="272">
        <f>VPI!R289</f>
        <v>5090.9581481481491</v>
      </c>
      <c r="D289" s="150">
        <f>Effort!I289-IF(PCS!I295&lt;0, Effort!D289, 0)</f>
        <v>-13.49834588935472</v>
      </c>
      <c r="E289" s="398">
        <f>IF(PCS!I295&lt;0, 0, PCS!F295/Aide!C289)</f>
        <v>3.1137773163125004</v>
      </c>
      <c r="F289" s="398">
        <f>Effort!G289</f>
        <v>-1.8467502960782118</v>
      </c>
      <c r="G289" s="285">
        <f t="shared" si="13"/>
        <v>-8.537818276964007</v>
      </c>
      <c r="H289" s="161">
        <f t="shared" si="14"/>
        <v>0</v>
      </c>
      <c r="I289" s="42">
        <f t="shared" si="15"/>
        <v>0</v>
      </c>
      <c r="J289" s="29"/>
    </row>
    <row r="290" spans="1:10" x14ac:dyDescent="0.25">
      <c r="A290" s="38">
        <f>Données!A290</f>
        <v>5922</v>
      </c>
      <c r="B290" s="130" t="str">
        <f>Données!B290</f>
        <v>Montagny-près-Yverdon</v>
      </c>
      <c r="C290" s="272">
        <f>VPI!R290</f>
        <v>39793.407325581393</v>
      </c>
      <c r="D290" s="150">
        <f>Effort!I290-IF(PCS!I296&lt;0, Effort!D290, 0)</f>
        <v>26.492005938318744</v>
      </c>
      <c r="E290" s="398">
        <f>IF(PCS!I296&lt;0, 0, PCS!F296/Aide!C290)</f>
        <v>3.9447980343991946</v>
      </c>
      <c r="F290" s="398">
        <f>Effort!G290</f>
        <v>-4.0131717252781485</v>
      </c>
      <c r="G290" s="285">
        <f t="shared" si="13"/>
        <v>34.449975697996088</v>
      </c>
      <c r="H290" s="161">
        <f t="shared" si="14"/>
        <v>0</v>
      </c>
      <c r="I290" s="42">
        <f t="shared" si="15"/>
        <v>0</v>
      </c>
      <c r="J290" s="29"/>
    </row>
    <row r="291" spans="1:10" x14ac:dyDescent="0.25">
      <c r="A291" s="38">
        <f>Données!A291</f>
        <v>5923</v>
      </c>
      <c r="B291" s="130" t="str">
        <f>Données!B291</f>
        <v>Oppens</v>
      </c>
      <c r="C291" s="272">
        <f>VPI!R291</f>
        <v>4459.1672839506173</v>
      </c>
      <c r="D291" s="150">
        <f>Effort!I291-IF(PCS!I297&lt;0, Effort!D291, 0)</f>
        <v>-13.48372495192773</v>
      </c>
      <c r="E291" s="398">
        <f>IF(PCS!I297&lt;0, 0, PCS!F297/Aide!C291)</f>
        <v>2.8631264958261178</v>
      </c>
      <c r="F291" s="398">
        <f>Effort!G291</f>
        <v>-9.0101522475819475</v>
      </c>
      <c r="G291" s="285">
        <f t="shared" si="13"/>
        <v>-1.6104462085196651</v>
      </c>
      <c r="H291" s="161">
        <f t="shared" si="14"/>
        <v>0</v>
      </c>
      <c r="I291" s="42">
        <f t="shared" si="15"/>
        <v>0</v>
      </c>
      <c r="J291" s="29"/>
    </row>
    <row r="292" spans="1:10" x14ac:dyDescent="0.25">
      <c r="A292" s="38">
        <f>Données!A292</f>
        <v>5924</v>
      </c>
      <c r="B292" s="130" t="str">
        <f>Données!B292</f>
        <v>Orges</v>
      </c>
      <c r="C292" s="272">
        <f>VPI!R292</f>
        <v>11637.444864864863</v>
      </c>
      <c r="D292" s="150">
        <f>Effort!I292-IF(PCS!I298&lt;0, Effort!D292, 0)</f>
        <v>9.89193931339309</v>
      </c>
      <c r="E292" s="398">
        <f>IF(PCS!I298&lt;0, 0, PCS!F298/Aide!C292)</f>
        <v>2.6196845917648965</v>
      </c>
      <c r="F292" s="398">
        <f>Effort!G292</f>
        <v>-2.8638409193420342</v>
      </c>
      <c r="G292" s="285">
        <f t="shared" si="13"/>
        <v>15.375464824500021</v>
      </c>
      <c r="H292" s="161">
        <f t="shared" si="14"/>
        <v>0</v>
      </c>
      <c r="I292" s="42">
        <f t="shared" si="15"/>
        <v>0</v>
      </c>
      <c r="J292" s="29"/>
    </row>
    <row r="293" spans="1:10" x14ac:dyDescent="0.25">
      <c r="A293" s="38">
        <f>Données!A293</f>
        <v>5925</v>
      </c>
      <c r="B293" s="130" t="str">
        <f>Données!B293</f>
        <v>Orzens</v>
      </c>
      <c r="C293" s="272">
        <f>VPI!R293</f>
        <v>5255.7039240506319</v>
      </c>
      <c r="D293" s="150">
        <f>Effort!I293-IF(PCS!I299&lt;0, Effort!D293, 0)</f>
        <v>-6.2170189552168118</v>
      </c>
      <c r="E293" s="398">
        <f>IF(PCS!I299&lt;0, 0, PCS!F299/Aide!C293)</f>
        <v>3.696918677455701</v>
      </c>
      <c r="F293" s="398">
        <f>Effort!G293</f>
        <v>-9.8087747497546918</v>
      </c>
      <c r="G293" s="285">
        <f t="shared" si="13"/>
        <v>7.2886744719935805</v>
      </c>
      <c r="H293" s="161">
        <f t="shared" si="14"/>
        <v>0</v>
      </c>
      <c r="I293" s="42">
        <f t="shared" si="15"/>
        <v>0</v>
      </c>
      <c r="J293" s="29"/>
    </row>
    <row r="294" spans="1:10" x14ac:dyDescent="0.25">
      <c r="A294" s="38">
        <f>Données!A294</f>
        <v>5926</v>
      </c>
      <c r="B294" s="130" t="str">
        <f>Données!B294</f>
        <v>Pomy</v>
      </c>
      <c r="C294" s="272">
        <f>VPI!R294</f>
        <v>26782.091549295772</v>
      </c>
      <c r="D294" s="150">
        <f>Effort!I294-IF(PCS!I300&lt;0, Effort!D294, 0)</f>
        <v>14.737133723976662</v>
      </c>
      <c r="E294" s="398">
        <f>IF(PCS!I300&lt;0, 0, PCS!F300/Aide!C294)</f>
        <v>2.1416183980413654</v>
      </c>
      <c r="F294" s="398">
        <f>Effort!G294</f>
        <v>-1.9974822836405695</v>
      </c>
      <c r="G294" s="285">
        <f t="shared" si="13"/>
        <v>18.876234405658597</v>
      </c>
      <c r="H294" s="161">
        <f t="shared" si="14"/>
        <v>0</v>
      </c>
      <c r="I294" s="42">
        <f t="shared" si="15"/>
        <v>0</v>
      </c>
      <c r="J294" s="29"/>
    </row>
    <row r="295" spans="1:10" x14ac:dyDescent="0.25">
      <c r="A295" s="38">
        <f>Données!A295</f>
        <v>5928</v>
      </c>
      <c r="B295" s="130" t="str">
        <f>Données!B295</f>
        <v>Rovray</v>
      </c>
      <c r="C295" s="272">
        <f>VPI!R295</f>
        <v>5095.4959440559442</v>
      </c>
      <c r="D295" s="150">
        <f>Effort!I295-IF(PCS!I301&lt;0, Effort!D295, 0)</f>
        <v>8.5434540515229074</v>
      </c>
      <c r="E295" s="398">
        <f>IF(PCS!I301&lt;0, 0, PCS!F301/Aide!C295)</f>
        <v>2.3403021277861848E-2</v>
      </c>
      <c r="F295" s="398">
        <f>Effort!G295</f>
        <v>-1.1048420978100606</v>
      </c>
      <c r="G295" s="285">
        <f t="shared" si="13"/>
        <v>9.6716991706108288</v>
      </c>
      <c r="H295" s="161">
        <f t="shared" si="14"/>
        <v>0</v>
      </c>
      <c r="I295" s="42">
        <f t="shared" si="15"/>
        <v>0</v>
      </c>
      <c r="J295" s="29"/>
    </row>
    <row r="296" spans="1:10" x14ac:dyDescent="0.25">
      <c r="A296" s="38">
        <f>Données!A296</f>
        <v>5929</v>
      </c>
      <c r="B296" s="130" t="str">
        <f>Données!B296</f>
        <v>Suchy</v>
      </c>
      <c r="C296" s="272">
        <f>VPI!R296</f>
        <v>21602.649857142853</v>
      </c>
      <c r="D296" s="150">
        <f>Effort!I296-IF(PCS!I302&lt;0, Effort!D296, 0)</f>
        <v>17.930718605192226</v>
      </c>
      <c r="E296" s="398">
        <f>IF(PCS!I302&lt;0, 0, PCS!F302/Aide!C296)</f>
        <v>2.3426482554068158</v>
      </c>
      <c r="F296" s="398">
        <f>Effort!G296</f>
        <v>-0.55494230551947776</v>
      </c>
      <c r="G296" s="285">
        <f t="shared" si="13"/>
        <v>20.828309166118519</v>
      </c>
      <c r="H296" s="161">
        <f t="shared" si="14"/>
        <v>0</v>
      </c>
      <c r="I296" s="42">
        <f t="shared" si="15"/>
        <v>0</v>
      </c>
      <c r="J296" s="29"/>
    </row>
    <row r="297" spans="1:10" x14ac:dyDescent="0.25">
      <c r="A297" s="38">
        <f>Données!A297</f>
        <v>5930</v>
      </c>
      <c r="B297" s="130" t="str">
        <f>Données!B297</f>
        <v>Suscévaz</v>
      </c>
      <c r="C297" s="272">
        <f>VPI!R297</f>
        <v>5749.1573611111107</v>
      </c>
      <c r="D297" s="150">
        <f>Effort!I297-IF(PCS!I303&lt;0, Effort!D297, 0)</f>
        <v>3.3870798472493675</v>
      </c>
      <c r="E297" s="398">
        <f>IF(PCS!I303&lt;0, 0, PCS!F303/Aide!C297)</f>
        <v>4.2213099199827182</v>
      </c>
      <c r="F297" s="398">
        <f>Effort!G297</f>
        <v>-6.4605947462470041</v>
      </c>
      <c r="G297" s="285">
        <f t="shared" si="13"/>
        <v>14.068984513479091</v>
      </c>
      <c r="H297" s="161">
        <f t="shared" si="14"/>
        <v>0</v>
      </c>
      <c r="I297" s="42">
        <f t="shared" si="15"/>
        <v>0</v>
      </c>
      <c r="J297" s="29"/>
    </row>
    <row r="298" spans="1:10" x14ac:dyDescent="0.25">
      <c r="A298" s="38">
        <f>Données!A298</f>
        <v>5931</v>
      </c>
      <c r="B298" s="130" t="str">
        <f>Données!B298</f>
        <v>Treycovagnes</v>
      </c>
      <c r="C298" s="272">
        <f>VPI!R298</f>
        <v>16306.589199999997</v>
      </c>
      <c r="D298" s="150">
        <f>Effort!I298-IF(PCS!I304&lt;0, Effort!D298, 0)</f>
        <v>12.90647792521475</v>
      </c>
      <c r="E298" s="398">
        <f>IF(PCS!I304&lt;0, 0, PCS!F304/Aide!C298)</f>
        <v>6.3424830129405612</v>
      </c>
      <c r="F298" s="398">
        <f>Effort!G298</f>
        <v>-3.1685319297629011</v>
      </c>
      <c r="G298" s="285">
        <f t="shared" si="13"/>
        <v>22.417492867918213</v>
      </c>
      <c r="H298" s="161">
        <f t="shared" si="14"/>
        <v>0</v>
      </c>
      <c r="I298" s="42">
        <f t="shared" si="15"/>
        <v>0</v>
      </c>
      <c r="J298" s="29"/>
    </row>
    <row r="299" spans="1:10" x14ac:dyDescent="0.25">
      <c r="A299" s="38">
        <f>Données!A299</f>
        <v>5932</v>
      </c>
      <c r="B299" s="130" t="str">
        <f>Données!B299</f>
        <v>Ursins</v>
      </c>
      <c r="C299" s="272">
        <f>VPI!R299</f>
        <v>7945.6270666666669</v>
      </c>
      <c r="D299" s="150">
        <f>Effort!I299-IF(PCS!I305&lt;0, Effort!D299, 0)</f>
        <v>18.596531357766914</v>
      </c>
      <c r="E299" s="398">
        <f>IF(PCS!I305&lt;0, 0, PCS!F305/Aide!C299)</f>
        <v>1.2251802052023484</v>
      </c>
      <c r="F299" s="398">
        <f>Effort!G299</f>
        <v>-1.0278074994876076</v>
      </c>
      <c r="G299" s="285">
        <f t="shared" si="13"/>
        <v>20.849519062456871</v>
      </c>
      <c r="H299" s="161">
        <f t="shared" si="14"/>
        <v>0</v>
      </c>
      <c r="I299" s="42">
        <f t="shared" si="15"/>
        <v>0</v>
      </c>
      <c r="J299" s="29"/>
    </row>
    <row r="300" spans="1:10" x14ac:dyDescent="0.25">
      <c r="A300" s="38">
        <f>Données!A300</f>
        <v>5933</v>
      </c>
      <c r="B300" s="130" t="str">
        <f>Données!B300</f>
        <v>Valeyres-sous-Montagny</v>
      </c>
      <c r="C300" s="272">
        <f>VPI!R300</f>
        <v>23478.000425531918</v>
      </c>
      <c r="D300" s="150">
        <f>Effort!I300-IF(PCS!I306&lt;0, Effort!D300, 0)</f>
        <v>5.1950916845354804</v>
      </c>
      <c r="E300" s="398">
        <f>IF(PCS!I306&lt;0, 0, PCS!F306/Aide!C300)</f>
        <v>2.3369843685807377</v>
      </c>
      <c r="F300" s="398">
        <f>Effort!G300</f>
        <v>-14.362628392681088</v>
      </c>
      <c r="G300" s="285">
        <f t="shared" si="13"/>
        <v>21.894704445797306</v>
      </c>
      <c r="H300" s="161">
        <f t="shared" si="14"/>
        <v>0</v>
      </c>
      <c r="I300" s="42">
        <f t="shared" si="15"/>
        <v>0</v>
      </c>
      <c r="J300" s="29"/>
    </row>
    <row r="301" spans="1:10" x14ac:dyDescent="0.25">
      <c r="A301" s="38">
        <f>Données!A301</f>
        <v>5934</v>
      </c>
      <c r="B301" s="130" t="str">
        <f>Données!B301</f>
        <v>Valeyres-sous-Ursins</v>
      </c>
      <c r="C301" s="272">
        <f>VPI!R301</f>
        <v>6917.5551948051934</v>
      </c>
      <c r="D301" s="150">
        <f>Effort!I301-IF(PCS!I307&lt;0, Effort!D301, 0)</f>
        <v>11.104166750106508</v>
      </c>
      <c r="E301" s="398">
        <f>IF(PCS!I307&lt;0, 0, PCS!F307/Aide!C301)</f>
        <v>4.3607371608184904</v>
      </c>
      <c r="F301" s="398">
        <f>Effort!G301</f>
        <v>-0.60064523378281987</v>
      </c>
      <c r="G301" s="285">
        <f t="shared" si="13"/>
        <v>16.06554914470782</v>
      </c>
      <c r="H301" s="161">
        <f t="shared" si="14"/>
        <v>0</v>
      </c>
      <c r="I301" s="42">
        <f t="shared" si="15"/>
        <v>0</v>
      </c>
      <c r="J301" s="29"/>
    </row>
    <row r="302" spans="1:10" x14ac:dyDescent="0.25">
      <c r="A302" s="38">
        <f>Données!A302</f>
        <v>5935</v>
      </c>
      <c r="B302" s="130" t="str">
        <f>Données!B302</f>
        <v>Villars-Epeney</v>
      </c>
      <c r="C302" s="272">
        <f>VPI!R302</f>
        <v>6724.3836764705884</v>
      </c>
      <c r="D302" s="150">
        <f>Effort!I302-IF(PCS!I308&lt;0, Effort!D302, 0)</f>
        <v>36.072095160772918</v>
      </c>
      <c r="E302" s="398">
        <f>IF(PCS!I308&lt;0, 0, PCS!F308/Aide!C302)</f>
        <v>4.3024537849073372</v>
      </c>
      <c r="F302" s="398">
        <f>Effort!G302</f>
        <v>-0.48652738754051167</v>
      </c>
      <c r="G302" s="285">
        <f t="shared" si="13"/>
        <v>40.861076333220765</v>
      </c>
      <c r="H302" s="161">
        <f t="shared" si="14"/>
        <v>0</v>
      </c>
      <c r="I302" s="42">
        <f t="shared" si="15"/>
        <v>0</v>
      </c>
      <c r="J302" s="29"/>
    </row>
    <row r="303" spans="1:10" x14ac:dyDescent="0.25">
      <c r="A303" s="38">
        <f>Données!A303</f>
        <v>5937</v>
      </c>
      <c r="B303" s="130" t="str">
        <f>Données!B303</f>
        <v>Vugelles-La Mothe</v>
      </c>
      <c r="C303" s="272">
        <f>VPI!R303</f>
        <v>3343.8780000000002</v>
      </c>
      <c r="D303" s="150">
        <f>Effort!I303-IF(PCS!I309&lt;0, Effort!D303, 0)</f>
        <v>1.0023948472955411</v>
      </c>
      <c r="E303" s="398">
        <f>IF(PCS!I309&lt;0, 0, PCS!F309/Aide!C303)</f>
        <v>2.6846090078645215</v>
      </c>
      <c r="F303" s="398">
        <f>Effort!G303</f>
        <v>-6.9023310709263468</v>
      </c>
      <c r="G303" s="285">
        <f t="shared" si="13"/>
        <v>10.589334926086408</v>
      </c>
      <c r="H303" s="161">
        <f t="shared" si="14"/>
        <v>0</v>
      </c>
      <c r="I303" s="42">
        <f t="shared" si="15"/>
        <v>0</v>
      </c>
      <c r="J303" s="29"/>
    </row>
    <row r="304" spans="1:10" x14ac:dyDescent="0.25">
      <c r="A304" s="38">
        <f>Données!A304</f>
        <v>5938</v>
      </c>
      <c r="B304" s="130" t="str">
        <f>Données!B304</f>
        <v>Yverdon-les-Bains</v>
      </c>
      <c r="C304" s="272">
        <f>VPI!R304</f>
        <v>780545.69493333355</v>
      </c>
      <c r="D304" s="150">
        <f>Effort!I304-IF(PCS!I310&lt;0, Effort!D304, 0)</f>
        <v>-33.653415328640563</v>
      </c>
      <c r="E304" s="398">
        <f>IF(PCS!I310&lt;0, 0, PCS!F310/Aide!C304)</f>
        <v>5.4633938828709132</v>
      </c>
      <c r="F304" s="398">
        <f>Effort!G304</f>
        <v>-12.902719353683924</v>
      </c>
      <c r="G304" s="285">
        <f t="shared" si="13"/>
        <v>-15.287302092085724</v>
      </c>
      <c r="H304" s="161">
        <f t="shared" si="14"/>
        <v>-5.2873020920857243</v>
      </c>
      <c r="I304" s="42">
        <f t="shared" si="15"/>
        <v>4126980.8857895201</v>
      </c>
      <c r="J304" s="29"/>
    </row>
    <row r="305" spans="1:12" x14ac:dyDescent="0.25">
      <c r="A305" s="38">
        <f>Données!A305</f>
        <v>5939</v>
      </c>
      <c r="B305" s="130" t="str">
        <f>Données!B305</f>
        <v>Yvonand</v>
      </c>
      <c r="C305" s="272">
        <f>VPI!R305</f>
        <v>97389.711048951052</v>
      </c>
      <c r="D305" s="150">
        <f>Effort!I305-IF(PCS!I311&lt;0, Effort!D305, 0)</f>
        <v>-0.32736482081429941</v>
      </c>
      <c r="E305" s="398">
        <f>IF(PCS!I311&lt;0, 0, PCS!F311/Aide!C305)</f>
        <v>7.6375867326080478</v>
      </c>
      <c r="F305" s="398">
        <f>Effort!G305</f>
        <v>-5.6476361288460737</v>
      </c>
      <c r="G305" s="285">
        <f t="shared" si="13"/>
        <v>12.957858040639822</v>
      </c>
      <c r="H305" s="161">
        <f t="shared" si="14"/>
        <v>0</v>
      </c>
      <c r="I305" s="42">
        <f t="shared" si="15"/>
        <v>0</v>
      </c>
      <c r="J305" s="29"/>
    </row>
    <row r="306" spans="1:12" x14ac:dyDescent="0.25">
      <c r="A306" s="25"/>
      <c r="B306" s="134">
        <f>COUNTA(B6:B305)</f>
        <v>300</v>
      </c>
      <c r="C306" s="325">
        <f>VPI!R306</f>
        <v>39802348.273186527</v>
      </c>
      <c r="D306" s="717"/>
      <c r="E306" s="718"/>
      <c r="F306" s="718"/>
      <c r="G306" s="718"/>
      <c r="H306" s="719"/>
      <c r="I306" s="423">
        <f>SUM(I6:I305)</f>
        <v>5792368.3185954029</v>
      </c>
      <c r="K306" s="10"/>
      <c r="L306" s="10"/>
    </row>
    <row r="307" spans="1:12" x14ac:dyDescent="0.25">
      <c r="I307" s="23"/>
      <c r="J307" s="5"/>
    </row>
    <row r="308" spans="1:12" x14ac:dyDescent="0.25">
      <c r="I308" s="23"/>
    </row>
  </sheetData>
  <sheetProtection sheet="1" objects="1" scenarios="1"/>
  <mergeCells count="7">
    <mergeCell ref="D306:H306"/>
    <mergeCell ref="C4:C5"/>
    <mergeCell ref="B4:B5"/>
    <mergeCell ref="A4:A5"/>
    <mergeCell ref="I4:I5"/>
    <mergeCell ref="G4:G5"/>
    <mergeCell ref="D4:D5"/>
  </mergeCells>
  <phoneticPr fontId="21" type="noConversion"/>
  <conditionalFormatting sqref="D6:G305 D306">
    <cfRule type="cellIs" dxfId="6" priority="3" operator="lessThan">
      <formula>0</formula>
    </cfRule>
    <cfRule type="cellIs" dxfId="5" priority="4" operator="greaterThan">
      <formula>0</formula>
    </cfRule>
  </conditionalFormatting>
  <conditionalFormatting sqref="H5">
    <cfRule type="cellIs" dxfId="4" priority="1" operator="lessThan">
      <formula>0</formula>
    </cfRule>
    <cfRule type="cellIs" dxfId="3" priority="2" operator="greaterThan">
      <formula>0</formula>
    </cfRule>
  </conditionalFormatting>
  <hyperlinks>
    <hyperlink ref="C1" location="Effort!A1" display="← Précédent" xr:uid="{AB4DD465-687C-427D-8055-D2BD3588A1AC}"/>
    <hyperlink ref="E1" location="Taux!A1" display="Suivant →" xr:uid="{595CC61F-6155-4574-887D-9823ED57B9F9}"/>
    <hyperlink ref="D1" location="'Table des matières'!A1" display="Table des             matières" xr:uid="{FC746932-0F9A-4D6A-946B-B9E5F79E5828}"/>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6" tint="0.39997558519241921"/>
  </sheetPr>
  <dimension ref="A1:R311"/>
  <sheetViews>
    <sheetView workbookViewId="0">
      <pane ySplit="5" topLeftCell="A6" activePane="bottomLeft" state="frozen"/>
      <selection pane="bottomLeft" activeCell="A6" sqref="A6"/>
    </sheetView>
  </sheetViews>
  <sheetFormatPr baseColWidth="10" defaultColWidth="10.75" defaultRowHeight="15" x14ac:dyDescent="0.25"/>
  <cols>
    <col min="1" max="1" width="7.25" style="11" customWidth="1"/>
    <col min="2" max="2" width="20.25" style="11" bestFit="1" customWidth="1"/>
    <col min="3" max="3" width="16.125" style="5" customWidth="1"/>
    <col min="4" max="4" width="22.375" style="5" customWidth="1"/>
    <col min="5" max="6" width="12.125" style="5" customWidth="1"/>
    <col min="7" max="7" width="16.5" style="5" customWidth="1"/>
    <col min="8" max="8" width="12.125" style="11" customWidth="1"/>
    <col min="9" max="9" width="12" style="11" customWidth="1"/>
    <col min="10" max="10" width="9.25" style="11" bestFit="1" customWidth="1"/>
    <col min="11" max="11" width="8.875" style="13" bestFit="1" customWidth="1"/>
    <col min="12" max="12" width="11.75" style="13" bestFit="1" customWidth="1"/>
    <col min="13" max="13" width="12.5" style="13" bestFit="1" customWidth="1"/>
    <col min="14" max="14" width="6.75" style="11" customWidth="1"/>
    <col min="15" max="15" width="12.25" style="11" customWidth="1"/>
    <col min="16" max="16" width="12.625" style="11" customWidth="1"/>
    <col min="17" max="17" width="9.625" style="11" customWidth="1"/>
    <col min="18" max="18" width="11.25" style="5" bestFit="1" customWidth="1"/>
    <col min="19" max="16384" width="10.75" style="11"/>
  </cols>
  <sheetData>
    <row r="1" spans="1:18" s="220" customFormat="1" ht="26.25" x14ac:dyDescent="0.4">
      <c r="A1" s="207" t="s">
        <v>401</v>
      </c>
      <c r="B1" s="212"/>
      <c r="C1" s="314" t="s">
        <v>403</v>
      </c>
      <c r="D1" s="230" t="s">
        <v>395</v>
      </c>
      <c r="E1" s="313" t="s">
        <v>404</v>
      </c>
      <c r="F1" s="217"/>
      <c r="G1" s="217"/>
      <c r="H1" s="216"/>
      <c r="I1" s="216"/>
      <c r="J1" s="216"/>
      <c r="K1" s="219"/>
      <c r="L1" s="219"/>
      <c r="M1" s="219"/>
      <c r="N1" s="216"/>
      <c r="O1" s="216"/>
      <c r="P1" s="216"/>
      <c r="Q1" s="216"/>
      <c r="R1" s="215"/>
    </row>
    <row r="2" spans="1:18" s="33" customFormat="1" ht="15.75" x14ac:dyDescent="0.25">
      <c r="A2" s="278" t="str">
        <f>Paramètres!B4</f>
        <v>Acomptes 2024</v>
      </c>
      <c r="B2" s="32"/>
      <c r="C2" s="34"/>
      <c r="D2" s="34"/>
      <c r="E2" s="34"/>
      <c r="F2" s="34"/>
      <c r="G2" s="34"/>
      <c r="H2" s="160"/>
      <c r="I2" s="160"/>
      <c r="J2" s="160"/>
      <c r="K2" s="79"/>
      <c r="L2" s="79"/>
      <c r="M2" s="79"/>
      <c r="N2" s="160"/>
      <c r="O2" s="160"/>
      <c r="P2" s="160"/>
      <c r="Q2" s="160"/>
      <c r="R2" s="5"/>
    </row>
    <row r="3" spans="1:18" ht="26.1" customHeight="1" x14ac:dyDescent="0.25">
      <c r="D3" s="4"/>
      <c r="H3" s="80"/>
      <c r="I3" s="80"/>
    </row>
    <row r="4" spans="1:18" ht="36.75" customHeight="1" x14ac:dyDescent="0.25">
      <c r="A4" s="701" t="s">
        <v>44</v>
      </c>
      <c r="B4" s="701" t="s">
        <v>84</v>
      </c>
      <c r="C4" s="701" t="s">
        <v>410</v>
      </c>
      <c r="D4" s="274" t="s">
        <v>490</v>
      </c>
      <c r="E4" s="709" t="s">
        <v>301</v>
      </c>
      <c r="F4" s="709" t="s">
        <v>433</v>
      </c>
      <c r="G4" s="388" t="s">
        <v>489</v>
      </c>
      <c r="H4" s="715" t="s">
        <v>511</v>
      </c>
      <c r="I4" s="386" t="s">
        <v>113</v>
      </c>
      <c r="J4" s="713" t="s">
        <v>434</v>
      </c>
      <c r="K4" s="5"/>
      <c r="L4" s="11"/>
      <c r="M4" s="11"/>
      <c r="R4" s="11"/>
    </row>
    <row r="5" spans="1:18" x14ac:dyDescent="0.25">
      <c r="A5" s="703"/>
      <c r="B5" s="703"/>
      <c r="C5" s="703"/>
      <c r="D5" s="424" t="s">
        <v>478</v>
      </c>
      <c r="E5" s="710"/>
      <c r="F5" s="710"/>
      <c r="G5" s="404" t="s">
        <v>571</v>
      </c>
      <c r="H5" s="716"/>
      <c r="I5" s="409">
        <f>Paramètres!B47</f>
        <v>93.882000000000005</v>
      </c>
      <c r="J5" s="720"/>
      <c r="K5" s="5"/>
      <c r="L5" s="11"/>
      <c r="M5" s="11"/>
      <c r="R5" s="11"/>
    </row>
    <row r="6" spans="1:18" x14ac:dyDescent="0.25">
      <c r="A6" s="36">
        <f>Données!A6</f>
        <v>5401</v>
      </c>
      <c r="B6" s="146" t="str">
        <f>Données!B6</f>
        <v>Aigle</v>
      </c>
      <c r="C6" s="271">
        <f>VPI!R6</f>
        <v>294617.5415151515</v>
      </c>
      <c r="D6" s="413">
        <f>+Données!AP6</f>
        <v>-4.008123861483309</v>
      </c>
      <c r="E6" s="319">
        <f>VPI!Q6</f>
        <v>66</v>
      </c>
      <c r="F6" s="180">
        <f>E6-D6</f>
        <v>70.008123861483313</v>
      </c>
      <c r="G6" s="59">
        <f>Effort!I6+Aide!I6/Taux!C6+Effort!K6/Taux!C6</f>
        <v>-15.135776812337713</v>
      </c>
      <c r="H6" s="81">
        <f>F6+G6</f>
        <v>54.872347049145603</v>
      </c>
      <c r="I6" s="161">
        <f>IF(H6&gt;$I$5,H6-$I$5,0)</f>
        <v>0</v>
      </c>
      <c r="J6" s="63">
        <f>-I6*C6</f>
        <v>0</v>
      </c>
      <c r="K6" s="5"/>
      <c r="L6" s="10"/>
      <c r="M6" s="11"/>
      <c r="R6" s="11"/>
    </row>
    <row r="7" spans="1:18" x14ac:dyDescent="0.25">
      <c r="A7" s="38">
        <f>Données!A7</f>
        <v>5402</v>
      </c>
      <c r="B7" s="144" t="str">
        <f>Données!B7</f>
        <v>Bex</v>
      </c>
      <c r="C7" s="272">
        <f>VPI!R7</f>
        <v>191952.18042253522</v>
      </c>
      <c r="D7" s="414">
        <f>+Données!AP7</f>
        <v>-7.9066774659472525</v>
      </c>
      <c r="E7" s="320">
        <f>VPI!Q7</f>
        <v>71</v>
      </c>
      <c r="F7" s="179">
        <f t="shared" ref="F7:F70" si="0">E7-D7</f>
        <v>78.906677465947254</v>
      </c>
      <c r="G7" s="176">
        <f>Effort!I7+Aide!I7/Taux!C7+Effort!K7/Taux!C7</f>
        <v>-24.025519280498617</v>
      </c>
      <c r="H7" s="82">
        <f t="shared" ref="H7:H70" si="1">F7+G7</f>
        <v>54.881158185448641</v>
      </c>
      <c r="I7" s="161">
        <f t="shared" ref="I7:I70" si="2">IF(H7&gt;$I$5,H7-$I$5,0)</f>
        <v>0</v>
      </c>
      <c r="J7" s="42">
        <f t="shared" ref="J7:J70" si="3">-I7*C7</f>
        <v>0</v>
      </c>
      <c r="K7" s="5"/>
      <c r="L7" s="10"/>
      <c r="M7" s="11"/>
      <c r="R7" s="11"/>
    </row>
    <row r="8" spans="1:18" x14ac:dyDescent="0.25">
      <c r="A8" s="38">
        <f>Données!A8</f>
        <v>5403</v>
      </c>
      <c r="B8" s="144" t="str">
        <f>Données!B8</f>
        <v>Chessel</v>
      </c>
      <c r="C8" s="272">
        <f>VPI!R8</f>
        <v>13520.577538461539</v>
      </c>
      <c r="D8" s="414">
        <f>+Données!AP8</f>
        <v>5.4228763779994846</v>
      </c>
      <c r="E8" s="320">
        <f>VPI!Q8</f>
        <v>65</v>
      </c>
      <c r="F8" s="179">
        <f t="shared" si="0"/>
        <v>59.577123622000514</v>
      </c>
      <c r="G8" s="176">
        <f>Effort!I8+Aide!I8/Taux!C8+Effort!K8/Taux!C8</f>
        <v>10.60841149764919</v>
      </c>
      <c r="H8" s="82">
        <f t="shared" si="1"/>
        <v>70.1855351196497</v>
      </c>
      <c r="I8" s="161">
        <f t="shared" si="2"/>
        <v>0</v>
      </c>
      <c r="J8" s="42">
        <f t="shared" si="3"/>
        <v>0</v>
      </c>
      <c r="K8" s="5"/>
      <c r="L8" s="10"/>
      <c r="M8" s="11"/>
      <c r="R8" s="11"/>
    </row>
    <row r="9" spans="1:18" x14ac:dyDescent="0.25">
      <c r="A9" s="38">
        <f>Données!A9</f>
        <v>5404</v>
      </c>
      <c r="B9" s="144" t="str">
        <f>Données!B9</f>
        <v>Corbeyrier</v>
      </c>
      <c r="C9" s="272">
        <f>VPI!R9</f>
        <v>11663.176261261262</v>
      </c>
      <c r="D9" s="414">
        <f>+Données!AP9</f>
        <v>9.2107042767791061</v>
      </c>
      <c r="E9" s="320">
        <f>VPI!Q9</f>
        <v>74</v>
      </c>
      <c r="F9" s="179">
        <f t="shared" si="0"/>
        <v>64.789295723220889</v>
      </c>
      <c r="G9" s="176">
        <f>Effort!I9+Aide!I9/Taux!C9+Effort!K9/Taux!C9</f>
        <v>-6.9038144629771665</v>
      </c>
      <c r="H9" s="82">
        <f t="shared" si="1"/>
        <v>57.885481260243722</v>
      </c>
      <c r="I9" s="161">
        <f t="shared" si="2"/>
        <v>0</v>
      </c>
      <c r="J9" s="42">
        <f t="shared" si="3"/>
        <v>0</v>
      </c>
      <c r="K9" s="5"/>
      <c r="L9" s="10"/>
      <c r="M9" s="11"/>
      <c r="R9" s="11"/>
    </row>
    <row r="10" spans="1:18" x14ac:dyDescent="0.25">
      <c r="A10" s="38">
        <f>Données!A10</f>
        <v>5405</v>
      </c>
      <c r="B10" s="144" t="str">
        <f>Données!B10</f>
        <v>Gryon</v>
      </c>
      <c r="C10" s="272">
        <f>VPI!R10</f>
        <v>73284.694739229046</v>
      </c>
      <c r="D10" s="414">
        <f>+Données!AP10</f>
        <v>30.788844510903331</v>
      </c>
      <c r="E10" s="320">
        <f>VPI!Q10</f>
        <v>73.5</v>
      </c>
      <c r="F10" s="179">
        <f t="shared" si="0"/>
        <v>42.711155489096669</v>
      </c>
      <c r="G10" s="176">
        <f>Effort!I10+Aide!I10/Taux!C10+Effort!K10/Taux!C10</f>
        <v>21.540586990596729</v>
      </c>
      <c r="H10" s="82">
        <f t="shared" si="1"/>
        <v>64.251742479693405</v>
      </c>
      <c r="I10" s="161">
        <f t="shared" si="2"/>
        <v>0</v>
      </c>
      <c r="J10" s="42">
        <f t="shared" si="3"/>
        <v>0</v>
      </c>
      <c r="K10" s="5"/>
      <c r="L10" s="10"/>
      <c r="M10" s="11"/>
      <c r="R10" s="11"/>
    </row>
    <row r="11" spans="1:18" x14ac:dyDescent="0.25">
      <c r="A11" s="38">
        <f>Données!A11</f>
        <v>5406</v>
      </c>
      <c r="B11" s="144" t="str">
        <f>Données!B11</f>
        <v>Lavey-Morcles</v>
      </c>
      <c r="C11" s="272">
        <f>VPI!R11</f>
        <v>22110.99022054868</v>
      </c>
      <c r="D11" s="414">
        <f>+Données!AP11</f>
        <v>2.6445384240781182</v>
      </c>
      <c r="E11" s="320">
        <f>VPI!Q11</f>
        <v>71.5</v>
      </c>
      <c r="F11" s="179">
        <f t="shared" si="0"/>
        <v>68.855461575921879</v>
      </c>
      <c r="G11" s="176">
        <f>Effort!I11+Aide!I11/Taux!C11+Effort!K11/Taux!C11</f>
        <v>-4.2558680935427127</v>
      </c>
      <c r="H11" s="82">
        <f t="shared" si="1"/>
        <v>64.599593482379163</v>
      </c>
      <c r="I11" s="161">
        <f t="shared" si="2"/>
        <v>0</v>
      </c>
      <c r="J11" s="42">
        <f t="shared" si="3"/>
        <v>0</v>
      </c>
      <c r="K11" s="5"/>
      <c r="L11" s="10"/>
      <c r="M11" s="11"/>
      <c r="R11" s="11"/>
    </row>
    <row r="12" spans="1:18" x14ac:dyDescent="0.25">
      <c r="A12" s="38">
        <f>Données!A12</f>
        <v>5407</v>
      </c>
      <c r="B12" s="144" t="str">
        <f>Données!B12</f>
        <v>Leysin</v>
      </c>
      <c r="C12" s="272">
        <f>VPI!R12</f>
        <v>89840.418034188027</v>
      </c>
      <c r="D12" s="414">
        <f>+Données!AP12</f>
        <v>-3.4641732228358393</v>
      </c>
      <c r="E12" s="320">
        <f>VPI!Q12</f>
        <v>78</v>
      </c>
      <c r="F12" s="179">
        <f t="shared" si="0"/>
        <v>81.464173222835839</v>
      </c>
      <c r="G12" s="176">
        <f>Effort!I12+Aide!I12/Taux!C12+Effort!K12/Taux!C12</f>
        <v>-23.669311254546809</v>
      </c>
      <c r="H12" s="82">
        <f t="shared" si="1"/>
        <v>57.794861968289027</v>
      </c>
      <c r="I12" s="161">
        <f t="shared" si="2"/>
        <v>0</v>
      </c>
      <c r="J12" s="42">
        <f t="shared" si="3"/>
        <v>0</v>
      </c>
      <c r="K12" s="5"/>
      <c r="L12" s="10"/>
      <c r="M12" s="11"/>
      <c r="R12" s="11"/>
    </row>
    <row r="13" spans="1:18" x14ac:dyDescent="0.25">
      <c r="A13" s="38">
        <f>Données!A13</f>
        <v>5408</v>
      </c>
      <c r="B13" s="144" t="str">
        <f>Données!B13</f>
        <v>Noville</v>
      </c>
      <c r="C13" s="272">
        <f>VPI!R13</f>
        <v>41970.812088888903</v>
      </c>
      <c r="D13" s="414">
        <f>+Données!AP13</f>
        <v>18.662762680547161</v>
      </c>
      <c r="E13" s="320">
        <f>VPI!Q13</f>
        <v>75</v>
      </c>
      <c r="F13" s="179">
        <f t="shared" si="0"/>
        <v>56.337237319452839</v>
      </c>
      <c r="G13" s="176">
        <f>Effort!I13+Aide!I13/Taux!C13+Effort!K13/Taux!C13</f>
        <v>16.943414432883543</v>
      </c>
      <c r="H13" s="82">
        <f t="shared" si="1"/>
        <v>73.280651752336382</v>
      </c>
      <c r="I13" s="161">
        <f t="shared" si="2"/>
        <v>0</v>
      </c>
      <c r="J13" s="42">
        <f t="shared" si="3"/>
        <v>0</v>
      </c>
      <c r="K13" s="5"/>
      <c r="L13" s="10"/>
      <c r="M13" s="11"/>
      <c r="R13" s="11"/>
    </row>
    <row r="14" spans="1:18" x14ac:dyDescent="0.25">
      <c r="A14" s="38">
        <f>Données!A14</f>
        <v>5409</v>
      </c>
      <c r="B14" s="144" t="str">
        <f>Données!B14</f>
        <v>Ollon</v>
      </c>
      <c r="C14" s="272">
        <f>VPI!R14</f>
        <v>405929.69030542986</v>
      </c>
      <c r="D14" s="414">
        <f>+Données!AP14</f>
        <v>24.943680204152038</v>
      </c>
      <c r="E14" s="320">
        <f>VPI!Q14</f>
        <v>68</v>
      </c>
      <c r="F14" s="179">
        <f t="shared" si="0"/>
        <v>43.056319795847962</v>
      </c>
      <c r="G14" s="176">
        <f>Effort!I14+Aide!I14/Taux!C14+Effort!K14/Taux!C14</f>
        <v>14.971493941441006</v>
      </c>
      <c r="H14" s="82">
        <f t="shared" si="1"/>
        <v>58.027813737288966</v>
      </c>
      <c r="I14" s="161">
        <f t="shared" si="2"/>
        <v>0</v>
      </c>
      <c r="J14" s="42">
        <f t="shared" si="3"/>
        <v>0</v>
      </c>
      <c r="K14" s="5"/>
      <c r="L14" s="10"/>
      <c r="M14" s="11"/>
      <c r="R14" s="11"/>
    </row>
    <row r="15" spans="1:18" x14ac:dyDescent="0.25">
      <c r="A15" s="38">
        <f>Données!A15</f>
        <v>5410</v>
      </c>
      <c r="B15" s="144" t="str">
        <f>Données!B15</f>
        <v>Ormont-Dessous</v>
      </c>
      <c r="C15" s="272">
        <f>VPI!R15</f>
        <v>38412.928528138524</v>
      </c>
      <c r="D15" s="414">
        <f>+Données!AP15</f>
        <v>16.63742128345277</v>
      </c>
      <c r="E15" s="320">
        <f>VPI!Q15</f>
        <v>77</v>
      </c>
      <c r="F15" s="179">
        <f t="shared" si="0"/>
        <v>60.362578716547233</v>
      </c>
      <c r="G15" s="176">
        <f>Effort!I15+Aide!I15/Taux!C15+Effort!K15/Taux!C15</f>
        <v>-7.5556395172829696</v>
      </c>
      <c r="H15" s="82">
        <f t="shared" si="1"/>
        <v>52.806939199264264</v>
      </c>
      <c r="I15" s="161">
        <f t="shared" si="2"/>
        <v>0</v>
      </c>
      <c r="J15" s="42">
        <f t="shared" si="3"/>
        <v>0</v>
      </c>
      <c r="K15" s="5"/>
      <c r="L15" s="10"/>
      <c r="M15" s="11"/>
      <c r="R15" s="11"/>
    </row>
    <row r="16" spans="1:18" x14ac:dyDescent="0.25">
      <c r="A16" s="38">
        <f>Données!A16</f>
        <v>5411</v>
      </c>
      <c r="B16" s="144" t="str">
        <f>Données!B16</f>
        <v>Ormont-Dessus</v>
      </c>
      <c r="C16" s="272">
        <f>VPI!R16</f>
        <v>76159.947763157907</v>
      </c>
      <c r="D16" s="414">
        <f>+Données!AP16</f>
        <v>29.745810710423967</v>
      </c>
      <c r="E16" s="320">
        <f>VPI!Q16</f>
        <v>76</v>
      </c>
      <c r="F16" s="179">
        <f t="shared" si="0"/>
        <v>46.254189289576033</v>
      </c>
      <c r="G16" s="176">
        <f>Effort!I16+Aide!I16/Taux!C16+Effort!K16/Taux!C16</f>
        <v>20.894006717736751</v>
      </c>
      <c r="H16" s="82">
        <f t="shared" si="1"/>
        <v>67.148196007312777</v>
      </c>
      <c r="I16" s="161">
        <f t="shared" si="2"/>
        <v>0</v>
      </c>
      <c r="J16" s="42">
        <f t="shared" si="3"/>
        <v>0</v>
      </c>
      <c r="K16" s="5"/>
      <c r="L16" s="10"/>
      <c r="M16" s="11"/>
      <c r="R16" s="11"/>
    </row>
    <row r="17" spans="1:18" x14ac:dyDescent="0.25">
      <c r="A17" s="38">
        <f>Données!A17</f>
        <v>5412</v>
      </c>
      <c r="B17" s="144" t="str">
        <f>Données!B17</f>
        <v>Rennaz</v>
      </c>
      <c r="C17" s="272">
        <f>VPI!R17</f>
        <v>32236.510434782613</v>
      </c>
      <c r="D17" s="414">
        <f>+Données!AP17</f>
        <v>19.161138475972958</v>
      </c>
      <c r="E17" s="320">
        <f>VPI!Q17</f>
        <v>69</v>
      </c>
      <c r="F17" s="179">
        <f t="shared" si="0"/>
        <v>49.838861524027038</v>
      </c>
      <c r="G17" s="176">
        <f>Effort!I17+Aide!I17/Taux!C17+Effort!K17/Taux!C17</f>
        <v>19.240176523980942</v>
      </c>
      <c r="H17" s="82">
        <f t="shared" si="1"/>
        <v>69.079038048007988</v>
      </c>
      <c r="I17" s="161">
        <f t="shared" si="2"/>
        <v>0</v>
      </c>
      <c r="J17" s="42">
        <f t="shared" si="3"/>
        <v>0</v>
      </c>
      <c r="K17" s="5"/>
      <c r="L17" s="10"/>
      <c r="M17" s="11"/>
      <c r="R17" s="11"/>
    </row>
    <row r="18" spans="1:18" x14ac:dyDescent="0.25">
      <c r="A18" s="38">
        <f>Données!A18</f>
        <v>5413</v>
      </c>
      <c r="B18" s="144" t="str">
        <f>Données!B18</f>
        <v>Roche</v>
      </c>
      <c r="C18" s="272">
        <f>VPI!R18</f>
        <v>42591.589534313724</v>
      </c>
      <c r="D18" s="414">
        <f>+Données!AP18</f>
        <v>1.6759077723913745</v>
      </c>
      <c r="E18" s="320">
        <f>VPI!Q18</f>
        <v>68</v>
      </c>
      <c r="F18" s="179">
        <f t="shared" si="0"/>
        <v>66.324092227608631</v>
      </c>
      <c r="G18" s="176">
        <f>Effort!I18+Aide!I18/Taux!C18+Effort!K18/Taux!C18</f>
        <v>-3.1514181529651992</v>
      </c>
      <c r="H18" s="82">
        <f t="shared" si="1"/>
        <v>63.172674074643432</v>
      </c>
      <c r="I18" s="161">
        <f t="shared" si="2"/>
        <v>0</v>
      </c>
      <c r="J18" s="42">
        <f t="shared" si="3"/>
        <v>0</v>
      </c>
      <c r="K18" s="5"/>
      <c r="L18" s="10"/>
      <c r="M18" s="11"/>
      <c r="R18" s="11"/>
    </row>
    <row r="19" spans="1:18" x14ac:dyDescent="0.25">
      <c r="A19" s="38">
        <f>Données!A19</f>
        <v>5414</v>
      </c>
      <c r="B19" s="144" t="str">
        <f>Données!B19</f>
        <v>Villeneuve</v>
      </c>
      <c r="C19" s="272">
        <f>VPI!R19</f>
        <v>165869.64903703702</v>
      </c>
      <c r="D19" s="414">
        <f>+Données!AP19</f>
        <v>9.125915539564863</v>
      </c>
      <c r="E19" s="320">
        <f>VPI!Q19</f>
        <v>67.5</v>
      </c>
      <c r="F19" s="179">
        <f t="shared" si="0"/>
        <v>58.374084460435135</v>
      </c>
      <c r="G19" s="176">
        <f>Effort!I19+Aide!I19/Taux!C19+Effort!K19/Taux!C19</f>
        <v>-7.8442418325043519</v>
      </c>
      <c r="H19" s="82">
        <f t="shared" si="1"/>
        <v>50.529842627930783</v>
      </c>
      <c r="I19" s="161">
        <f t="shared" si="2"/>
        <v>0</v>
      </c>
      <c r="J19" s="42">
        <f t="shared" si="3"/>
        <v>0</v>
      </c>
      <c r="K19" s="5"/>
      <c r="L19" s="10"/>
      <c r="M19" s="11"/>
      <c r="R19" s="11"/>
    </row>
    <row r="20" spans="1:18" x14ac:dyDescent="0.25">
      <c r="A20" s="38">
        <f>Données!A20</f>
        <v>5415</v>
      </c>
      <c r="B20" s="144" t="str">
        <f>Données!B20</f>
        <v>Yvorne</v>
      </c>
      <c r="C20" s="272">
        <f>VPI!R20</f>
        <v>33673.599766899759</v>
      </c>
      <c r="D20" s="414">
        <f>+Données!AP20</f>
        <v>20.121173634428207</v>
      </c>
      <c r="E20" s="320">
        <f>VPI!Q20</f>
        <v>71.5</v>
      </c>
      <c r="F20" s="179">
        <f t="shared" si="0"/>
        <v>51.378826365571797</v>
      </c>
      <c r="G20" s="176">
        <f>Effort!I20+Aide!I20/Taux!C20+Effort!K20/Taux!C20</f>
        <v>5.3353919732470025</v>
      </c>
      <c r="H20" s="82">
        <f t="shared" si="1"/>
        <v>56.714218338818796</v>
      </c>
      <c r="I20" s="161">
        <f t="shared" si="2"/>
        <v>0</v>
      </c>
      <c r="J20" s="42">
        <f t="shared" si="3"/>
        <v>0</v>
      </c>
      <c r="K20" s="5"/>
      <c r="L20" s="10"/>
      <c r="M20" s="11"/>
      <c r="R20" s="11"/>
    </row>
    <row r="21" spans="1:18" x14ac:dyDescent="0.25">
      <c r="A21" s="38">
        <f>Données!A21</f>
        <v>5422</v>
      </c>
      <c r="B21" s="144" t="str">
        <f>Données!B21</f>
        <v>Aubonne</v>
      </c>
      <c r="C21" s="272">
        <f>VPI!R21</f>
        <v>297528.5668571429</v>
      </c>
      <c r="D21" s="414">
        <f>+Données!AP21</f>
        <v>36.468066841771545</v>
      </c>
      <c r="E21" s="320">
        <f>VPI!Q21</f>
        <v>70</v>
      </c>
      <c r="F21" s="179">
        <f t="shared" si="0"/>
        <v>33.531933158228455</v>
      </c>
      <c r="G21" s="176">
        <f>Effort!I21+Aide!I21/Taux!C21+Effort!K21/Taux!C21</f>
        <v>35.707078349783906</v>
      </c>
      <c r="H21" s="82">
        <f t="shared" si="1"/>
        <v>69.239011508012368</v>
      </c>
      <c r="I21" s="161">
        <f t="shared" si="2"/>
        <v>0</v>
      </c>
      <c r="J21" s="42">
        <f t="shared" si="3"/>
        <v>0</v>
      </c>
      <c r="K21" s="5"/>
      <c r="L21" s="10"/>
      <c r="M21" s="11"/>
      <c r="R21" s="11"/>
    </row>
    <row r="22" spans="1:18" x14ac:dyDescent="0.25">
      <c r="A22" s="38">
        <f>Données!A22</f>
        <v>5423</v>
      </c>
      <c r="B22" s="144" t="str">
        <f>Données!B22</f>
        <v>Ballens</v>
      </c>
      <c r="C22" s="272">
        <f>VPI!R22</f>
        <v>17345.56260273973</v>
      </c>
      <c r="D22" s="414">
        <f>+Données!AP22</f>
        <v>13.01793065419586</v>
      </c>
      <c r="E22" s="320">
        <f>VPI!Q22</f>
        <v>73</v>
      </c>
      <c r="F22" s="179">
        <f t="shared" si="0"/>
        <v>59.982069345804142</v>
      </c>
      <c r="G22" s="176">
        <f>Effort!I22+Aide!I22/Taux!C22+Effort!K22/Taux!C22</f>
        <v>9.9986348232482101</v>
      </c>
      <c r="H22" s="82">
        <f t="shared" si="1"/>
        <v>69.980704169052359</v>
      </c>
      <c r="I22" s="161">
        <f t="shared" si="2"/>
        <v>0</v>
      </c>
      <c r="J22" s="42">
        <f t="shared" si="3"/>
        <v>0</v>
      </c>
      <c r="K22" s="5"/>
      <c r="L22" s="10"/>
      <c r="M22" s="11"/>
      <c r="R22" s="11"/>
    </row>
    <row r="23" spans="1:18" x14ac:dyDescent="0.25">
      <c r="A23" s="38">
        <f>Données!A23</f>
        <v>5424</v>
      </c>
      <c r="B23" s="144" t="str">
        <f>Données!B23</f>
        <v>Berolle</v>
      </c>
      <c r="C23" s="272">
        <f>VPI!R23</f>
        <v>10263.233774834438</v>
      </c>
      <c r="D23" s="414">
        <f>+Données!AP23</f>
        <v>9.4636049238019151</v>
      </c>
      <c r="E23" s="320">
        <f>VPI!Q23</f>
        <v>75.5</v>
      </c>
      <c r="F23" s="179">
        <f t="shared" si="0"/>
        <v>66.03639507619809</v>
      </c>
      <c r="G23" s="176">
        <f>Effort!I23+Aide!I23/Taux!C23+Effort!K23/Taux!C23</f>
        <v>10.638092615321016</v>
      </c>
      <c r="H23" s="82">
        <f t="shared" si="1"/>
        <v>76.674487691519104</v>
      </c>
      <c r="I23" s="161">
        <f t="shared" si="2"/>
        <v>0</v>
      </c>
      <c r="J23" s="42">
        <f t="shared" si="3"/>
        <v>0</v>
      </c>
      <c r="K23" s="5"/>
      <c r="L23" s="10"/>
      <c r="M23" s="11"/>
      <c r="R23" s="11"/>
    </row>
    <row r="24" spans="1:18" x14ac:dyDescent="0.25">
      <c r="A24" s="38">
        <f>Données!A24</f>
        <v>5425</v>
      </c>
      <c r="B24" s="144" t="str">
        <f>Données!B24</f>
        <v>Bière</v>
      </c>
      <c r="C24" s="272">
        <f>VPI!R24</f>
        <v>42246.57887556222</v>
      </c>
      <c r="D24" s="414">
        <f>+Données!AP24</f>
        <v>9.2056380737059982</v>
      </c>
      <c r="E24" s="320">
        <f>VPI!Q24</f>
        <v>69</v>
      </c>
      <c r="F24" s="179">
        <f t="shared" si="0"/>
        <v>59.794361926294002</v>
      </c>
      <c r="G24" s="176">
        <f>Effort!I24+Aide!I24/Taux!C24+Effort!K24/Taux!C24</f>
        <v>-6.9072865032136193</v>
      </c>
      <c r="H24" s="82">
        <f t="shared" si="1"/>
        <v>52.887075423080383</v>
      </c>
      <c r="I24" s="161">
        <f t="shared" si="2"/>
        <v>0</v>
      </c>
      <c r="J24" s="42">
        <f t="shared" si="3"/>
        <v>0</v>
      </c>
      <c r="K24" s="5"/>
      <c r="L24" s="10"/>
      <c r="M24" s="11"/>
      <c r="R24" s="11"/>
    </row>
    <row r="25" spans="1:18" x14ac:dyDescent="0.25">
      <c r="A25" s="38">
        <f>Données!A25</f>
        <v>5426</v>
      </c>
      <c r="B25" s="144" t="str">
        <f>Données!B25</f>
        <v>Bougy-Villars</v>
      </c>
      <c r="C25" s="272">
        <f>VPI!R25</f>
        <v>61944.740516795857</v>
      </c>
      <c r="D25" s="414">
        <f>+Données!AP25</f>
        <v>43.60737895001273</v>
      </c>
      <c r="E25" s="320">
        <f>VPI!Q25</f>
        <v>64.5</v>
      </c>
      <c r="F25" s="179">
        <f t="shared" si="0"/>
        <v>20.89262104998727</v>
      </c>
      <c r="G25" s="176">
        <f>Effort!I25+Aide!I25/Taux!C25+Effort!K25/Taux!C25</f>
        <v>46.368411030367206</v>
      </c>
      <c r="H25" s="82">
        <f t="shared" si="1"/>
        <v>67.261032080354482</v>
      </c>
      <c r="I25" s="161">
        <f t="shared" si="2"/>
        <v>0</v>
      </c>
      <c r="J25" s="42">
        <f t="shared" si="3"/>
        <v>0</v>
      </c>
      <c r="K25" s="5"/>
      <c r="L25" s="10"/>
      <c r="M25" s="11"/>
      <c r="R25" s="11"/>
    </row>
    <row r="26" spans="1:18" x14ac:dyDescent="0.25">
      <c r="A26" s="38">
        <f>Données!A26</f>
        <v>5427</v>
      </c>
      <c r="B26" s="144" t="str">
        <f>Données!B26</f>
        <v>Féchy</v>
      </c>
      <c r="C26" s="272">
        <f>VPI!R26</f>
        <v>86921.388449519218</v>
      </c>
      <c r="D26" s="414">
        <f>+Données!AP26</f>
        <v>41.861543949471631</v>
      </c>
      <c r="E26" s="320">
        <f>VPI!Q26</f>
        <v>64</v>
      </c>
      <c r="F26" s="179">
        <f t="shared" si="0"/>
        <v>22.138456050528369</v>
      </c>
      <c r="G26" s="176">
        <f>Effort!I26+Aide!I26/Taux!C26+Effort!K26/Taux!C26</f>
        <v>41.799722617356686</v>
      </c>
      <c r="H26" s="82">
        <f t="shared" si="1"/>
        <v>63.938178667885055</v>
      </c>
      <c r="I26" s="161">
        <f t="shared" si="2"/>
        <v>0</v>
      </c>
      <c r="J26" s="42">
        <f t="shared" si="3"/>
        <v>0</v>
      </c>
      <c r="K26" s="5"/>
      <c r="L26" s="10"/>
      <c r="M26" s="11"/>
      <c r="R26" s="11"/>
    </row>
    <row r="27" spans="1:18" x14ac:dyDescent="0.25">
      <c r="A27" s="38">
        <f>Données!A27</f>
        <v>5428</v>
      </c>
      <c r="B27" s="144" t="str">
        <f>Données!B27</f>
        <v>Gimel</v>
      </c>
      <c r="C27" s="272">
        <f>VPI!R27</f>
        <v>71357.07080536912</v>
      </c>
      <c r="D27" s="414">
        <f>+Données!AP27</f>
        <v>8.9593954446447146</v>
      </c>
      <c r="E27" s="320">
        <f>VPI!Q27</f>
        <v>74.5</v>
      </c>
      <c r="F27" s="179">
        <f t="shared" si="0"/>
        <v>65.540604555355287</v>
      </c>
      <c r="G27" s="176">
        <f>Effort!I27+Aide!I27/Taux!C27+Effort!K27/Taux!C27</f>
        <v>1.7573643372744101</v>
      </c>
      <c r="H27" s="82">
        <f t="shared" si="1"/>
        <v>67.297968892629697</v>
      </c>
      <c r="I27" s="161">
        <f t="shared" si="2"/>
        <v>0</v>
      </c>
      <c r="J27" s="42">
        <f t="shared" si="3"/>
        <v>0</v>
      </c>
      <c r="K27" s="5"/>
      <c r="L27" s="10"/>
      <c r="M27" s="11"/>
      <c r="R27" s="11"/>
    </row>
    <row r="28" spans="1:18" x14ac:dyDescent="0.25">
      <c r="A28" s="38">
        <f>Données!A28</f>
        <v>5429</v>
      </c>
      <c r="B28" s="144" t="str">
        <f>Données!B28</f>
        <v>Longirod</v>
      </c>
      <c r="C28" s="272">
        <f>VPI!R28</f>
        <v>17141.954451612906</v>
      </c>
      <c r="D28" s="414">
        <f>+Données!AP28</f>
        <v>20.158043431095685</v>
      </c>
      <c r="E28" s="320">
        <f>VPI!Q28</f>
        <v>77.5</v>
      </c>
      <c r="F28" s="179">
        <f t="shared" si="0"/>
        <v>57.341956568904315</v>
      </c>
      <c r="G28" s="176">
        <f>Effort!I28+Aide!I28/Taux!C28+Effort!K28/Taux!C28</f>
        <v>11.79800369453759</v>
      </c>
      <c r="H28" s="82">
        <f t="shared" si="1"/>
        <v>69.139960263441907</v>
      </c>
      <c r="I28" s="161">
        <f t="shared" si="2"/>
        <v>0</v>
      </c>
      <c r="J28" s="42">
        <f t="shared" si="3"/>
        <v>0</v>
      </c>
      <c r="K28" s="5"/>
      <c r="L28" s="10"/>
      <c r="M28" s="11"/>
      <c r="R28" s="11"/>
    </row>
    <row r="29" spans="1:18" x14ac:dyDescent="0.25">
      <c r="A29" s="38">
        <f>Données!A29</f>
        <v>5430</v>
      </c>
      <c r="B29" s="144" t="str">
        <f>Données!B29</f>
        <v>Marchissy</v>
      </c>
      <c r="C29" s="272">
        <f>VPI!R29</f>
        <v>17121.702064516132</v>
      </c>
      <c r="D29" s="414">
        <f>+Données!AP29</f>
        <v>16.151497022509005</v>
      </c>
      <c r="E29" s="320">
        <f>VPI!Q29</f>
        <v>77.5</v>
      </c>
      <c r="F29" s="179">
        <f t="shared" si="0"/>
        <v>61.348502977490995</v>
      </c>
      <c r="G29" s="176">
        <f>Effort!I29+Aide!I29/Taux!C29+Effort!K29/Taux!C29</f>
        <v>15.323929784622843</v>
      </c>
      <c r="H29" s="82">
        <f t="shared" si="1"/>
        <v>76.672432762113843</v>
      </c>
      <c r="I29" s="161">
        <f t="shared" si="2"/>
        <v>0</v>
      </c>
      <c r="J29" s="42">
        <f t="shared" si="3"/>
        <v>0</v>
      </c>
      <c r="K29" s="5"/>
      <c r="L29" s="10"/>
      <c r="M29" s="11"/>
      <c r="R29" s="11"/>
    </row>
    <row r="30" spans="1:18" x14ac:dyDescent="0.25">
      <c r="A30" s="38">
        <f>Données!A30</f>
        <v>5431</v>
      </c>
      <c r="B30" s="144" t="str">
        <f>Données!B30</f>
        <v>Mollens</v>
      </c>
      <c r="C30" s="272">
        <f>VPI!R30</f>
        <v>9475.2202702702707</v>
      </c>
      <c r="D30" s="414">
        <f>+Données!AP30</f>
        <v>17.954235818633091</v>
      </c>
      <c r="E30" s="320">
        <f>VPI!Q30</f>
        <v>74</v>
      </c>
      <c r="F30" s="179">
        <f t="shared" si="0"/>
        <v>56.045764181366906</v>
      </c>
      <c r="G30" s="176">
        <f>Effort!I30+Aide!I30/Taux!C30+Effort!K30/Taux!C30</f>
        <v>7.6753841276699539</v>
      </c>
      <c r="H30" s="82">
        <f t="shared" si="1"/>
        <v>63.721148309036863</v>
      </c>
      <c r="I30" s="161">
        <f t="shared" si="2"/>
        <v>0</v>
      </c>
      <c r="J30" s="42">
        <f t="shared" si="3"/>
        <v>0</v>
      </c>
      <c r="K30" s="5"/>
      <c r="L30" s="10"/>
      <c r="M30" s="11"/>
      <c r="R30" s="11"/>
    </row>
    <row r="31" spans="1:18" x14ac:dyDescent="0.25">
      <c r="A31" s="38">
        <f>Données!A31</f>
        <v>5434</v>
      </c>
      <c r="B31" s="144" t="str">
        <f>Données!B31</f>
        <v>Saint-George</v>
      </c>
      <c r="C31" s="272">
        <f>VPI!R31</f>
        <v>40910.420311750597</v>
      </c>
      <c r="D31" s="414">
        <f>+Données!AP31</f>
        <v>24.940108815966411</v>
      </c>
      <c r="E31" s="320">
        <f>VPI!Q31</f>
        <v>69.5</v>
      </c>
      <c r="F31" s="179">
        <f t="shared" si="0"/>
        <v>44.559891184033589</v>
      </c>
      <c r="G31" s="176">
        <f>Effort!I31+Aide!I31/Taux!C31+Effort!K31/Taux!C31</f>
        <v>19.613108709374565</v>
      </c>
      <c r="H31" s="82">
        <f t="shared" si="1"/>
        <v>64.172999893408161</v>
      </c>
      <c r="I31" s="161">
        <f t="shared" si="2"/>
        <v>0</v>
      </c>
      <c r="J31" s="42">
        <f t="shared" si="3"/>
        <v>0</v>
      </c>
      <c r="K31" s="5"/>
      <c r="L31" s="10"/>
      <c r="M31" s="11"/>
      <c r="R31" s="11"/>
    </row>
    <row r="32" spans="1:18" x14ac:dyDescent="0.25">
      <c r="A32" s="38">
        <f>Données!A32</f>
        <v>5435</v>
      </c>
      <c r="B32" s="144" t="str">
        <f>Données!B32</f>
        <v>Saint-Livres</v>
      </c>
      <c r="C32" s="272">
        <f>VPI!R32</f>
        <v>25462.062463768114</v>
      </c>
      <c r="D32" s="414">
        <f>+Données!AP32</f>
        <v>23.864061164624179</v>
      </c>
      <c r="E32" s="320">
        <f>VPI!Q32</f>
        <v>69</v>
      </c>
      <c r="F32" s="179">
        <f t="shared" si="0"/>
        <v>45.135938835375825</v>
      </c>
      <c r="G32" s="176">
        <f>Effort!I32+Aide!I32/Taux!C32+Effort!K32/Taux!C32</f>
        <v>21.275330684664596</v>
      </c>
      <c r="H32" s="82">
        <f t="shared" si="1"/>
        <v>66.41126952004042</v>
      </c>
      <c r="I32" s="161">
        <f t="shared" si="2"/>
        <v>0</v>
      </c>
      <c r="J32" s="42">
        <f t="shared" si="3"/>
        <v>0</v>
      </c>
      <c r="K32" s="5"/>
      <c r="L32" s="10"/>
      <c r="M32" s="11"/>
      <c r="R32" s="11"/>
    </row>
    <row r="33" spans="1:18" x14ac:dyDescent="0.25">
      <c r="A33" s="38">
        <f>Données!A33</f>
        <v>5436</v>
      </c>
      <c r="B33" s="144" t="str">
        <f>Données!B33</f>
        <v>Saint-Oyens</v>
      </c>
      <c r="C33" s="272">
        <f>VPI!R33</f>
        <v>16425.302151898733</v>
      </c>
      <c r="D33" s="414">
        <f>+Données!AP33</f>
        <v>20.570165204417506</v>
      </c>
      <c r="E33" s="320">
        <f>VPI!Q33</f>
        <v>79</v>
      </c>
      <c r="F33" s="179">
        <f t="shared" si="0"/>
        <v>58.429834795582494</v>
      </c>
      <c r="G33" s="176">
        <f>Effort!I33+Aide!I33/Taux!C33+Effort!K33/Taux!C33</f>
        <v>20.242331957808521</v>
      </c>
      <c r="H33" s="82">
        <f t="shared" si="1"/>
        <v>78.672166753391011</v>
      </c>
      <c r="I33" s="161">
        <f t="shared" si="2"/>
        <v>0</v>
      </c>
      <c r="J33" s="42">
        <f t="shared" si="3"/>
        <v>0</v>
      </c>
      <c r="K33" s="5"/>
      <c r="L33" s="10"/>
      <c r="M33" s="11"/>
      <c r="R33" s="11"/>
    </row>
    <row r="34" spans="1:18" x14ac:dyDescent="0.25">
      <c r="A34" s="38">
        <f>Données!A34</f>
        <v>5437</v>
      </c>
      <c r="B34" s="144" t="str">
        <f>Données!B34</f>
        <v>Saubraz</v>
      </c>
      <c r="C34" s="272">
        <f>VPI!R34</f>
        <v>12131.165499999999</v>
      </c>
      <c r="D34" s="414">
        <f>+Données!AP34</f>
        <v>13.160939831357055</v>
      </c>
      <c r="E34" s="320">
        <f>VPI!Q34</f>
        <v>80</v>
      </c>
      <c r="F34" s="179">
        <f t="shared" si="0"/>
        <v>66.839060168642945</v>
      </c>
      <c r="G34" s="176">
        <f>Effort!I34+Aide!I34/Taux!C34+Effort!K34/Taux!C34</f>
        <v>7.2082868201300538</v>
      </c>
      <c r="H34" s="82">
        <f t="shared" si="1"/>
        <v>74.047346988773</v>
      </c>
      <c r="I34" s="161">
        <f t="shared" si="2"/>
        <v>0</v>
      </c>
      <c r="J34" s="42">
        <f t="shared" si="3"/>
        <v>0</v>
      </c>
      <c r="K34" s="5"/>
      <c r="L34" s="10"/>
      <c r="M34" s="11"/>
      <c r="R34" s="11"/>
    </row>
    <row r="35" spans="1:18" x14ac:dyDescent="0.25">
      <c r="A35" s="38">
        <f>Données!A35</f>
        <v>5451</v>
      </c>
      <c r="B35" s="144" t="str">
        <f>Données!B35</f>
        <v>Avenches</v>
      </c>
      <c r="C35" s="272">
        <f>VPI!R35</f>
        <v>142603.64295739346</v>
      </c>
      <c r="D35" s="414">
        <f>+Données!AP35</f>
        <v>9.0399431735586528</v>
      </c>
      <c r="E35" s="320">
        <f>VPI!Q35</f>
        <v>66.5</v>
      </c>
      <c r="F35" s="179">
        <f t="shared" si="0"/>
        <v>57.460056826441345</v>
      </c>
      <c r="G35" s="176">
        <f>Effort!I35+Aide!I35/Taux!C35+Effort!K35/Taux!C35</f>
        <v>0.88099313332092422</v>
      </c>
      <c r="H35" s="82">
        <f t="shared" si="1"/>
        <v>58.341049959762273</v>
      </c>
      <c r="I35" s="161">
        <f t="shared" si="2"/>
        <v>0</v>
      </c>
      <c r="J35" s="42">
        <f t="shared" si="3"/>
        <v>0</v>
      </c>
      <c r="K35" s="5"/>
      <c r="L35" s="10"/>
      <c r="M35" s="11"/>
      <c r="R35" s="11"/>
    </row>
    <row r="36" spans="1:18" x14ac:dyDescent="0.25">
      <c r="A36" s="38">
        <f>Données!A36</f>
        <v>5456</v>
      </c>
      <c r="B36" s="144" t="str">
        <f>Données!B36</f>
        <v>Cudrefin</v>
      </c>
      <c r="C36" s="272">
        <f>VPI!R36</f>
        <v>64059.429152542369</v>
      </c>
      <c r="D36" s="414">
        <f>+Données!AP36</f>
        <v>20.081377015719141</v>
      </c>
      <c r="E36" s="320">
        <f>VPI!Q36</f>
        <v>59</v>
      </c>
      <c r="F36" s="179">
        <f t="shared" si="0"/>
        <v>38.918622984280859</v>
      </c>
      <c r="G36" s="176">
        <f>Effort!I36+Aide!I36/Taux!C36+Effort!K36/Taux!C36</f>
        <v>17.058187557777675</v>
      </c>
      <c r="H36" s="82">
        <f t="shared" si="1"/>
        <v>55.97681054205853</v>
      </c>
      <c r="I36" s="161">
        <f t="shared" si="2"/>
        <v>0</v>
      </c>
      <c r="J36" s="42">
        <f t="shared" si="3"/>
        <v>0</v>
      </c>
      <c r="K36" s="5"/>
      <c r="L36" s="10"/>
      <c r="M36" s="11"/>
      <c r="R36" s="11"/>
    </row>
    <row r="37" spans="1:18" x14ac:dyDescent="0.25">
      <c r="A37" s="38">
        <f>Données!A37</f>
        <v>5458</v>
      </c>
      <c r="B37" s="144" t="str">
        <f>Données!B37</f>
        <v>Faoug</v>
      </c>
      <c r="C37" s="272">
        <f>VPI!R37</f>
        <v>32630.608820512818</v>
      </c>
      <c r="D37" s="414">
        <f>+Données!AP37</f>
        <v>25.455914121842106</v>
      </c>
      <c r="E37" s="320">
        <f>VPI!Q37</f>
        <v>65</v>
      </c>
      <c r="F37" s="179">
        <f t="shared" si="0"/>
        <v>39.544085878157894</v>
      </c>
      <c r="G37" s="176">
        <f>Effort!I37+Aide!I37/Taux!C37+Effort!K37/Taux!C37</f>
        <v>19.592811918110424</v>
      </c>
      <c r="H37" s="82">
        <f t="shared" si="1"/>
        <v>59.136897796268315</v>
      </c>
      <c r="I37" s="161">
        <f t="shared" si="2"/>
        <v>0</v>
      </c>
      <c r="J37" s="42">
        <f t="shared" si="3"/>
        <v>0</v>
      </c>
      <c r="K37" s="5"/>
      <c r="L37" s="10"/>
      <c r="M37" s="11"/>
      <c r="R37" s="11"/>
    </row>
    <row r="38" spans="1:18" x14ac:dyDescent="0.25">
      <c r="A38" s="38">
        <f>Données!A38</f>
        <v>5464</v>
      </c>
      <c r="B38" s="144" t="str">
        <f>Données!B38</f>
        <v>Vully-les-Lacs</v>
      </c>
      <c r="C38" s="272">
        <f>VPI!R38</f>
        <v>117932.28119402986</v>
      </c>
      <c r="D38" s="414">
        <f>+Données!AP38</f>
        <v>15.754119757257948</v>
      </c>
      <c r="E38" s="320">
        <f>VPI!Q38</f>
        <v>67</v>
      </c>
      <c r="F38" s="179">
        <f t="shared" si="0"/>
        <v>51.245880242742054</v>
      </c>
      <c r="G38" s="176">
        <f>Effort!I38+Aide!I38/Taux!C38+Effort!K38/Taux!C38</f>
        <v>11.227020478336161</v>
      </c>
      <c r="H38" s="82">
        <f t="shared" si="1"/>
        <v>62.472900721078219</v>
      </c>
      <c r="I38" s="161">
        <f t="shared" si="2"/>
        <v>0</v>
      </c>
      <c r="J38" s="42">
        <f t="shared" si="3"/>
        <v>0</v>
      </c>
      <c r="K38" s="5"/>
      <c r="L38" s="10"/>
      <c r="M38" s="11"/>
      <c r="R38" s="11"/>
    </row>
    <row r="39" spans="1:18" x14ac:dyDescent="0.25">
      <c r="A39" s="38">
        <f>Données!A39</f>
        <v>5471</v>
      </c>
      <c r="B39" s="144" t="str">
        <f>Données!B39</f>
        <v>Bettens</v>
      </c>
      <c r="C39" s="272">
        <f>VPI!R39</f>
        <v>22692.008412698411</v>
      </c>
      <c r="D39" s="414">
        <f>+Données!AP39</f>
        <v>22.357319397213995</v>
      </c>
      <c r="E39" s="320">
        <f>VPI!Q39</f>
        <v>70</v>
      </c>
      <c r="F39" s="179">
        <f t="shared" si="0"/>
        <v>47.642680602786001</v>
      </c>
      <c r="G39" s="176">
        <f>Effort!I39+Aide!I39/Taux!C39+Effort!K39/Taux!C39</f>
        <v>21.065986320408673</v>
      </c>
      <c r="H39" s="82">
        <f t="shared" si="1"/>
        <v>68.70866692319467</v>
      </c>
      <c r="I39" s="161">
        <f t="shared" si="2"/>
        <v>0</v>
      </c>
      <c r="J39" s="42">
        <f t="shared" si="3"/>
        <v>0</v>
      </c>
      <c r="K39" s="5"/>
      <c r="L39" s="10"/>
      <c r="M39" s="11"/>
      <c r="R39" s="11"/>
    </row>
    <row r="40" spans="1:18" x14ac:dyDescent="0.25">
      <c r="A40" s="38">
        <f>Données!A40</f>
        <v>5472</v>
      </c>
      <c r="B40" s="144" t="str">
        <f>Données!B40</f>
        <v>Bournens</v>
      </c>
      <c r="C40" s="272">
        <f>VPI!R40</f>
        <v>19974.815147058827</v>
      </c>
      <c r="D40" s="414">
        <f>+Données!AP40</f>
        <v>27.039093441955636</v>
      </c>
      <c r="E40" s="320">
        <f>VPI!Q40</f>
        <v>68</v>
      </c>
      <c r="F40" s="179">
        <f t="shared" si="0"/>
        <v>40.960906558044364</v>
      </c>
      <c r="G40" s="176">
        <f>Effort!I40+Aide!I40/Taux!C40+Effort!K40/Taux!C40</f>
        <v>24.049830225949471</v>
      </c>
      <c r="H40" s="82">
        <f t="shared" si="1"/>
        <v>65.010736783993835</v>
      </c>
      <c r="I40" s="161">
        <f t="shared" si="2"/>
        <v>0</v>
      </c>
      <c r="J40" s="42">
        <f t="shared" si="3"/>
        <v>0</v>
      </c>
      <c r="K40" s="5"/>
      <c r="L40" s="10"/>
      <c r="M40" s="11"/>
      <c r="R40" s="11"/>
    </row>
    <row r="41" spans="1:18" x14ac:dyDescent="0.25">
      <c r="A41" s="38">
        <f>Données!A41</f>
        <v>5473</v>
      </c>
      <c r="B41" s="144" t="str">
        <f>Données!B41</f>
        <v>Boussens</v>
      </c>
      <c r="C41" s="272">
        <f>VPI!R41</f>
        <v>40042.684696969693</v>
      </c>
      <c r="D41" s="414">
        <f>+Données!AP41</f>
        <v>23.118548014427315</v>
      </c>
      <c r="E41" s="320">
        <f>VPI!Q41</f>
        <v>66</v>
      </c>
      <c r="F41" s="179">
        <f t="shared" si="0"/>
        <v>42.881451985572681</v>
      </c>
      <c r="G41" s="176">
        <f>Effort!I41+Aide!I41/Taux!C41+Effort!K41/Taux!C41</f>
        <v>25.14255490667674</v>
      </c>
      <c r="H41" s="82">
        <f t="shared" si="1"/>
        <v>68.024006892249417</v>
      </c>
      <c r="I41" s="161">
        <f t="shared" si="2"/>
        <v>0</v>
      </c>
      <c r="J41" s="42">
        <f t="shared" si="3"/>
        <v>0</v>
      </c>
      <c r="K41" s="5"/>
      <c r="L41" s="10"/>
      <c r="M41" s="11"/>
      <c r="R41" s="11"/>
    </row>
    <row r="42" spans="1:18" x14ac:dyDescent="0.25">
      <c r="A42" s="38">
        <f>Données!A42</f>
        <v>5474</v>
      </c>
      <c r="B42" s="144" t="str">
        <f>Données!B42</f>
        <v>La Chaux (Cossonay)</v>
      </c>
      <c r="C42" s="272">
        <f>VPI!R42</f>
        <v>13862.371951754385</v>
      </c>
      <c r="D42" s="414">
        <f>+Données!AP42</f>
        <v>16.957558731693489</v>
      </c>
      <c r="E42" s="320">
        <f>VPI!Q42</f>
        <v>76</v>
      </c>
      <c r="F42" s="179">
        <f t="shared" si="0"/>
        <v>59.042441268306511</v>
      </c>
      <c r="G42" s="176">
        <f>Effort!I42+Aide!I42/Taux!C42+Effort!K42/Taux!C42</f>
        <v>5.9214529311942634</v>
      </c>
      <c r="H42" s="82">
        <f t="shared" si="1"/>
        <v>64.963894199500771</v>
      </c>
      <c r="I42" s="161">
        <f t="shared" si="2"/>
        <v>0</v>
      </c>
      <c r="J42" s="42">
        <f t="shared" si="3"/>
        <v>0</v>
      </c>
      <c r="K42" s="5"/>
      <c r="L42" s="10"/>
      <c r="M42" s="11"/>
      <c r="R42" s="11"/>
    </row>
    <row r="43" spans="1:18" x14ac:dyDescent="0.25">
      <c r="A43" s="38">
        <f>Données!A43</f>
        <v>5475</v>
      </c>
      <c r="B43" s="144" t="str">
        <f>Données!B43</f>
        <v>Chavannes-le-Veyron</v>
      </c>
      <c r="C43" s="272">
        <f>VPI!R43</f>
        <v>4297.1488000000008</v>
      </c>
      <c r="D43" s="414">
        <f>+Données!AP43</f>
        <v>10.737900920173892</v>
      </c>
      <c r="E43" s="320">
        <f>VPI!Q43</f>
        <v>75</v>
      </c>
      <c r="F43" s="179">
        <f t="shared" si="0"/>
        <v>64.2620990798261</v>
      </c>
      <c r="G43" s="176">
        <f>Effort!I43+Aide!I43/Taux!C43+Effort!K43/Taux!C43</f>
        <v>-2.7390297195935709</v>
      </c>
      <c r="H43" s="82">
        <f t="shared" si="1"/>
        <v>61.523069360232526</v>
      </c>
      <c r="I43" s="161">
        <f t="shared" si="2"/>
        <v>0</v>
      </c>
      <c r="J43" s="42">
        <f t="shared" si="3"/>
        <v>0</v>
      </c>
      <c r="K43" s="5"/>
      <c r="L43" s="10"/>
      <c r="M43" s="11"/>
      <c r="R43" s="11"/>
    </row>
    <row r="44" spans="1:18" x14ac:dyDescent="0.25">
      <c r="A44" s="38">
        <f>Données!A44</f>
        <v>5476</v>
      </c>
      <c r="B44" s="144" t="str">
        <f>Données!B44</f>
        <v>Chevilly</v>
      </c>
      <c r="C44" s="272">
        <f>VPI!R44</f>
        <v>13558.448137931036</v>
      </c>
      <c r="D44" s="414">
        <f>+Données!AP44</f>
        <v>22.708839751423511</v>
      </c>
      <c r="E44" s="320">
        <f>VPI!Q44</f>
        <v>72.5</v>
      </c>
      <c r="F44" s="179">
        <f t="shared" si="0"/>
        <v>49.791160248576489</v>
      </c>
      <c r="G44" s="176">
        <f>Effort!I44+Aide!I44/Taux!C44+Effort!K44/Taux!C44</f>
        <v>25.343328864535547</v>
      </c>
      <c r="H44" s="82">
        <f t="shared" si="1"/>
        <v>75.134489113112039</v>
      </c>
      <c r="I44" s="161">
        <f t="shared" si="2"/>
        <v>0</v>
      </c>
      <c r="J44" s="42">
        <f t="shared" si="3"/>
        <v>0</v>
      </c>
      <c r="K44" s="5"/>
      <c r="L44" s="10"/>
      <c r="M44" s="11"/>
      <c r="R44" s="11"/>
    </row>
    <row r="45" spans="1:18" x14ac:dyDescent="0.25">
      <c r="A45" s="38">
        <f>Données!A45</f>
        <v>5477</v>
      </c>
      <c r="B45" s="144" t="str">
        <f>Données!B45</f>
        <v>Cossonay</v>
      </c>
      <c r="C45" s="272">
        <f>VPI!R45</f>
        <v>151484.78088235293</v>
      </c>
      <c r="D45" s="414">
        <f>+Données!AP45</f>
        <v>12.434916007559464</v>
      </c>
      <c r="E45" s="320">
        <f>VPI!Q45</f>
        <v>68</v>
      </c>
      <c r="F45" s="179">
        <f t="shared" si="0"/>
        <v>55.565083992440535</v>
      </c>
      <c r="G45" s="176">
        <f>Effort!I45+Aide!I45/Taux!C45+Effort!K45/Taux!C45</f>
        <v>8.2635814119848199</v>
      </c>
      <c r="H45" s="82">
        <f t="shared" si="1"/>
        <v>63.828665404425351</v>
      </c>
      <c r="I45" s="161">
        <f t="shared" si="2"/>
        <v>0</v>
      </c>
      <c r="J45" s="42">
        <f t="shared" si="3"/>
        <v>0</v>
      </c>
      <c r="K45" s="5"/>
      <c r="L45" s="10"/>
      <c r="M45" s="11"/>
      <c r="R45" s="11"/>
    </row>
    <row r="46" spans="1:18" x14ac:dyDescent="0.25">
      <c r="A46" s="38">
        <f>Données!A46</f>
        <v>5479</v>
      </c>
      <c r="B46" s="144" t="str">
        <f>Données!B46</f>
        <v>Cuarnens</v>
      </c>
      <c r="C46" s="272">
        <f>VPI!R46</f>
        <v>14331.03077922078</v>
      </c>
      <c r="D46" s="414">
        <f>+Données!AP46</f>
        <v>18.330069075162456</v>
      </c>
      <c r="E46" s="320">
        <f>VPI!Q46</f>
        <v>77</v>
      </c>
      <c r="F46" s="179">
        <f t="shared" si="0"/>
        <v>58.669930924837544</v>
      </c>
      <c r="G46" s="176">
        <f>Effort!I46+Aide!I46/Taux!C46+Effort!K46/Taux!C46</f>
        <v>-9.3237884624459006</v>
      </c>
      <c r="H46" s="82">
        <f t="shared" si="1"/>
        <v>49.34614246239164</v>
      </c>
      <c r="I46" s="161">
        <f t="shared" si="2"/>
        <v>0</v>
      </c>
      <c r="J46" s="42">
        <f t="shared" si="3"/>
        <v>0</v>
      </c>
      <c r="K46" s="5"/>
      <c r="L46" s="10"/>
      <c r="M46" s="11"/>
      <c r="R46" s="11"/>
    </row>
    <row r="47" spans="1:18" x14ac:dyDescent="0.25">
      <c r="A47" s="38">
        <f>Données!A47</f>
        <v>5480</v>
      </c>
      <c r="B47" s="144" t="str">
        <f>Données!B47</f>
        <v>Daillens</v>
      </c>
      <c r="C47" s="272">
        <f>VPI!R47</f>
        <v>42741.079141414142</v>
      </c>
      <c r="D47" s="414">
        <f>+Données!AP47</f>
        <v>24.597281244080513</v>
      </c>
      <c r="E47" s="320">
        <f>VPI!Q47</f>
        <v>66</v>
      </c>
      <c r="F47" s="179">
        <f t="shared" si="0"/>
        <v>41.402718755919487</v>
      </c>
      <c r="G47" s="176">
        <f>Effort!I47+Aide!I47/Taux!C47+Effort!K47/Taux!C47</f>
        <v>23.065604467771525</v>
      </c>
      <c r="H47" s="82">
        <f t="shared" si="1"/>
        <v>64.468323223691016</v>
      </c>
      <c r="I47" s="161">
        <f t="shared" si="2"/>
        <v>0</v>
      </c>
      <c r="J47" s="42">
        <f t="shared" si="3"/>
        <v>0</v>
      </c>
      <c r="K47" s="5"/>
      <c r="L47" s="10"/>
      <c r="M47" s="11"/>
      <c r="R47" s="11"/>
    </row>
    <row r="48" spans="1:18" x14ac:dyDescent="0.25">
      <c r="A48" s="38">
        <f>Données!A48</f>
        <v>5481</v>
      </c>
      <c r="B48" s="144" t="str">
        <f>Données!B48</f>
        <v>Dizy</v>
      </c>
      <c r="C48" s="272">
        <f>VPI!R48</f>
        <v>8551.9890666666652</v>
      </c>
      <c r="D48" s="414">
        <f>+Données!AP48</f>
        <v>21.025948001125855</v>
      </c>
      <c r="E48" s="320">
        <f>VPI!Q48</f>
        <v>75</v>
      </c>
      <c r="F48" s="179">
        <f t="shared" si="0"/>
        <v>53.974051998874145</v>
      </c>
      <c r="G48" s="176">
        <f>Effort!I48+Aide!I48/Taux!C48+Effort!K48/Taux!C48</f>
        <v>18.120921487994213</v>
      </c>
      <c r="H48" s="82">
        <f t="shared" si="1"/>
        <v>72.094973486868355</v>
      </c>
      <c r="I48" s="161">
        <f t="shared" si="2"/>
        <v>0</v>
      </c>
      <c r="J48" s="42">
        <f t="shared" si="3"/>
        <v>0</v>
      </c>
      <c r="K48" s="5"/>
      <c r="L48" s="10"/>
      <c r="M48" s="11"/>
      <c r="R48" s="11"/>
    </row>
    <row r="49" spans="1:18" x14ac:dyDescent="0.25">
      <c r="A49" s="38">
        <f>Données!A49</f>
        <v>5482</v>
      </c>
      <c r="B49" s="144" t="str">
        <f>Données!B49</f>
        <v>Eclépens</v>
      </c>
      <c r="C49" s="272">
        <f>VPI!R49</f>
        <v>48311.561086956521</v>
      </c>
      <c r="D49" s="414">
        <f>+Données!AP49</f>
        <v>27.764644799867938</v>
      </c>
      <c r="E49" s="320">
        <f>VPI!Q49</f>
        <v>46</v>
      </c>
      <c r="F49" s="179">
        <f t="shared" si="0"/>
        <v>18.235355200132062</v>
      </c>
      <c r="G49" s="176">
        <f>Effort!I49+Aide!I49/Taux!C49+Effort!K49/Taux!C49</f>
        <v>23.321363736689438</v>
      </c>
      <c r="H49" s="82">
        <f t="shared" si="1"/>
        <v>41.556718936821497</v>
      </c>
      <c r="I49" s="161">
        <f t="shared" si="2"/>
        <v>0</v>
      </c>
      <c r="J49" s="42">
        <f t="shared" si="3"/>
        <v>0</v>
      </c>
      <c r="K49" s="5"/>
      <c r="L49" s="10"/>
      <c r="M49" s="11"/>
      <c r="R49" s="11"/>
    </row>
    <row r="50" spans="1:18" x14ac:dyDescent="0.25">
      <c r="A50" s="38">
        <f>Données!A50</f>
        <v>5483</v>
      </c>
      <c r="B50" s="144" t="str">
        <f>Données!B50</f>
        <v>Ferreyres</v>
      </c>
      <c r="C50" s="272">
        <f>VPI!R50</f>
        <v>10284.191184210527</v>
      </c>
      <c r="D50" s="414">
        <f>+Données!AP50</f>
        <v>17.659117476184679</v>
      </c>
      <c r="E50" s="320">
        <f>VPI!Q50</f>
        <v>76</v>
      </c>
      <c r="F50" s="179">
        <f t="shared" si="0"/>
        <v>58.340882523815324</v>
      </c>
      <c r="G50" s="176">
        <f>Effort!I50+Aide!I50/Taux!C50+Effort!K50/Taux!C50</f>
        <v>18.109738337962309</v>
      </c>
      <c r="H50" s="82">
        <f t="shared" si="1"/>
        <v>76.450620861777637</v>
      </c>
      <c r="I50" s="161">
        <f t="shared" si="2"/>
        <v>0</v>
      </c>
      <c r="J50" s="42">
        <f t="shared" si="3"/>
        <v>0</v>
      </c>
      <c r="K50" s="5"/>
      <c r="L50" s="10"/>
      <c r="M50" s="11"/>
      <c r="R50" s="11"/>
    </row>
    <row r="51" spans="1:18" x14ac:dyDescent="0.25">
      <c r="A51" s="38">
        <f>Données!A51</f>
        <v>5484</v>
      </c>
      <c r="B51" s="144" t="str">
        <f>Données!B51</f>
        <v>Gollion</v>
      </c>
      <c r="C51" s="272">
        <f>VPI!R51</f>
        <v>32601.092837837834</v>
      </c>
      <c r="D51" s="414">
        <f>+Données!AP51</f>
        <v>20.387354320931248</v>
      </c>
      <c r="E51" s="320">
        <f>VPI!Q51</f>
        <v>74</v>
      </c>
      <c r="F51" s="179">
        <f t="shared" si="0"/>
        <v>53.612645679068748</v>
      </c>
      <c r="G51" s="176">
        <f>Effort!I51+Aide!I51/Taux!C51+Effort!K51/Taux!C51</f>
        <v>7.884470655236866</v>
      </c>
      <c r="H51" s="82">
        <f t="shared" si="1"/>
        <v>61.497116334305616</v>
      </c>
      <c r="I51" s="161">
        <f t="shared" si="2"/>
        <v>0</v>
      </c>
      <c r="J51" s="42">
        <f t="shared" si="3"/>
        <v>0</v>
      </c>
      <c r="K51" s="5"/>
      <c r="L51" s="10"/>
      <c r="M51" s="11"/>
      <c r="R51" s="11"/>
    </row>
    <row r="52" spans="1:18" x14ac:dyDescent="0.25">
      <c r="A52" s="38">
        <f>Données!A52</f>
        <v>5485</v>
      </c>
      <c r="B52" s="144" t="str">
        <f>Données!B52</f>
        <v>Grancy</v>
      </c>
      <c r="C52" s="272">
        <f>VPI!R52</f>
        <v>18961.04185714286</v>
      </c>
      <c r="D52" s="414">
        <f>+Données!AP52</f>
        <v>31.434850277191252</v>
      </c>
      <c r="E52" s="320">
        <f>VPI!Q52</f>
        <v>70</v>
      </c>
      <c r="F52" s="179">
        <f t="shared" si="0"/>
        <v>38.565149722808748</v>
      </c>
      <c r="G52" s="176">
        <f>Effort!I52+Aide!I52/Taux!C52+Effort!K52/Taux!C52</f>
        <v>20.230369056883653</v>
      </c>
      <c r="H52" s="82">
        <f t="shared" si="1"/>
        <v>58.795518779692401</v>
      </c>
      <c r="I52" s="161">
        <f t="shared" si="2"/>
        <v>0</v>
      </c>
      <c r="J52" s="42">
        <f t="shared" si="3"/>
        <v>0</v>
      </c>
      <c r="K52" s="5"/>
      <c r="L52" s="10"/>
      <c r="M52" s="11"/>
      <c r="R52" s="11"/>
    </row>
    <row r="53" spans="1:18" x14ac:dyDescent="0.25">
      <c r="A53" s="38">
        <f>Données!A53</f>
        <v>5486</v>
      </c>
      <c r="B53" s="144" t="str">
        <f>Données!B53</f>
        <v>L'Isle</v>
      </c>
      <c r="C53" s="272">
        <f>VPI!R53</f>
        <v>34755.462666666674</v>
      </c>
      <c r="D53" s="414">
        <f>+Données!AP53</f>
        <v>9.29233572793256</v>
      </c>
      <c r="E53" s="320">
        <f>VPI!Q53</f>
        <v>75</v>
      </c>
      <c r="F53" s="179">
        <f t="shared" si="0"/>
        <v>65.707664272067433</v>
      </c>
      <c r="G53" s="176">
        <f>Effort!I53+Aide!I53/Taux!C53+Effort!K53/Taux!C53</f>
        <v>5.7207538113191987</v>
      </c>
      <c r="H53" s="82">
        <f t="shared" si="1"/>
        <v>71.428418083386632</v>
      </c>
      <c r="I53" s="161">
        <f t="shared" si="2"/>
        <v>0</v>
      </c>
      <c r="J53" s="42">
        <f t="shared" si="3"/>
        <v>0</v>
      </c>
      <c r="K53" s="5"/>
      <c r="L53" s="10"/>
      <c r="M53" s="11"/>
      <c r="R53" s="11"/>
    </row>
    <row r="54" spans="1:18" x14ac:dyDescent="0.25">
      <c r="A54" s="38">
        <f>Données!A54</f>
        <v>5487</v>
      </c>
      <c r="B54" s="144" t="str">
        <f>Données!B54</f>
        <v>Lussery-Villars</v>
      </c>
      <c r="C54" s="272">
        <f>VPI!R54</f>
        <v>12042.578266666667</v>
      </c>
      <c r="D54" s="414">
        <f>+Données!AP54</f>
        <v>19.979237691184853</v>
      </c>
      <c r="E54" s="320">
        <f>VPI!Q54</f>
        <v>75</v>
      </c>
      <c r="F54" s="179">
        <f t="shared" si="0"/>
        <v>55.020762308815151</v>
      </c>
      <c r="G54" s="176">
        <f>Effort!I54+Aide!I54/Taux!C54+Effort!K54/Taux!C54</f>
        <v>5.8819095178598513</v>
      </c>
      <c r="H54" s="82">
        <f t="shared" si="1"/>
        <v>60.902671826675004</v>
      </c>
      <c r="I54" s="161">
        <f t="shared" si="2"/>
        <v>0</v>
      </c>
      <c r="J54" s="42">
        <f t="shared" si="3"/>
        <v>0</v>
      </c>
      <c r="K54" s="5"/>
      <c r="L54" s="10"/>
      <c r="M54" s="11"/>
      <c r="R54" s="11"/>
    </row>
    <row r="55" spans="1:18" x14ac:dyDescent="0.25">
      <c r="A55" s="38">
        <f>Données!A55</f>
        <v>5488</v>
      </c>
      <c r="B55" s="144" t="str">
        <f>Données!B55</f>
        <v>Mauraz</v>
      </c>
      <c r="C55" s="272">
        <f>VPI!R55</f>
        <v>2131.605194805195</v>
      </c>
      <c r="D55" s="414">
        <f>+Données!AP55</f>
        <v>11.788958703352574</v>
      </c>
      <c r="E55" s="320">
        <f>VPI!Q55</f>
        <v>77</v>
      </c>
      <c r="F55" s="179">
        <f t="shared" si="0"/>
        <v>65.211041296647423</v>
      </c>
      <c r="G55" s="176">
        <f>Effort!I55+Aide!I55/Taux!C55+Effort!K55/Taux!C55</f>
        <v>17.199437415306381</v>
      </c>
      <c r="H55" s="82">
        <f t="shared" si="1"/>
        <v>82.4104787119538</v>
      </c>
      <c r="I55" s="161">
        <f t="shared" si="2"/>
        <v>0</v>
      </c>
      <c r="J55" s="42">
        <f t="shared" si="3"/>
        <v>0</v>
      </c>
      <c r="K55" s="5"/>
      <c r="L55" s="10"/>
      <c r="M55" s="11"/>
      <c r="R55" s="11"/>
    </row>
    <row r="56" spans="1:18" x14ac:dyDescent="0.25">
      <c r="A56" s="38">
        <f>Données!A56</f>
        <v>5489</v>
      </c>
      <c r="B56" s="144" t="str">
        <f>Données!B56</f>
        <v>Mex</v>
      </c>
      <c r="C56" s="272">
        <f>VPI!R56</f>
        <v>60289.963529411769</v>
      </c>
      <c r="D56" s="414">
        <f>+Données!AP56</f>
        <v>33.404608178951861</v>
      </c>
      <c r="E56" s="320">
        <f>VPI!Q56</f>
        <v>59.5</v>
      </c>
      <c r="F56" s="179">
        <f t="shared" si="0"/>
        <v>26.095391821048139</v>
      </c>
      <c r="G56" s="176">
        <f>Effort!I56+Aide!I56/Taux!C56+Effort!K56/Taux!C56</f>
        <v>35.968993263413068</v>
      </c>
      <c r="H56" s="82">
        <f t="shared" si="1"/>
        <v>62.064385084461207</v>
      </c>
      <c r="I56" s="161">
        <f t="shared" si="2"/>
        <v>0</v>
      </c>
      <c r="J56" s="42">
        <f t="shared" si="3"/>
        <v>0</v>
      </c>
      <c r="K56" s="5"/>
      <c r="L56" s="10"/>
      <c r="M56" s="11"/>
      <c r="R56" s="11"/>
    </row>
    <row r="57" spans="1:18" x14ac:dyDescent="0.25">
      <c r="A57" s="38">
        <f>Données!A57</f>
        <v>5490</v>
      </c>
      <c r="B57" s="144" t="str">
        <f>Données!B57</f>
        <v>Moiry</v>
      </c>
      <c r="C57" s="272">
        <f>VPI!R57</f>
        <v>8460.9402597402623</v>
      </c>
      <c r="D57" s="414">
        <f>+Données!AP57</f>
        <v>13.456994580225846</v>
      </c>
      <c r="E57" s="320">
        <f>VPI!Q57</f>
        <v>77</v>
      </c>
      <c r="F57" s="179">
        <f t="shared" si="0"/>
        <v>63.543005419774154</v>
      </c>
      <c r="G57" s="176">
        <f>Effort!I57+Aide!I57/Taux!C57+Effort!K57/Taux!C57</f>
        <v>7.1241891013638217</v>
      </c>
      <c r="H57" s="82">
        <f t="shared" si="1"/>
        <v>70.667194521137972</v>
      </c>
      <c r="I57" s="161">
        <f t="shared" si="2"/>
        <v>0</v>
      </c>
      <c r="J57" s="42">
        <f t="shared" si="3"/>
        <v>0</v>
      </c>
      <c r="K57" s="5"/>
      <c r="L57" s="10"/>
      <c r="M57" s="11"/>
      <c r="R57" s="11"/>
    </row>
    <row r="58" spans="1:18" x14ac:dyDescent="0.25">
      <c r="A58" s="38">
        <f>Données!A58</f>
        <v>5491</v>
      </c>
      <c r="B58" s="144" t="str">
        <f>Données!B58</f>
        <v>Mont-la-Ville</v>
      </c>
      <c r="C58" s="272">
        <f>VPI!R58</f>
        <v>13841.869078947369</v>
      </c>
      <c r="D58" s="414">
        <f>+Données!AP58</f>
        <v>9.0810468585818409</v>
      </c>
      <c r="E58" s="320">
        <f>VPI!Q58</f>
        <v>76</v>
      </c>
      <c r="F58" s="179">
        <f t="shared" si="0"/>
        <v>66.918953141418157</v>
      </c>
      <c r="G58" s="176">
        <f>Effort!I58+Aide!I58/Taux!C58+Effort!K58/Taux!C58</f>
        <v>-38.96643096388118</v>
      </c>
      <c r="H58" s="82">
        <f t="shared" si="1"/>
        <v>27.952522177536977</v>
      </c>
      <c r="I58" s="161">
        <f t="shared" si="2"/>
        <v>0</v>
      </c>
      <c r="J58" s="42">
        <f t="shared" si="3"/>
        <v>0</v>
      </c>
      <c r="K58" s="5"/>
      <c r="L58" s="10"/>
      <c r="M58" s="11"/>
      <c r="R58" s="11"/>
    </row>
    <row r="59" spans="1:18" x14ac:dyDescent="0.25">
      <c r="A59" s="38">
        <f>Données!A59</f>
        <v>5492</v>
      </c>
      <c r="B59" s="144" t="str">
        <f>Données!B59</f>
        <v>Montricher</v>
      </c>
      <c r="C59" s="272">
        <f>VPI!R59</f>
        <v>149906.53015624997</v>
      </c>
      <c r="D59" s="414">
        <f>+Données!AP59</f>
        <v>52.997147416129415</v>
      </c>
      <c r="E59" s="320">
        <f>VPI!Q59</f>
        <v>64</v>
      </c>
      <c r="F59" s="179">
        <f t="shared" si="0"/>
        <v>11.002852583870585</v>
      </c>
      <c r="G59" s="176">
        <f>Effort!I59+Aide!I59/Taux!C59+Effort!K59/Taux!C59</f>
        <v>48</v>
      </c>
      <c r="H59" s="82">
        <f t="shared" si="1"/>
        <v>59.002852583870585</v>
      </c>
      <c r="I59" s="161">
        <f t="shared" si="2"/>
        <v>0</v>
      </c>
      <c r="J59" s="42">
        <f t="shared" si="3"/>
        <v>0</v>
      </c>
      <c r="K59" s="5"/>
      <c r="L59" s="10"/>
      <c r="M59" s="11"/>
      <c r="R59" s="11"/>
    </row>
    <row r="60" spans="1:18" x14ac:dyDescent="0.25">
      <c r="A60" s="38">
        <f>Données!A60</f>
        <v>5493</v>
      </c>
      <c r="B60" s="144" t="str">
        <f>Données!B60</f>
        <v>Orny</v>
      </c>
      <c r="C60" s="272">
        <f>VPI!R60</f>
        <v>14635.714141201266</v>
      </c>
      <c r="D60" s="414">
        <f>+Données!AP60</f>
        <v>12.362675371408232</v>
      </c>
      <c r="E60" s="320">
        <f>VPI!Q60</f>
        <v>73</v>
      </c>
      <c r="F60" s="179">
        <f t="shared" si="0"/>
        <v>60.63732462859177</v>
      </c>
      <c r="G60" s="176">
        <f>Effort!I60+Aide!I60/Taux!C60+Effort!K60/Taux!C60</f>
        <v>10.464769945876109</v>
      </c>
      <c r="H60" s="82">
        <f t="shared" si="1"/>
        <v>71.102094574467884</v>
      </c>
      <c r="I60" s="161">
        <f t="shared" si="2"/>
        <v>0</v>
      </c>
      <c r="J60" s="42">
        <f t="shared" si="3"/>
        <v>0</v>
      </c>
      <c r="K60" s="5"/>
      <c r="L60" s="10"/>
      <c r="M60" s="11"/>
      <c r="R60" s="11"/>
    </row>
    <row r="61" spans="1:18" x14ac:dyDescent="0.25">
      <c r="A61" s="38">
        <f>Données!A61</f>
        <v>5495</v>
      </c>
      <c r="B61" s="144" t="str">
        <f>Données!B61</f>
        <v>Penthalaz</v>
      </c>
      <c r="C61" s="272">
        <f>VPI!R61</f>
        <v>103053.60797297298</v>
      </c>
      <c r="D61" s="414">
        <f>+Données!AP61</f>
        <v>8.4623531441950135</v>
      </c>
      <c r="E61" s="320">
        <f>VPI!Q61</f>
        <v>74</v>
      </c>
      <c r="F61" s="179">
        <f t="shared" si="0"/>
        <v>65.537646855804979</v>
      </c>
      <c r="G61" s="176">
        <f>Effort!I61+Aide!I61/Taux!C61+Effort!K61/Taux!C61</f>
        <v>6.0070805386902126</v>
      </c>
      <c r="H61" s="82">
        <f t="shared" si="1"/>
        <v>71.544727394495197</v>
      </c>
      <c r="I61" s="161">
        <f t="shared" si="2"/>
        <v>0</v>
      </c>
      <c r="J61" s="42">
        <f t="shared" si="3"/>
        <v>0</v>
      </c>
      <c r="K61" s="5"/>
      <c r="L61" s="10"/>
      <c r="M61" s="11"/>
      <c r="R61" s="11"/>
    </row>
    <row r="62" spans="1:18" x14ac:dyDescent="0.25">
      <c r="A62" s="38">
        <f>Données!A62</f>
        <v>5496</v>
      </c>
      <c r="B62" s="144" t="str">
        <f>Données!B62</f>
        <v>Penthaz</v>
      </c>
      <c r="C62" s="272">
        <f>VPI!R62</f>
        <v>61649.529352517988</v>
      </c>
      <c r="D62" s="414">
        <f>+Données!AP62</f>
        <v>12.192365041966911</v>
      </c>
      <c r="E62" s="320">
        <f>VPI!Q62</f>
        <v>69.5</v>
      </c>
      <c r="F62" s="179">
        <f t="shared" si="0"/>
        <v>57.307634958033091</v>
      </c>
      <c r="G62" s="176">
        <f>Effort!I62+Aide!I62/Taux!C62+Effort!K62/Taux!C62</f>
        <v>12.358331674713423</v>
      </c>
      <c r="H62" s="82">
        <f t="shared" si="1"/>
        <v>69.665966632746517</v>
      </c>
      <c r="I62" s="161">
        <f t="shared" si="2"/>
        <v>0</v>
      </c>
      <c r="J62" s="42">
        <f t="shared" si="3"/>
        <v>0</v>
      </c>
      <c r="K62" s="5"/>
      <c r="L62" s="10"/>
      <c r="M62" s="11"/>
      <c r="R62" s="11"/>
    </row>
    <row r="63" spans="1:18" x14ac:dyDescent="0.25">
      <c r="A63" s="38">
        <f>Données!A63</f>
        <v>5497</v>
      </c>
      <c r="B63" s="144" t="str">
        <f>Données!B63</f>
        <v>Pompaples</v>
      </c>
      <c r="C63" s="272">
        <f>VPI!R63</f>
        <v>22949.555</v>
      </c>
      <c r="D63" s="414">
        <f>+Données!AP63</f>
        <v>12.631069996591968</v>
      </c>
      <c r="E63" s="320">
        <f>VPI!Q63</f>
        <v>66</v>
      </c>
      <c r="F63" s="179">
        <f t="shared" si="0"/>
        <v>53.368930003408032</v>
      </c>
      <c r="G63" s="176">
        <f>Effort!I63+Aide!I63/Taux!C63+Effort!K63/Taux!C63</f>
        <v>7.6821771956068581</v>
      </c>
      <c r="H63" s="82">
        <f t="shared" si="1"/>
        <v>61.051107199014893</v>
      </c>
      <c r="I63" s="161">
        <f t="shared" si="2"/>
        <v>0</v>
      </c>
      <c r="J63" s="42">
        <f t="shared" si="3"/>
        <v>0</v>
      </c>
      <c r="K63" s="5"/>
      <c r="L63" s="10"/>
      <c r="M63" s="11"/>
      <c r="R63" s="11"/>
    </row>
    <row r="64" spans="1:18" x14ac:dyDescent="0.25">
      <c r="A64" s="38">
        <f>Données!A64</f>
        <v>5498</v>
      </c>
      <c r="B64" s="144" t="str">
        <f>Données!B64</f>
        <v>La Sarraz</v>
      </c>
      <c r="C64" s="272">
        <f>VPI!R64</f>
        <v>73742.233181818185</v>
      </c>
      <c r="D64" s="414">
        <f>+Données!AP64</f>
        <v>10.547070607768795</v>
      </c>
      <c r="E64" s="320">
        <f>VPI!Q64</f>
        <v>66</v>
      </c>
      <c r="F64" s="179">
        <f t="shared" si="0"/>
        <v>55.452929392231205</v>
      </c>
      <c r="G64" s="176">
        <f>Effort!I64+Aide!I64/Taux!C64+Effort!K64/Taux!C64</f>
        <v>3.5871818067069974</v>
      </c>
      <c r="H64" s="82">
        <f t="shared" si="1"/>
        <v>59.040111198938206</v>
      </c>
      <c r="I64" s="161">
        <f t="shared" si="2"/>
        <v>0</v>
      </c>
      <c r="J64" s="42">
        <f t="shared" si="3"/>
        <v>0</v>
      </c>
      <c r="K64" s="5"/>
      <c r="L64" s="10"/>
      <c r="M64" s="11"/>
      <c r="R64" s="11"/>
    </row>
    <row r="65" spans="1:18" x14ac:dyDescent="0.25">
      <c r="A65" s="38">
        <f>Données!A65</f>
        <v>5499</v>
      </c>
      <c r="B65" s="144" t="str">
        <f>Données!B65</f>
        <v>Senarclens</v>
      </c>
      <c r="C65" s="272">
        <f>VPI!R65</f>
        <v>20490.878394160583</v>
      </c>
      <c r="D65" s="414">
        <f>+Données!AP65</f>
        <v>23.056218358709284</v>
      </c>
      <c r="E65" s="320">
        <f>VPI!Q65</f>
        <v>68.5</v>
      </c>
      <c r="F65" s="179">
        <f t="shared" si="0"/>
        <v>45.443781641290713</v>
      </c>
      <c r="G65" s="176">
        <f>Effort!I65+Aide!I65/Taux!C65+Effort!K65/Taux!C65</f>
        <v>24.343700199897977</v>
      </c>
      <c r="H65" s="82">
        <f t="shared" si="1"/>
        <v>69.787481841188693</v>
      </c>
      <c r="I65" s="161">
        <f t="shared" si="2"/>
        <v>0</v>
      </c>
      <c r="J65" s="42">
        <f t="shared" si="3"/>
        <v>0</v>
      </c>
      <c r="K65" s="5"/>
      <c r="L65" s="10"/>
      <c r="M65" s="11"/>
      <c r="R65" s="11"/>
    </row>
    <row r="66" spans="1:18" x14ac:dyDescent="0.25">
      <c r="A66" s="38">
        <f>Données!A66</f>
        <v>5501</v>
      </c>
      <c r="B66" s="144" t="str">
        <f>Données!B66</f>
        <v>Sullens</v>
      </c>
      <c r="C66" s="272">
        <f>VPI!R66</f>
        <v>53839.001093749997</v>
      </c>
      <c r="D66" s="414">
        <f>+Données!AP66</f>
        <v>22.757928087982137</v>
      </c>
      <c r="E66" s="320">
        <f>VPI!Q66</f>
        <v>64</v>
      </c>
      <c r="F66" s="179">
        <f t="shared" si="0"/>
        <v>41.242071912017863</v>
      </c>
      <c r="G66" s="176">
        <f>Effort!I66+Aide!I66/Taux!C66+Effort!K66/Taux!C66</f>
        <v>27.855287430395176</v>
      </c>
      <c r="H66" s="82">
        <f t="shared" si="1"/>
        <v>69.097359342413043</v>
      </c>
      <c r="I66" s="161">
        <f t="shared" si="2"/>
        <v>0</v>
      </c>
      <c r="J66" s="42">
        <f t="shared" si="3"/>
        <v>0</v>
      </c>
      <c r="K66" s="5"/>
      <c r="L66" s="10"/>
      <c r="M66" s="11"/>
      <c r="R66" s="11"/>
    </row>
    <row r="67" spans="1:18" x14ac:dyDescent="0.25">
      <c r="A67" s="38">
        <f>Données!A67</f>
        <v>5503</v>
      </c>
      <c r="B67" s="144" t="str">
        <f>Données!B67</f>
        <v>Vufflens-la-Ville</v>
      </c>
      <c r="C67" s="272">
        <f>VPI!R67</f>
        <v>75815.146368159199</v>
      </c>
      <c r="D67" s="414">
        <f>+Données!AP67</f>
        <v>31.517552359425387</v>
      </c>
      <c r="E67" s="320">
        <f>VPI!Q67</f>
        <v>67</v>
      </c>
      <c r="F67" s="179">
        <f t="shared" si="0"/>
        <v>35.482447640574613</v>
      </c>
      <c r="G67" s="176">
        <f>Effort!I67+Aide!I67/Taux!C67+Effort!K67/Taux!C67</f>
        <v>30.858055776686747</v>
      </c>
      <c r="H67" s="82">
        <f t="shared" si="1"/>
        <v>66.34050341726136</v>
      </c>
      <c r="I67" s="161">
        <f t="shared" si="2"/>
        <v>0</v>
      </c>
      <c r="J67" s="42">
        <f t="shared" si="3"/>
        <v>0</v>
      </c>
      <c r="K67" s="5"/>
      <c r="L67" s="10"/>
      <c r="M67" s="11"/>
      <c r="R67" s="11"/>
    </row>
    <row r="68" spans="1:18" x14ac:dyDescent="0.25">
      <c r="A68" s="38">
        <f>Données!A68</f>
        <v>5511</v>
      </c>
      <c r="B68" s="144" t="str">
        <f>Données!B68</f>
        <v>Assens</v>
      </c>
      <c r="C68" s="272">
        <f>VPI!R68</f>
        <v>72829.098714285734</v>
      </c>
      <c r="D68" s="414">
        <f>+Données!AP68</f>
        <v>23.95800055825551</v>
      </c>
      <c r="E68" s="320">
        <f>VPI!Q68</f>
        <v>70</v>
      </c>
      <c r="F68" s="179">
        <f t="shared" si="0"/>
        <v>46.041999441744494</v>
      </c>
      <c r="G68" s="176">
        <f>Effort!I68+Aide!I68/Taux!C68+Effort!K68/Taux!C68</f>
        <v>21.59575130368081</v>
      </c>
      <c r="H68" s="82">
        <f t="shared" si="1"/>
        <v>67.637750745425308</v>
      </c>
      <c r="I68" s="161">
        <f t="shared" si="2"/>
        <v>0</v>
      </c>
      <c r="J68" s="42">
        <f t="shared" si="3"/>
        <v>0</v>
      </c>
      <c r="K68" s="5"/>
      <c r="L68" s="10"/>
      <c r="M68" s="11"/>
      <c r="R68" s="11"/>
    </row>
    <row r="69" spans="1:18" x14ac:dyDescent="0.25">
      <c r="A69" s="38">
        <f>Données!A69</f>
        <v>5512</v>
      </c>
      <c r="B69" s="144" t="str">
        <f>Données!B69</f>
        <v>Bercher</v>
      </c>
      <c r="C69" s="272">
        <f>VPI!R69</f>
        <v>41197.962531645571</v>
      </c>
      <c r="D69" s="414">
        <f>+Données!AP69</f>
        <v>12.20412679742995</v>
      </c>
      <c r="E69" s="320">
        <f>VPI!Q69</f>
        <v>79</v>
      </c>
      <c r="F69" s="179">
        <f t="shared" si="0"/>
        <v>66.79587320257005</v>
      </c>
      <c r="G69" s="176">
        <f>Effort!I69+Aide!I69/Taux!C69+Effort!K69/Taux!C69</f>
        <v>5.3936641971440071</v>
      </c>
      <c r="H69" s="82">
        <f t="shared" si="1"/>
        <v>72.189537399714055</v>
      </c>
      <c r="I69" s="161">
        <f t="shared" si="2"/>
        <v>0</v>
      </c>
      <c r="J69" s="42">
        <f t="shared" si="3"/>
        <v>0</v>
      </c>
      <c r="K69" s="5"/>
      <c r="L69" s="10"/>
      <c r="M69" s="11"/>
      <c r="R69" s="11"/>
    </row>
    <row r="70" spans="1:18" x14ac:dyDescent="0.25">
      <c r="A70" s="38">
        <f>Données!A70</f>
        <v>5514</v>
      </c>
      <c r="B70" s="144" t="str">
        <f>Données!B70</f>
        <v>Bottens</v>
      </c>
      <c r="C70" s="272">
        <f>VPI!R70</f>
        <v>45711.625241379304</v>
      </c>
      <c r="D70" s="414">
        <f>+Données!AP70</f>
        <v>16.254052978226603</v>
      </c>
      <c r="E70" s="320">
        <f>VPI!Q70</f>
        <v>72.5</v>
      </c>
      <c r="F70" s="179">
        <f t="shared" si="0"/>
        <v>56.245947021773397</v>
      </c>
      <c r="G70" s="176">
        <f>Effort!I70+Aide!I70/Taux!C70+Effort!K70/Taux!C70</f>
        <v>16.618812923384969</v>
      </c>
      <c r="H70" s="82">
        <f t="shared" si="1"/>
        <v>72.864759945158369</v>
      </c>
      <c r="I70" s="161">
        <f t="shared" si="2"/>
        <v>0</v>
      </c>
      <c r="J70" s="42">
        <f t="shared" si="3"/>
        <v>0</v>
      </c>
      <c r="K70" s="5"/>
      <c r="L70" s="10"/>
      <c r="M70" s="11"/>
      <c r="R70" s="11"/>
    </row>
    <row r="71" spans="1:18" x14ac:dyDescent="0.25">
      <c r="A71" s="38">
        <f>Données!A71</f>
        <v>5515</v>
      </c>
      <c r="B71" s="144" t="str">
        <f>Données!B71</f>
        <v>Bretigny-sur-Morrens</v>
      </c>
      <c r="C71" s="272">
        <f>VPI!R71</f>
        <v>29284.807179487179</v>
      </c>
      <c r="D71" s="414">
        <f>+Données!AP71</f>
        <v>20.996528204983413</v>
      </c>
      <c r="E71" s="320">
        <f>VPI!Q71</f>
        <v>78</v>
      </c>
      <c r="F71" s="179">
        <f t="shared" ref="F71:F134" si="4">E71-D71</f>
        <v>57.003471795016587</v>
      </c>
      <c r="G71" s="176">
        <f>Effort!I71+Aide!I71/Taux!C71+Effort!K71/Taux!C71</f>
        <v>16.090174138745645</v>
      </c>
      <c r="H71" s="82">
        <f t="shared" ref="H71:H134" si="5">F71+G71</f>
        <v>73.093645933762232</v>
      </c>
      <c r="I71" s="161">
        <f t="shared" ref="I71:I134" si="6">IF(H71&gt;$I$5,H71-$I$5,0)</f>
        <v>0</v>
      </c>
      <c r="J71" s="42">
        <f t="shared" ref="J71:J134" si="7">-I71*C71</f>
        <v>0</v>
      </c>
      <c r="K71" s="5"/>
      <c r="L71" s="10"/>
      <c r="M71" s="11"/>
      <c r="R71" s="11"/>
    </row>
    <row r="72" spans="1:18" x14ac:dyDescent="0.25">
      <c r="A72" s="38">
        <f>Données!A72</f>
        <v>5516</v>
      </c>
      <c r="B72" s="144" t="str">
        <f>Données!B72</f>
        <v>Cugy</v>
      </c>
      <c r="C72" s="272">
        <f>VPI!R72</f>
        <v>110286.19364035087</v>
      </c>
      <c r="D72" s="414">
        <f>+Données!AP72</f>
        <v>20.982320690365196</v>
      </c>
      <c r="E72" s="320">
        <f>VPI!Q72</f>
        <v>76</v>
      </c>
      <c r="F72" s="179">
        <f t="shared" si="4"/>
        <v>55.017679309634801</v>
      </c>
      <c r="G72" s="176">
        <f>Effort!I72+Aide!I72/Taux!C72+Effort!K72/Taux!C72</f>
        <v>19.592390250531508</v>
      </c>
      <c r="H72" s="82">
        <f t="shared" si="5"/>
        <v>74.610069560166309</v>
      </c>
      <c r="I72" s="161">
        <f t="shared" si="6"/>
        <v>0</v>
      </c>
      <c r="J72" s="42">
        <f t="shared" si="7"/>
        <v>0</v>
      </c>
      <c r="K72" s="5"/>
      <c r="L72" s="10"/>
      <c r="M72" s="11"/>
      <c r="R72" s="11"/>
    </row>
    <row r="73" spans="1:18" x14ac:dyDescent="0.25">
      <c r="A73" s="38">
        <f>Données!A73</f>
        <v>5518</v>
      </c>
      <c r="B73" s="144" t="str">
        <f>Données!B73</f>
        <v>Echallens</v>
      </c>
      <c r="C73" s="272">
        <f>VPI!R73</f>
        <v>193272.16565517243</v>
      </c>
      <c r="D73" s="414">
        <f>+Données!AP73</f>
        <v>8.6159111634695869</v>
      </c>
      <c r="E73" s="320">
        <f>VPI!Q73</f>
        <v>72.5</v>
      </c>
      <c r="F73" s="179">
        <f t="shared" si="4"/>
        <v>63.88408883653041</v>
      </c>
      <c r="G73" s="176">
        <f>Effort!I73+Aide!I73/Taux!C73+Effort!K73/Taux!C73</f>
        <v>2.8642640972015414</v>
      </c>
      <c r="H73" s="82">
        <f t="shared" si="5"/>
        <v>66.748352933731951</v>
      </c>
      <c r="I73" s="161">
        <f t="shared" si="6"/>
        <v>0</v>
      </c>
      <c r="J73" s="42">
        <f t="shared" si="7"/>
        <v>0</v>
      </c>
      <c r="K73" s="5"/>
      <c r="L73" s="10"/>
      <c r="M73" s="11"/>
      <c r="R73" s="11"/>
    </row>
    <row r="74" spans="1:18" x14ac:dyDescent="0.25">
      <c r="A74" s="38">
        <f>Données!A74</f>
        <v>5520</v>
      </c>
      <c r="B74" s="144" t="str">
        <f>Données!B74</f>
        <v>Essertines-sur-Yverdon</v>
      </c>
      <c r="C74" s="272">
        <f>VPI!R74</f>
        <v>31421.603918918918</v>
      </c>
      <c r="D74" s="414">
        <f>+Données!AP74</f>
        <v>14.425933428417492</v>
      </c>
      <c r="E74" s="320">
        <f>VPI!Q74</f>
        <v>74</v>
      </c>
      <c r="F74" s="179">
        <f t="shared" si="4"/>
        <v>59.574066571582506</v>
      </c>
      <c r="G74" s="176">
        <f>Effort!I74+Aide!I74/Taux!C74+Effort!K74/Taux!C74</f>
        <v>0.35228082234651126</v>
      </c>
      <c r="H74" s="82">
        <f t="shared" si="5"/>
        <v>59.926347393929021</v>
      </c>
      <c r="I74" s="161">
        <f t="shared" si="6"/>
        <v>0</v>
      </c>
      <c r="J74" s="42">
        <f t="shared" si="7"/>
        <v>0</v>
      </c>
      <c r="K74" s="5"/>
      <c r="L74" s="10"/>
      <c r="M74" s="11"/>
      <c r="R74" s="11"/>
    </row>
    <row r="75" spans="1:18" x14ac:dyDescent="0.25">
      <c r="A75" s="38">
        <f>Données!A75</f>
        <v>5521</v>
      </c>
      <c r="B75" s="144" t="str">
        <f>Données!B75</f>
        <v>Etagnières</v>
      </c>
      <c r="C75" s="272">
        <f>VPI!R75</f>
        <v>47186.910273972615</v>
      </c>
      <c r="D75" s="414">
        <f>+Données!AP75</f>
        <v>21.508652470838829</v>
      </c>
      <c r="E75" s="320">
        <f>VPI!Q75</f>
        <v>73</v>
      </c>
      <c r="F75" s="179">
        <f t="shared" si="4"/>
        <v>51.491347529161175</v>
      </c>
      <c r="G75" s="176">
        <f>Effort!I75+Aide!I75/Taux!C75+Effort!K75/Taux!C75</f>
        <v>23.095840608665352</v>
      </c>
      <c r="H75" s="82">
        <f t="shared" si="5"/>
        <v>74.58718813782653</v>
      </c>
      <c r="I75" s="161">
        <f t="shared" si="6"/>
        <v>0</v>
      </c>
      <c r="J75" s="42">
        <f t="shared" si="7"/>
        <v>0</v>
      </c>
      <c r="K75" s="5"/>
      <c r="L75" s="10"/>
      <c r="M75" s="11"/>
      <c r="R75" s="11"/>
    </row>
    <row r="76" spans="1:18" x14ac:dyDescent="0.25">
      <c r="A76" s="38">
        <f>Données!A76</f>
        <v>5522</v>
      </c>
      <c r="B76" s="144" t="str">
        <f>Données!B76</f>
        <v>Fey</v>
      </c>
      <c r="C76" s="272">
        <f>VPI!R76</f>
        <v>24171.660400000001</v>
      </c>
      <c r="D76" s="414">
        <f>+Données!AP76</f>
        <v>16.432064687765642</v>
      </c>
      <c r="E76" s="320">
        <f>VPI!Q76</f>
        <v>75</v>
      </c>
      <c r="F76" s="179">
        <f t="shared" si="4"/>
        <v>58.567935312234354</v>
      </c>
      <c r="G76" s="176">
        <f>Effort!I76+Aide!I76/Taux!C76+Effort!K76/Taux!C76</f>
        <v>12.521357488369425</v>
      </c>
      <c r="H76" s="82">
        <f t="shared" si="5"/>
        <v>71.089292800603772</v>
      </c>
      <c r="I76" s="161">
        <f t="shared" si="6"/>
        <v>0</v>
      </c>
      <c r="J76" s="42">
        <f t="shared" si="7"/>
        <v>0</v>
      </c>
      <c r="K76" s="5"/>
      <c r="L76" s="10"/>
      <c r="M76" s="11"/>
      <c r="R76" s="11"/>
    </row>
    <row r="77" spans="1:18" x14ac:dyDescent="0.25">
      <c r="A77" s="38">
        <f>Données!A77</f>
        <v>5523</v>
      </c>
      <c r="B77" s="144" t="str">
        <f>Données!B77</f>
        <v>Froideville</v>
      </c>
      <c r="C77" s="272">
        <f>VPI!R77</f>
        <v>92223.451805555553</v>
      </c>
      <c r="D77" s="414">
        <f>+Données!AP77</f>
        <v>16.552784332992918</v>
      </c>
      <c r="E77" s="320">
        <f>VPI!Q77</f>
        <v>72</v>
      </c>
      <c r="F77" s="179">
        <f t="shared" si="4"/>
        <v>55.447215667007086</v>
      </c>
      <c r="G77" s="176">
        <f>Effort!I77+Aide!I77/Taux!C77+Effort!K77/Taux!C77</f>
        <v>14.187139435745088</v>
      </c>
      <c r="H77" s="82">
        <f t="shared" si="5"/>
        <v>69.634355102752181</v>
      </c>
      <c r="I77" s="161">
        <f t="shared" si="6"/>
        <v>0</v>
      </c>
      <c r="J77" s="42">
        <f t="shared" si="7"/>
        <v>0</v>
      </c>
      <c r="K77" s="5"/>
      <c r="L77" s="10"/>
      <c r="M77" s="11"/>
      <c r="R77" s="11"/>
    </row>
    <row r="78" spans="1:18" x14ac:dyDescent="0.25">
      <c r="A78" s="38">
        <f>Données!A78</f>
        <v>5527</v>
      </c>
      <c r="B78" s="144" t="str">
        <f>Données!B78</f>
        <v>Morrens</v>
      </c>
      <c r="C78" s="272">
        <f>VPI!R78</f>
        <v>40722.210135135138</v>
      </c>
      <c r="D78" s="414">
        <f>+Données!AP78</f>
        <v>18.299101165809837</v>
      </c>
      <c r="E78" s="320">
        <f>VPI!Q78</f>
        <v>74</v>
      </c>
      <c r="F78" s="179">
        <f t="shared" si="4"/>
        <v>55.700898834190163</v>
      </c>
      <c r="G78" s="176">
        <f>Effort!I78+Aide!I78/Taux!C78+Effort!K78/Taux!C78</f>
        <v>18.862548319863496</v>
      </c>
      <c r="H78" s="82">
        <f t="shared" si="5"/>
        <v>74.563447154053662</v>
      </c>
      <c r="I78" s="161">
        <f t="shared" si="6"/>
        <v>0</v>
      </c>
      <c r="J78" s="42">
        <f t="shared" si="7"/>
        <v>0</v>
      </c>
      <c r="K78" s="5"/>
      <c r="L78" s="10"/>
      <c r="M78" s="11"/>
      <c r="R78" s="11"/>
    </row>
    <row r="79" spans="1:18" x14ac:dyDescent="0.25">
      <c r="A79" s="38">
        <f>Données!A79</f>
        <v>5529</v>
      </c>
      <c r="B79" s="144" t="str">
        <f>Données!B79</f>
        <v>Oulens-sous-Echallens</v>
      </c>
      <c r="C79" s="272">
        <f>VPI!R79</f>
        <v>22676.673521126762</v>
      </c>
      <c r="D79" s="414">
        <f>+Données!AP79</f>
        <v>20.330564887160435</v>
      </c>
      <c r="E79" s="320">
        <f>VPI!Q79</f>
        <v>71</v>
      </c>
      <c r="F79" s="179">
        <f t="shared" si="4"/>
        <v>50.669435112839565</v>
      </c>
      <c r="G79" s="176">
        <f>Effort!I79+Aide!I79/Taux!C79+Effort!K79/Taux!C79</f>
        <v>18.901589430741375</v>
      </c>
      <c r="H79" s="82">
        <f t="shared" si="5"/>
        <v>69.571024543580933</v>
      </c>
      <c r="I79" s="161">
        <f t="shared" si="6"/>
        <v>0</v>
      </c>
      <c r="J79" s="42">
        <f t="shared" si="7"/>
        <v>0</v>
      </c>
      <c r="K79" s="5"/>
      <c r="L79" s="10"/>
      <c r="M79" s="11"/>
      <c r="R79" s="11"/>
    </row>
    <row r="80" spans="1:18" x14ac:dyDescent="0.25">
      <c r="A80" s="38">
        <f>Données!A80</f>
        <v>5530</v>
      </c>
      <c r="B80" s="144" t="str">
        <f>Données!B80</f>
        <v>Pailly</v>
      </c>
      <c r="C80" s="272">
        <f>VPI!R80</f>
        <v>20358.644320175437</v>
      </c>
      <c r="D80" s="414">
        <f>+Données!AP80</f>
        <v>18.269720253369304</v>
      </c>
      <c r="E80" s="320">
        <f>VPI!Q80</f>
        <v>76</v>
      </c>
      <c r="F80" s="179">
        <f t="shared" si="4"/>
        <v>57.7302797466307</v>
      </c>
      <c r="G80" s="176">
        <f>Effort!I80+Aide!I80/Taux!C80+Effort!K80/Taux!C80</f>
        <v>16.875210121210728</v>
      </c>
      <c r="H80" s="82">
        <f t="shared" si="5"/>
        <v>74.605489867841428</v>
      </c>
      <c r="I80" s="161">
        <f t="shared" si="6"/>
        <v>0</v>
      </c>
      <c r="J80" s="42">
        <f t="shared" si="7"/>
        <v>0</v>
      </c>
      <c r="K80" s="5"/>
      <c r="L80" s="10"/>
      <c r="M80" s="11"/>
      <c r="R80" s="11"/>
    </row>
    <row r="81" spans="1:18" x14ac:dyDescent="0.25">
      <c r="A81" s="38">
        <f>Données!A81</f>
        <v>5531</v>
      </c>
      <c r="B81" s="144" t="str">
        <f>Données!B81</f>
        <v>Penthéréaz</v>
      </c>
      <c r="C81" s="272">
        <f>VPI!R81</f>
        <v>17299.265810810808</v>
      </c>
      <c r="D81" s="414">
        <f>+Données!AP81</f>
        <v>19.512174373847976</v>
      </c>
      <c r="E81" s="320">
        <f>VPI!Q81</f>
        <v>74</v>
      </c>
      <c r="F81" s="179">
        <f t="shared" si="4"/>
        <v>54.487825626152024</v>
      </c>
      <c r="G81" s="176">
        <f>Effort!I81+Aide!I81/Taux!C81+Effort!K81/Taux!C81</f>
        <v>21.675863251731752</v>
      </c>
      <c r="H81" s="82">
        <f t="shared" si="5"/>
        <v>76.163688877883772</v>
      </c>
      <c r="I81" s="161">
        <f t="shared" si="6"/>
        <v>0</v>
      </c>
      <c r="J81" s="42">
        <f t="shared" si="7"/>
        <v>0</v>
      </c>
      <c r="K81" s="5"/>
      <c r="L81" s="10"/>
      <c r="M81" s="11"/>
      <c r="R81" s="11"/>
    </row>
    <row r="82" spans="1:18" x14ac:dyDescent="0.25">
      <c r="A82" s="38">
        <f>Données!A82</f>
        <v>5533</v>
      </c>
      <c r="B82" s="144" t="str">
        <f>Données!B82</f>
        <v>Poliez-Pittet</v>
      </c>
      <c r="C82" s="272">
        <f>VPI!R82</f>
        <v>28011.409726027396</v>
      </c>
      <c r="D82" s="414">
        <f>+Données!AP82</f>
        <v>18.440142727451679</v>
      </c>
      <c r="E82" s="320">
        <f>VPI!Q82</f>
        <v>73</v>
      </c>
      <c r="F82" s="179">
        <f t="shared" si="4"/>
        <v>54.559857272548321</v>
      </c>
      <c r="G82" s="176">
        <f>Effort!I82+Aide!I82/Taux!C82+Effort!K82/Taux!C82</f>
        <v>15.87324834919926</v>
      </c>
      <c r="H82" s="82">
        <f t="shared" si="5"/>
        <v>70.433105621747586</v>
      </c>
      <c r="I82" s="161">
        <f t="shared" si="6"/>
        <v>0</v>
      </c>
      <c r="J82" s="42">
        <f t="shared" si="7"/>
        <v>0</v>
      </c>
      <c r="K82" s="5"/>
      <c r="L82" s="10"/>
      <c r="M82" s="11"/>
      <c r="R82" s="11"/>
    </row>
    <row r="83" spans="1:18" x14ac:dyDescent="0.25">
      <c r="A83" s="38">
        <f>Données!A83</f>
        <v>5534</v>
      </c>
      <c r="B83" s="144" t="str">
        <f>Données!B83</f>
        <v>Rueyres</v>
      </c>
      <c r="C83" s="272">
        <f>VPI!R83</f>
        <v>15039.569474885846</v>
      </c>
      <c r="D83" s="414">
        <f>+Données!AP83</f>
        <v>26.587168342613285</v>
      </c>
      <c r="E83" s="320">
        <f>VPI!Q83</f>
        <v>73</v>
      </c>
      <c r="F83" s="179">
        <f t="shared" si="4"/>
        <v>46.412831657386718</v>
      </c>
      <c r="G83" s="176">
        <f>Effort!I83+Aide!I83/Taux!C83+Effort!K83/Taux!C83</f>
        <v>29.967273328707865</v>
      </c>
      <c r="H83" s="82">
        <f t="shared" si="5"/>
        <v>76.38010498609458</v>
      </c>
      <c r="I83" s="161">
        <f t="shared" si="6"/>
        <v>0</v>
      </c>
      <c r="J83" s="42">
        <f t="shared" si="7"/>
        <v>0</v>
      </c>
      <c r="K83" s="5"/>
      <c r="L83" s="10"/>
      <c r="M83" s="11"/>
      <c r="R83" s="11"/>
    </row>
    <row r="84" spans="1:18" x14ac:dyDescent="0.25">
      <c r="A84" s="38">
        <f>Données!A84</f>
        <v>5535</v>
      </c>
      <c r="B84" s="144" t="str">
        <f>Données!B84</f>
        <v>Saint-Barthélemy</v>
      </c>
      <c r="C84" s="272">
        <f>VPI!R84</f>
        <v>25492.320666666663</v>
      </c>
      <c r="D84" s="414">
        <f>+Données!AP84</f>
        <v>15.540085485980855</v>
      </c>
      <c r="E84" s="320">
        <f>VPI!Q84</f>
        <v>75</v>
      </c>
      <c r="F84" s="179">
        <f t="shared" si="4"/>
        <v>59.459914514019147</v>
      </c>
      <c r="G84" s="176">
        <f>Effort!I84+Aide!I84/Taux!C84+Effort!K84/Taux!C84</f>
        <v>16.024059520429773</v>
      </c>
      <c r="H84" s="82">
        <f t="shared" si="5"/>
        <v>75.48397403444892</v>
      </c>
      <c r="I84" s="161">
        <f t="shared" si="6"/>
        <v>0</v>
      </c>
      <c r="J84" s="42">
        <f t="shared" si="7"/>
        <v>0</v>
      </c>
      <c r="K84" s="5"/>
      <c r="L84" s="10"/>
      <c r="M84" s="11"/>
      <c r="R84" s="11"/>
    </row>
    <row r="85" spans="1:18" x14ac:dyDescent="0.25">
      <c r="A85" s="38">
        <f>Données!A85</f>
        <v>5537</v>
      </c>
      <c r="B85" s="144" t="str">
        <f>Données!B85</f>
        <v>Villars-le-Terroir</v>
      </c>
      <c r="C85" s="272">
        <f>VPI!R85</f>
        <v>39162.025657894737</v>
      </c>
      <c r="D85" s="414">
        <f>+Données!AP85</f>
        <v>15.468014157073879</v>
      </c>
      <c r="E85" s="320">
        <f>VPI!Q85</f>
        <v>76</v>
      </c>
      <c r="F85" s="179">
        <f t="shared" si="4"/>
        <v>60.531985842926119</v>
      </c>
      <c r="G85" s="176">
        <f>Effort!I85+Aide!I85/Taux!C85+Effort!K85/Taux!C85</f>
        <v>10.061589159867847</v>
      </c>
      <c r="H85" s="82">
        <f t="shared" si="5"/>
        <v>70.593575002793969</v>
      </c>
      <c r="I85" s="161">
        <f t="shared" si="6"/>
        <v>0</v>
      </c>
      <c r="J85" s="42">
        <f t="shared" si="7"/>
        <v>0</v>
      </c>
      <c r="K85" s="5"/>
      <c r="L85" s="10"/>
      <c r="M85" s="11"/>
      <c r="R85" s="11"/>
    </row>
    <row r="86" spans="1:18" x14ac:dyDescent="0.25">
      <c r="A86" s="38">
        <f>Données!A86</f>
        <v>5539</v>
      </c>
      <c r="B86" s="144" t="str">
        <f>Données!B86</f>
        <v>Vuarrens</v>
      </c>
      <c r="C86" s="272">
        <f>VPI!R86</f>
        <v>34442.298537414965</v>
      </c>
      <c r="D86" s="414">
        <f>+Données!AP86</f>
        <v>15.969808683365631</v>
      </c>
      <c r="E86" s="320">
        <f>VPI!Q86</f>
        <v>73.5</v>
      </c>
      <c r="F86" s="179">
        <f t="shared" si="4"/>
        <v>57.530191316634372</v>
      </c>
      <c r="G86" s="176">
        <f>Effort!I86+Aide!I86/Taux!C86+Effort!K86/Taux!C86</f>
        <v>15.102612024098583</v>
      </c>
      <c r="H86" s="82">
        <f t="shared" si="5"/>
        <v>72.632803340732949</v>
      </c>
      <c r="I86" s="161">
        <f t="shared" si="6"/>
        <v>0</v>
      </c>
      <c r="J86" s="42">
        <f t="shared" si="7"/>
        <v>0</v>
      </c>
      <c r="K86" s="5"/>
      <c r="L86" s="10"/>
      <c r="M86" s="11"/>
      <c r="R86" s="11"/>
    </row>
    <row r="87" spans="1:18" x14ac:dyDescent="0.25">
      <c r="A87" s="38">
        <f>Données!A87</f>
        <v>5540</v>
      </c>
      <c r="B87" s="144" t="str">
        <f>Données!B87</f>
        <v>Montilliez</v>
      </c>
      <c r="C87" s="272">
        <f>VPI!R87</f>
        <v>67462.536103448278</v>
      </c>
      <c r="D87" s="414">
        <f>+Données!AP87</f>
        <v>15.960100687194908</v>
      </c>
      <c r="E87" s="320">
        <f>VPI!Q87</f>
        <v>72.5</v>
      </c>
      <c r="F87" s="179">
        <f t="shared" si="4"/>
        <v>56.53989931280509</v>
      </c>
      <c r="G87" s="176">
        <f>Effort!I87+Aide!I87/Taux!C87+Effort!K87/Taux!C87</f>
        <v>16.571738498870229</v>
      </c>
      <c r="H87" s="82">
        <f t="shared" si="5"/>
        <v>73.111637811675322</v>
      </c>
      <c r="I87" s="161">
        <f t="shared" si="6"/>
        <v>0</v>
      </c>
      <c r="J87" s="42">
        <f t="shared" si="7"/>
        <v>0</v>
      </c>
      <c r="K87" s="5"/>
      <c r="L87" s="10"/>
      <c r="M87" s="11"/>
      <c r="R87" s="11"/>
    </row>
    <row r="88" spans="1:18" x14ac:dyDescent="0.25">
      <c r="A88" s="38">
        <f>Données!A88</f>
        <v>5541</v>
      </c>
      <c r="B88" s="144" t="str">
        <f>Données!B88</f>
        <v>Goumoëns</v>
      </c>
      <c r="C88" s="272">
        <f>VPI!R88</f>
        <v>41725.831258278151</v>
      </c>
      <c r="D88" s="414">
        <f>+Données!AP88</f>
        <v>19.334034908731418</v>
      </c>
      <c r="E88" s="320">
        <f>VPI!Q88</f>
        <v>75.5</v>
      </c>
      <c r="F88" s="179">
        <f t="shared" si="4"/>
        <v>56.165965091268582</v>
      </c>
      <c r="G88" s="176">
        <f>Effort!I88+Aide!I88/Taux!C88+Effort!K88/Taux!C88</f>
        <v>19.215953742375319</v>
      </c>
      <c r="H88" s="82">
        <f t="shared" si="5"/>
        <v>75.381918833643908</v>
      </c>
      <c r="I88" s="161">
        <f t="shared" si="6"/>
        <v>0</v>
      </c>
      <c r="J88" s="42">
        <f t="shared" si="7"/>
        <v>0</v>
      </c>
      <c r="K88" s="5"/>
      <c r="L88" s="10"/>
      <c r="M88" s="11"/>
      <c r="R88" s="11"/>
    </row>
    <row r="89" spans="1:18" x14ac:dyDescent="0.25">
      <c r="A89" s="38">
        <f>Données!A89</f>
        <v>5551</v>
      </c>
      <c r="B89" s="144" t="str">
        <f>Données!B89</f>
        <v>Bonvillars</v>
      </c>
      <c r="C89" s="272">
        <f>VPI!R89</f>
        <v>18574.407321428567</v>
      </c>
      <c r="D89" s="414">
        <f>+Données!AP89</f>
        <v>25.845669513302116</v>
      </c>
      <c r="E89" s="320">
        <f>VPI!Q89</f>
        <v>56</v>
      </c>
      <c r="F89" s="179">
        <f t="shared" si="4"/>
        <v>30.154330486697884</v>
      </c>
      <c r="G89" s="176">
        <f>Effort!I89+Aide!I89/Taux!C89+Effort!K89/Taux!C89</f>
        <v>18.676212970295083</v>
      </c>
      <c r="H89" s="82">
        <f t="shared" si="5"/>
        <v>48.83054345699297</v>
      </c>
      <c r="I89" s="161">
        <f t="shared" si="6"/>
        <v>0</v>
      </c>
      <c r="J89" s="42">
        <f t="shared" si="7"/>
        <v>0</v>
      </c>
      <c r="K89" s="5"/>
      <c r="L89" s="10"/>
      <c r="M89" s="11"/>
      <c r="R89" s="11"/>
    </row>
    <row r="90" spans="1:18" x14ac:dyDescent="0.25">
      <c r="A90" s="38">
        <f>Données!A90</f>
        <v>5552</v>
      </c>
      <c r="B90" s="144" t="str">
        <f>Données!B90</f>
        <v>Bullet</v>
      </c>
      <c r="C90" s="272">
        <f>VPI!R90</f>
        <v>19038.467972027971</v>
      </c>
      <c r="D90" s="414">
        <f>+Données!AP90</f>
        <v>15.256030906935671</v>
      </c>
      <c r="E90" s="320">
        <f>VPI!Q90</f>
        <v>71.5</v>
      </c>
      <c r="F90" s="179">
        <f t="shared" si="4"/>
        <v>56.243969093064329</v>
      </c>
      <c r="G90" s="176">
        <f>Effort!I90+Aide!I90/Taux!C90+Effort!K90/Taux!C90</f>
        <v>-1.8285707648587355</v>
      </c>
      <c r="H90" s="82">
        <f t="shared" si="5"/>
        <v>54.415398328205598</v>
      </c>
      <c r="I90" s="161">
        <f t="shared" si="6"/>
        <v>0</v>
      </c>
      <c r="J90" s="42">
        <f t="shared" si="7"/>
        <v>0</v>
      </c>
      <c r="K90" s="5"/>
      <c r="L90" s="10"/>
      <c r="M90" s="11"/>
      <c r="R90" s="11"/>
    </row>
    <row r="91" spans="1:18" x14ac:dyDescent="0.25">
      <c r="A91" s="38">
        <f>Données!A91</f>
        <v>5553</v>
      </c>
      <c r="B91" s="144" t="str">
        <f>Données!B91</f>
        <v>Champagne</v>
      </c>
      <c r="C91" s="272">
        <f>VPI!R91</f>
        <v>38261.021999999997</v>
      </c>
      <c r="D91" s="414">
        <f>+Données!AP91</f>
        <v>22.965020956238565</v>
      </c>
      <c r="E91" s="320">
        <f>VPI!Q91</f>
        <v>65</v>
      </c>
      <c r="F91" s="179">
        <f t="shared" si="4"/>
        <v>42.034979043761439</v>
      </c>
      <c r="G91" s="176">
        <f>Effort!I91+Aide!I91/Taux!C91+Effort!K91/Taux!C91</f>
        <v>14.555260119453315</v>
      </c>
      <c r="H91" s="82">
        <f t="shared" si="5"/>
        <v>56.590239163214754</v>
      </c>
      <c r="I91" s="161">
        <f t="shared" si="6"/>
        <v>0</v>
      </c>
      <c r="J91" s="42">
        <f t="shared" si="7"/>
        <v>0</v>
      </c>
      <c r="K91" s="5"/>
      <c r="L91" s="10"/>
      <c r="M91" s="11"/>
      <c r="R91" s="11"/>
    </row>
    <row r="92" spans="1:18" x14ac:dyDescent="0.25">
      <c r="A92" s="38">
        <f>Données!A92</f>
        <v>5554</v>
      </c>
      <c r="B92" s="144" t="str">
        <f>Données!B92</f>
        <v>Concise</v>
      </c>
      <c r="C92" s="272">
        <f>VPI!R92</f>
        <v>33906.908000000003</v>
      </c>
      <c r="D92" s="414">
        <f>+Données!AP92</f>
        <v>15.97249159173202</v>
      </c>
      <c r="E92" s="320">
        <f>VPI!Q92</f>
        <v>75</v>
      </c>
      <c r="F92" s="179">
        <f t="shared" si="4"/>
        <v>59.027508408267977</v>
      </c>
      <c r="G92" s="176">
        <f>Effort!I92+Aide!I92/Taux!C92+Effort!K92/Taux!C92</f>
        <v>12.940186480204773</v>
      </c>
      <c r="H92" s="82">
        <f t="shared" si="5"/>
        <v>71.967694888472749</v>
      </c>
      <c r="I92" s="161">
        <f t="shared" si="6"/>
        <v>0</v>
      </c>
      <c r="J92" s="42">
        <f t="shared" si="7"/>
        <v>0</v>
      </c>
      <c r="K92" s="5"/>
      <c r="L92" s="10"/>
      <c r="M92" s="11"/>
      <c r="R92" s="11"/>
    </row>
    <row r="93" spans="1:18" x14ac:dyDescent="0.25">
      <c r="A93" s="38">
        <f>Données!A93</f>
        <v>5555</v>
      </c>
      <c r="B93" s="144" t="str">
        <f>Données!B93</f>
        <v>Corcelles-près-Concise</v>
      </c>
      <c r="C93" s="272">
        <f>VPI!R93</f>
        <v>13425.133333333333</v>
      </c>
      <c r="D93" s="414">
        <f>+Données!AP93</f>
        <v>19.723551637831662</v>
      </c>
      <c r="E93" s="320">
        <f>VPI!Q93</f>
        <v>69</v>
      </c>
      <c r="F93" s="179">
        <f t="shared" si="4"/>
        <v>49.276448362168338</v>
      </c>
      <c r="G93" s="176">
        <f>Effort!I93+Aide!I93/Taux!C93+Effort!K93/Taux!C93</f>
        <v>6.5007599334447974</v>
      </c>
      <c r="H93" s="82">
        <f t="shared" si="5"/>
        <v>55.777208295613136</v>
      </c>
      <c r="I93" s="161">
        <f t="shared" si="6"/>
        <v>0</v>
      </c>
      <c r="J93" s="42">
        <f t="shared" si="7"/>
        <v>0</v>
      </c>
      <c r="K93" s="5"/>
      <c r="L93" s="10"/>
      <c r="M93" s="11"/>
      <c r="R93" s="11"/>
    </row>
    <row r="94" spans="1:18" x14ac:dyDescent="0.25">
      <c r="A94" s="38">
        <f>Données!A94</f>
        <v>5556</v>
      </c>
      <c r="B94" s="144" t="str">
        <f>Données!B94</f>
        <v>Fiez</v>
      </c>
      <c r="C94" s="272">
        <f>VPI!R94</f>
        <v>13304.178019323672</v>
      </c>
      <c r="D94" s="414">
        <f>+Données!AP94</f>
        <v>19.433713928335209</v>
      </c>
      <c r="E94" s="320">
        <f>VPI!Q94</f>
        <v>69</v>
      </c>
      <c r="F94" s="179">
        <f t="shared" si="4"/>
        <v>49.566286071664791</v>
      </c>
      <c r="G94" s="176">
        <f>Effort!I94+Aide!I94/Taux!C94+Effort!K94/Taux!C94</f>
        <v>10.440100733142501</v>
      </c>
      <c r="H94" s="82">
        <f t="shared" si="5"/>
        <v>60.006386804807292</v>
      </c>
      <c r="I94" s="161">
        <f t="shared" si="6"/>
        <v>0</v>
      </c>
      <c r="J94" s="42">
        <f t="shared" si="7"/>
        <v>0</v>
      </c>
      <c r="K94" s="5"/>
      <c r="L94" s="10"/>
      <c r="M94" s="11"/>
      <c r="R94" s="11"/>
    </row>
    <row r="95" spans="1:18" x14ac:dyDescent="0.25">
      <c r="A95" s="38">
        <f>Données!A95</f>
        <v>5557</v>
      </c>
      <c r="B95" s="144" t="str">
        <f>Données!B95</f>
        <v>Fontaines-sur-Grandson</v>
      </c>
      <c r="C95" s="272">
        <f>VPI!R95</f>
        <v>5098.6839130434782</v>
      </c>
      <c r="D95" s="414">
        <f>+Données!AP95</f>
        <v>-3.096722332581801</v>
      </c>
      <c r="E95" s="320">
        <f>VPI!Q95</f>
        <v>69</v>
      </c>
      <c r="F95" s="179">
        <f t="shared" si="4"/>
        <v>72.096722332581805</v>
      </c>
      <c r="G95" s="176">
        <f>Effort!I95+Aide!I95/Taux!C95+Effort!K95/Taux!C95</f>
        <v>-2.000174518228981</v>
      </c>
      <c r="H95" s="82">
        <f t="shared" si="5"/>
        <v>70.096547814352817</v>
      </c>
      <c r="I95" s="161">
        <f t="shared" si="6"/>
        <v>0</v>
      </c>
      <c r="J95" s="42">
        <f t="shared" si="7"/>
        <v>0</v>
      </c>
      <c r="K95" s="5"/>
      <c r="L95" s="10"/>
      <c r="M95" s="11"/>
      <c r="R95" s="11"/>
    </row>
    <row r="96" spans="1:18" x14ac:dyDescent="0.25">
      <c r="A96" s="38">
        <f>Données!A96</f>
        <v>5559</v>
      </c>
      <c r="B96" s="144" t="str">
        <f>Données!B96</f>
        <v>Giez</v>
      </c>
      <c r="C96" s="272">
        <f>VPI!R96</f>
        <v>21009.564242424243</v>
      </c>
      <c r="D96" s="414">
        <f>+Données!AP96</f>
        <v>30.770858616964325</v>
      </c>
      <c r="E96" s="320">
        <f>VPI!Q96</f>
        <v>66</v>
      </c>
      <c r="F96" s="179">
        <f t="shared" si="4"/>
        <v>35.229141383035675</v>
      </c>
      <c r="G96" s="176">
        <f>Effort!I96+Aide!I96/Taux!C96+Effort!K96/Taux!C96</f>
        <v>27.952354615347996</v>
      </c>
      <c r="H96" s="82">
        <f t="shared" si="5"/>
        <v>63.181495998383667</v>
      </c>
      <c r="I96" s="161">
        <f t="shared" si="6"/>
        <v>0</v>
      </c>
      <c r="J96" s="42">
        <f t="shared" si="7"/>
        <v>0</v>
      </c>
      <c r="K96" s="5"/>
      <c r="L96" s="10"/>
      <c r="M96" s="11"/>
      <c r="R96" s="11"/>
    </row>
    <row r="97" spans="1:18" x14ac:dyDescent="0.25">
      <c r="A97" s="38">
        <f>Données!A97</f>
        <v>5560</v>
      </c>
      <c r="B97" s="144" t="str">
        <f>Données!B97</f>
        <v>Grandevent</v>
      </c>
      <c r="C97" s="272">
        <f>VPI!R97</f>
        <v>8996.1019718309853</v>
      </c>
      <c r="D97" s="414">
        <f>+Données!AP97</f>
        <v>15.971893970498545</v>
      </c>
      <c r="E97" s="320">
        <f>VPI!Q97</f>
        <v>71</v>
      </c>
      <c r="F97" s="179">
        <f t="shared" si="4"/>
        <v>55.028106029501458</v>
      </c>
      <c r="G97" s="176">
        <f>Effort!I97+Aide!I97/Taux!C97+Effort!K97/Taux!C97</f>
        <v>22.618018884901112</v>
      </c>
      <c r="H97" s="82">
        <f t="shared" si="5"/>
        <v>77.646124914402577</v>
      </c>
      <c r="I97" s="161">
        <f t="shared" si="6"/>
        <v>0</v>
      </c>
      <c r="J97" s="42">
        <f t="shared" si="7"/>
        <v>0</v>
      </c>
      <c r="K97" s="5"/>
      <c r="L97" s="10"/>
      <c r="M97" s="11"/>
      <c r="R97" s="11"/>
    </row>
    <row r="98" spans="1:18" x14ac:dyDescent="0.25">
      <c r="A98" s="38">
        <f>Données!A98</f>
        <v>5561</v>
      </c>
      <c r="B98" s="144" t="str">
        <f>Données!B98</f>
        <v>Grandson</v>
      </c>
      <c r="C98" s="272">
        <f>VPI!R98</f>
        <v>132373.10913043478</v>
      </c>
      <c r="D98" s="414">
        <f>+Données!AP98</f>
        <v>15.105905372896654</v>
      </c>
      <c r="E98" s="320">
        <f>VPI!Q98</f>
        <v>69</v>
      </c>
      <c r="F98" s="179">
        <f t="shared" si="4"/>
        <v>53.894094627103343</v>
      </c>
      <c r="G98" s="176">
        <f>Effort!I98+Aide!I98/Taux!C98+Effort!K98/Taux!C98</f>
        <v>12.879979792142311</v>
      </c>
      <c r="H98" s="82">
        <f t="shared" si="5"/>
        <v>66.77407441924565</v>
      </c>
      <c r="I98" s="161">
        <f t="shared" si="6"/>
        <v>0</v>
      </c>
      <c r="J98" s="42">
        <f t="shared" si="7"/>
        <v>0</v>
      </c>
      <c r="K98" s="5"/>
      <c r="L98" s="10"/>
      <c r="M98" s="11"/>
      <c r="R98" s="11"/>
    </row>
    <row r="99" spans="1:18" x14ac:dyDescent="0.25">
      <c r="A99" s="38">
        <f>Données!A99</f>
        <v>5562</v>
      </c>
      <c r="B99" s="144" t="str">
        <f>Données!B99</f>
        <v>Mauborget</v>
      </c>
      <c r="C99" s="272">
        <f>VPI!R99</f>
        <v>4559.8122619047608</v>
      </c>
      <c r="D99" s="414">
        <f>+Données!AP99</f>
        <v>27.576873466941411</v>
      </c>
      <c r="E99" s="320">
        <f>VPI!Q99</f>
        <v>70</v>
      </c>
      <c r="F99" s="179">
        <f t="shared" si="4"/>
        <v>42.423126533058593</v>
      </c>
      <c r="G99" s="176">
        <f>Effort!I99+Aide!I99/Taux!C99+Effort!K99/Taux!C99</f>
        <v>17.026322320984278</v>
      </c>
      <c r="H99" s="82">
        <f t="shared" si="5"/>
        <v>59.44944885404287</v>
      </c>
      <c r="I99" s="161">
        <f t="shared" si="6"/>
        <v>0</v>
      </c>
      <c r="J99" s="42">
        <f t="shared" si="7"/>
        <v>0</v>
      </c>
      <c r="K99" s="5"/>
      <c r="L99" s="10"/>
      <c r="M99" s="11"/>
      <c r="R99" s="11"/>
    </row>
    <row r="100" spans="1:18" x14ac:dyDescent="0.25">
      <c r="A100" s="38">
        <f>Données!A100</f>
        <v>5563</v>
      </c>
      <c r="B100" s="144" t="str">
        <f>Données!B100</f>
        <v>Mutrux</v>
      </c>
      <c r="C100" s="272">
        <f>VPI!R100</f>
        <v>2282.0827499999996</v>
      </c>
      <c r="D100" s="414">
        <f>+Données!AP100</f>
        <v>9.7781763441785579</v>
      </c>
      <c r="E100" s="320">
        <f>VPI!Q100</f>
        <v>80</v>
      </c>
      <c r="F100" s="179">
        <f t="shared" si="4"/>
        <v>70.221823655821439</v>
      </c>
      <c r="G100" s="176">
        <f>Effort!I100+Aide!I100/Taux!C100+Effort!K100/Taux!C100</f>
        <v>-43.203931600600974</v>
      </c>
      <c r="H100" s="82">
        <f t="shared" si="5"/>
        <v>27.017892055220464</v>
      </c>
      <c r="I100" s="161">
        <f t="shared" si="6"/>
        <v>0</v>
      </c>
      <c r="J100" s="42">
        <f t="shared" si="7"/>
        <v>0</v>
      </c>
      <c r="K100" s="5"/>
      <c r="L100" s="10"/>
      <c r="M100" s="11"/>
      <c r="R100" s="11"/>
    </row>
    <row r="101" spans="1:18" x14ac:dyDescent="0.25">
      <c r="A101" s="38">
        <f>Données!A101</f>
        <v>5564</v>
      </c>
      <c r="B101" s="144" t="str">
        <f>Données!B101</f>
        <v>Novalles</v>
      </c>
      <c r="C101" s="272">
        <f>VPI!R101</f>
        <v>2548.8721381578953</v>
      </c>
      <c r="D101" s="414">
        <f>+Données!AP101</f>
        <v>-5.5401650845991011</v>
      </c>
      <c r="E101" s="320">
        <f>VPI!Q101</f>
        <v>76</v>
      </c>
      <c r="F101" s="179">
        <f t="shared" si="4"/>
        <v>81.540165084599096</v>
      </c>
      <c r="G101" s="176">
        <f>Effort!I101+Aide!I101/Taux!C101+Effort!K101/Taux!C101</f>
        <v>-6.3585662072326272</v>
      </c>
      <c r="H101" s="82">
        <f t="shared" si="5"/>
        <v>75.181598877366469</v>
      </c>
      <c r="I101" s="161">
        <f t="shared" si="6"/>
        <v>0</v>
      </c>
      <c r="J101" s="42">
        <f t="shared" si="7"/>
        <v>0</v>
      </c>
      <c r="K101" s="5"/>
      <c r="L101" s="10"/>
      <c r="M101" s="11"/>
      <c r="R101" s="11"/>
    </row>
    <row r="102" spans="1:18" x14ac:dyDescent="0.25">
      <c r="A102" s="38">
        <f>Données!A102</f>
        <v>5565</v>
      </c>
      <c r="B102" s="144" t="str">
        <f>Données!B102</f>
        <v>Onnens</v>
      </c>
      <c r="C102" s="272">
        <f>VPI!R102</f>
        <v>19043.042992125989</v>
      </c>
      <c r="D102" s="414">
        <f>+Données!AP102</f>
        <v>28.418997501182417</v>
      </c>
      <c r="E102" s="320">
        <f>VPI!Q102</f>
        <v>63.5</v>
      </c>
      <c r="F102" s="179">
        <f t="shared" si="4"/>
        <v>35.081002498817583</v>
      </c>
      <c r="G102" s="176">
        <f>Effort!I102+Aide!I102/Taux!C102+Effort!K102/Taux!C102</f>
        <v>20.113868763924895</v>
      </c>
      <c r="H102" s="82">
        <f t="shared" si="5"/>
        <v>55.194871262742481</v>
      </c>
      <c r="I102" s="161">
        <f t="shared" si="6"/>
        <v>0</v>
      </c>
      <c r="J102" s="42">
        <f t="shared" si="7"/>
        <v>0</v>
      </c>
      <c r="K102" s="5"/>
      <c r="L102" s="10"/>
      <c r="M102" s="11"/>
      <c r="R102" s="11"/>
    </row>
    <row r="103" spans="1:18" x14ac:dyDescent="0.25">
      <c r="A103" s="38">
        <f>Données!A103</f>
        <v>5566</v>
      </c>
      <c r="B103" s="144" t="str">
        <f>Données!B103</f>
        <v>Provence</v>
      </c>
      <c r="C103" s="272">
        <f>VPI!R103</f>
        <v>8528.7641152263368</v>
      </c>
      <c r="D103" s="414">
        <f>+Données!AP103</f>
        <v>-1.3530329440455517</v>
      </c>
      <c r="E103" s="320">
        <f>VPI!Q103</f>
        <v>81</v>
      </c>
      <c r="F103" s="179">
        <f t="shared" si="4"/>
        <v>82.353032944045552</v>
      </c>
      <c r="G103" s="176">
        <f>Effort!I103+Aide!I103/Taux!C103+Effort!K103/Taux!C103</f>
        <v>-45.560600397774834</v>
      </c>
      <c r="H103" s="82">
        <f t="shared" si="5"/>
        <v>36.792432546270717</v>
      </c>
      <c r="I103" s="161">
        <f t="shared" si="6"/>
        <v>0</v>
      </c>
      <c r="J103" s="42">
        <f t="shared" si="7"/>
        <v>0</v>
      </c>
      <c r="K103" s="5"/>
      <c r="L103" s="10"/>
      <c r="M103" s="11"/>
      <c r="R103" s="11"/>
    </row>
    <row r="104" spans="1:18" x14ac:dyDescent="0.25">
      <c r="A104" s="38">
        <f>Données!A104</f>
        <v>5568</v>
      </c>
      <c r="B104" s="144" t="str">
        <f>Données!B104</f>
        <v>Sainte-Croix</v>
      </c>
      <c r="C104" s="272">
        <f>VPI!R104</f>
        <v>106003.06099999999</v>
      </c>
      <c r="D104" s="414">
        <f>+Données!AP104</f>
        <v>-7.9960052261333896</v>
      </c>
      <c r="E104" s="320">
        <f>VPI!Q104</f>
        <v>70</v>
      </c>
      <c r="F104" s="179">
        <f t="shared" si="4"/>
        <v>77.996005226133391</v>
      </c>
      <c r="G104" s="176">
        <f>Effort!I104+Aide!I104/Taux!C104+Effort!K104/Taux!C104</f>
        <v>-26.203881533902919</v>
      </c>
      <c r="H104" s="82">
        <f t="shared" si="5"/>
        <v>51.792123692230476</v>
      </c>
      <c r="I104" s="161">
        <f t="shared" si="6"/>
        <v>0</v>
      </c>
      <c r="J104" s="42">
        <f t="shared" si="7"/>
        <v>0</v>
      </c>
      <c r="K104" s="5"/>
      <c r="L104" s="10"/>
      <c r="M104" s="11"/>
      <c r="R104" s="11"/>
    </row>
    <row r="105" spans="1:18" x14ac:dyDescent="0.25">
      <c r="A105" s="38">
        <f>Données!A105</f>
        <v>5571</v>
      </c>
      <c r="B105" s="144" t="str">
        <f>Données!B105</f>
        <v>Tévenon</v>
      </c>
      <c r="C105" s="272">
        <f>VPI!R105</f>
        <v>25906.923962703961</v>
      </c>
      <c r="D105" s="414">
        <f>+Données!AP105</f>
        <v>13.766780994756015</v>
      </c>
      <c r="E105" s="320">
        <f>VPI!Q105</f>
        <v>71.5</v>
      </c>
      <c r="F105" s="179">
        <f t="shared" si="4"/>
        <v>57.733219005243981</v>
      </c>
      <c r="G105" s="176">
        <f>Effort!I105+Aide!I105/Taux!C105+Effort!K105/Taux!C105</f>
        <v>8.5432621541881879</v>
      </c>
      <c r="H105" s="82">
        <f t="shared" si="5"/>
        <v>66.276481159432166</v>
      </c>
      <c r="I105" s="161">
        <f t="shared" si="6"/>
        <v>0</v>
      </c>
      <c r="J105" s="42">
        <f t="shared" si="7"/>
        <v>0</v>
      </c>
      <c r="K105" s="5"/>
      <c r="L105" s="10"/>
      <c r="M105" s="11"/>
      <c r="R105" s="11"/>
    </row>
    <row r="106" spans="1:18" x14ac:dyDescent="0.25">
      <c r="A106" s="38">
        <f>Données!A106</f>
        <v>5581</v>
      </c>
      <c r="B106" s="144" t="str">
        <f>Données!B106</f>
        <v>Belmont-sur-Lausanne</v>
      </c>
      <c r="C106" s="272">
        <f>VPI!R106</f>
        <v>233667.07055555552</v>
      </c>
      <c r="D106" s="414">
        <f>+Données!AP106</f>
        <v>27.932684084762599</v>
      </c>
      <c r="E106" s="320">
        <f>VPI!Q106</f>
        <v>72</v>
      </c>
      <c r="F106" s="179">
        <f t="shared" si="4"/>
        <v>44.067315915237401</v>
      </c>
      <c r="G106" s="176">
        <f>Effort!I106+Aide!I106/Taux!C106+Effort!K106/Taux!C106</f>
        <v>25.431920406014228</v>
      </c>
      <c r="H106" s="82">
        <f t="shared" si="5"/>
        <v>69.49923632125163</v>
      </c>
      <c r="I106" s="161">
        <f t="shared" si="6"/>
        <v>0</v>
      </c>
      <c r="J106" s="42">
        <f t="shared" si="7"/>
        <v>0</v>
      </c>
      <c r="K106" s="5"/>
      <c r="L106" s="10"/>
      <c r="M106" s="11"/>
      <c r="R106" s="11"/>
    </row>
    <row r="107" spans="1:18" x14ac:dyDescent="0.25">
      <c r="A107" s="38">
        <f>Données!A107</f>
        <v>5582</v>
      </c>
      <c r="B107" s="144" t="str">
        <f>Données!B107</f>
        <v>Cheseaux-sur-Lausanne</v>
      </c>
      <c r="C107" s="272">
        <f>VPI!R107</f>
        <v>170421.56630136984</v>
      </c>
      <c r="D107" s="414">
        <f>+Données!AP107</f>
        <v>16.608188867877562</v>
      </c>
      <c r="E107" s="320">
        <f>VPI!Q107</f>
        <v>73</v>
      </c>
      <c r="F107" s="179">
        <f t="shared" si="4"/>
        <v>56.391811132122442</v>
      </c>
      <c r="G107" s="176">
        <f>Effort!I107+Aide!I107/Taux!C107+Effort!K107/Taux!C107</f>
        <v>13.753860127093976</v>
      </c>
      <c r="H107" s="82">
        <f t="shared" si="5"/>
        <v>70.145671259216414</v>
      </c>
      <c r="I107" s="161">
        <f t="shared" si="6"/>
        <v>0</v>
      </c>
      <c r="J107" s="42">
        <f t="shared" si="7"/>
        <v>0</v>
      </c>
      <c r="K107" s="5"/>
      <c r="L107" s="10"/>
      <c r="M107" s="11"/>
      <c r="R107" s="11"/>
    </row>
    <row r="108" spans="1:18" x14ac:dyDescent="0.25">
      <c r="A108" s="38">
        <f>Données!A108</f>
        <v>5583</v>
      </c>
      <c r="B108" s="144" t="str">
        <f>Données!B108</f>
        <v>Crissier</v>
      </c>
      <c r="C108" s="272">
        <f>VPI!R108</f>
        <v>340450.32850393705</v>
      </c>
      <c r="D108" s="414">
        <f>+Données!AP108</f>
        <v>14.663124188962929</v>
      </c>
      <c r="E108" s="320">
        <f>VPI!Q108</f>
        <v>63.5</v>
      </c>
      <c r="F108" s="179">
        <f t="shared" si="4"/>
        <v>48.836875811037075</v>
      </c>
      <c r="G108" s="176">
        <f>Effort!I108+Aide!I108/Taux!C108+Effort!K108/Taux!C108</f>
        <v>3.7147601323465906</v>
      </c>
      <c r="H108" s="82">
        <f t="shared" si="5"/>
        <v>52.551635943383666</v>
      </c>
      <c r="I108" s="161">
        <f t="shared" si="6"/>
        <v>0</v>
      </c>
      <c r="J108" s="42">
        <f t="shared" si="7"/>
        <v>0</v>
      </c>
      <c r="K108" s="5"/>
      <c r="L108" s="10"/>
      <c r="M108" s="11"/>
      <c r="R108" s="11"/>
    </row>
    <row r="109" spans="1:18" x14ac:dyDescent="0.25">
      <c r="A109" s="38">
        <f>Données!A109</f>
        <v>5584</v>
      </c>
      <c r="B109" s="144" t="str">
        <f>Données!B109</f>
        <v>Epalinges</v>
      </c>
      <c r="C109" s="272">
        <f>VPI!R109</f>
        <v>489743.06325581396</v>
      </c>
      <c r="D109" s="414">
        <f>+Données!AP109</f>
        <v>23.310300535342062</v>
      </c>
      <c r="E109" s="320">
        <f>VPI!Q109</f>
        <v>64.5</v>
      </c>
      <c r="F109" s="179">
        <f t="shared" si="4"/>
        <v>41.189699464657934</v>
      </c>
      <c r="G109" s="176">
        <f>Effort!I109+Aide!I109/Taux!C109+Effort!K109/Taux!C109</f>
        <v>13.146078182987315</v>
      </c>
      <c r="H109" s="82">
        <f t="shared" si="5"/>
        <v>54.335777647645251</v>
      </c>
      <c r="I109" s="161">
        <f t="shared" si="6"/>
        <v>0</v>
      </c>
      <c r="J109" s="42">
        <f t="shared" si="7"/>
        <v>0</v>
      </c>
      <c r="K109" s="5"/>
      <c r="L109" s="10"/>
      <c r="M109" s="11"/>
      <c r="R109" s="11"/>
    </row>
    <row r="110" spans="1:18" x14ac:dyDescent="0.25">
      <c r="A110" s="38">
        <f>Données!A110</f>
        <v>5585</v>
      </c>
      <c r="B110" s="144" t="str">
        <f>Données!B110</f>
        <v>Jouxtens-Mézery</v>
      </c>
      <c r="C110" s="272">
        <f>VPI!R110</f>
        <v>210572.62440677959</v>
      </c>
      <c r="D110" s="414">
        <f>+Données!AP110</f>
        <v>45.507625689896074</v>
      </c>
      <c r="E110" s="320">
        <f>VPI!Q110</f>
        <v>59</v>
      </c>
      <c r="F110" s="179">
        <f t="shared" si="4"/>
        <v>13.492374310103926</v>
      </c>
      <c r="G110" s="176">
        <f>Effort!I110+Aide!I110/Taux!C110+Effort!K110/Taux!C110</f>
        <v>46.959952781247736</v>
      </c>
      <c r="H110" s="82">
        <f t="shared" si="5"/>
        <v>60.452327091351663</v>
      </c>
      <c r="I110" s="161">
        <f t="shared" si="6"/>
        <v>0</v>
      </c>
      <c r="J110" s="42">
        <f t="shared" si="7"/>
        <v>0</v>
      </c>
      <c r="K110" s="5"/>
      <c r="L110" s="10"/>
      <c r="M110" s="11"/>
      <c r="R110" s="11"/>
    </row>
    <row r="111" spans="1:18" x14ac:dyDescent="0.25">
      <c r="A111" s="38">
        <f>Données!A111</f>
        <v>5586</v>
      </c>
      <c r="B111" s="144" t="str">
        <f>Données!B111</f>
        <v>Lausanne</v>
      </c>
      <c r="C111" s="272">
        <f>VPI!R111</f>
        <v>6670835.0290021216</v>
      </c>
      <c r="D111" s="414">
        <f>+Données!AP111</f>
        <v>8.1821002943498122</v>
      </c>
      <c r="E111" s="320">
        <f>VPI!Q111</f>
        <v>78.5</v>
      </c>
      <c r="F111" s="179">
        <f t="shared" si="4"/>
        <v>70.317899705650191</v>
      </c>
      <c r="G111" s="176">
        <f>Effort!I111+Aide!I111/Taux!C111+Effort!K111/Taux!C111</f>
        <v>2.0159791603131474</v>
      </c>
      <c r="H111" s="82">
        <f t="shared" si="5"/>
        <v>72.333878865963342</v>
      </c>
      <c r="I111" s="161">
        <f t="shared" si="6"/>
        <v>0</v>
      </c>
      <c r="J111" s="42">
        <f t="shared" si="7"/>
        <v>0</v>
      </c>
      <c r="K111" s="5"/>
      <c r="L111" s="10"/>
      <c r="M111" s="11"/>
      <c r="R111" s="11"/>
    </row>
    <row r="112" spans="1:18" x14ac:dyDescent="0.25">
      <c r="A112" s="38">
        <f>Données!A112</f>
        <v>5587</v>
      </c>
      <c r="B112" s="144" t="str">
        <f>Données!B112</f>
        <v>Le Mont-sur-Lausanne</v>
      </c>
      <c r="C112" s="272">
        <f>VPI!R112</f>
        <v>484022.6825170067</v>
      </c>
      <c r="D112" s="414">
        <f>+Données!AP112</f>
        <v>24.356108746144038</v>
      </c>
      <c r="E112" s="320">
        <f>VPI!Q112</f>
        <v>73.5</v>
      </c>
      <c r="F112" s="179">
        <f t="shared" si="4"/>
        <v>49.143891253855962</v>
      </c>
      <c r="G112" s="176">
        <f>Effort!I112+Aide!I112/Taux!C112+Effort!K112/Taux!C112</f>
        <v>18.651144372481131</v>
      </c>
      <c r="H112" s="82">
        <f t="shared" si="5"/>
        <v>67.795035626337096</v>
      </c>
      <c r="I112" s="161">
        <f t="shared" si="6"/>
        <v>0</v>
      </c>
      <c r="J112" s="42">
        <f t="shared" si="7"/>
        <v>0</v>
      </c>
      <c r="K112" s="5"/>
      <c r="L112" s="10"/>
      <c r="M112" s="11"/>
      <c r="R112" s="11"/>
    </row>
    <row r="113" spans="1:18" x14ac:dyDescent="0.25">
      <c r="A113" s="38">
        <f>Données!A113</f>
        <v>5588</v>
      </c>
      <c r="B113" s="144" t="str">
        <f>Données!B113</f>
        <v>Paudex</v>
      </c>
      <c r="C113" s="272">
        <f>VPI!R113</f>
        <v>137544.82844253487</v>
      </c>
      <c r="D113" s="414">
        <f>+Données!AP113</f>
        <v>39.784399526855516</v>
      </c>
      <c r="E113" s="320">
        <f>VPI!Q113</f>
        <v>66.5</v>
      </c>
      <c r="F113" s="179">
        <f t="shared" si="4"/>
        <v>26.715600473144484</v>
      </c>
      <c r="G113" s="176">
        <f>Effort!I113+Aide!I113/Taux!C113+Effort!K113/Taux!C113</f>
        <v>39.40556060945795</v>
      </c>
      <c r="H113" s="82">
        <f t="shared" si="5"/>
        <v>66.121161082602441</v>
      </c>
      <c r="I113" s="161">
        <f t="shared" si="6"/>
        <v>0</v>
      </c>
      <c r="J113" s="42">
        <f t="shared" si="7"/>
        <v>0</v>
      </c>
      <c r="K113" s="5"/>
      <c r="L113" s="10"/>
      <c r="M113" s="11"/>
      <c r="R113" s="11"/>
    </row>
    <row r="114" spans="1:18" x14ac:dyDescent="0.25">
      <c r="A114" s="38">
        <f>Données!A114</f>
        <v>5589</v>
      </c>
      <c r="B114" s="144" t="str">
        <f>Données!B114</f>
        <v>Prilly</v>
      </c>
      <c r="C114" s="272">
        <f>VPI!R114</f>
        <v>404173.00015915121</v>
      </c>
      <c r="D114" s="414">
        <f>+Données!AP114</f>
        <v>5.8359794166017762</v>
      </c>
      <c r="E114" s="320">
        <f>VPI!Q114</f>
        <v>72.5</v>
      </c>
      <c r="F114" s="179">
        <f t="shared" si="4"/>
        <v>66.664020583398226</v>
      </c>
      <c r="G114" s="176">
        <f>Effort!I114+Aide!I114/Taux!C114+Effort!K114/Taux!C114</f>
        <v>-4.3185067648227893</v>
      </c>
      <c r="H114" s="82">
        <f t="shared" si="5"/>
        <v>62.345513818575441</v>
      </c>
      <c r="I114" s="161">
        <f t="shared" si="6"/>
        <v>0</v>
      </c>
      <c r="J114" s="42">
        <f t="shared" si="7"/>
        <v>0</v>
      </c>
      <c r="K114" s="5"/>
      <c r="L114" s="10"/>
      <c r="M114" s="11"/>
      <c r="R114" s="11"/>
    </row>
    <row r="115" spans="1:18" x14ac:dyDescent="0.25">
      <c r="A115" s="38">
        <f>Données!A115</f>
        <v>5590</v>
      </c>
      <c r="B115" s="144" t="str">
        <f>Données!B115</f>
        <v>Pully</v>
      </c>
      <c r="C115" s="272">
        <f>VPI!R115</f>
        <v>1396409.3683606556</v>
      </c>
      <c r="D115" s="414">
        <f>+Données!AP115</f>
        <v>31.158226784607862</v>
      </c>
      <c r="E115" s="320">
        <f>VPI!Q115</f>
        <v>61</v>
      </c>
      <c r="F115" s="179">
        <f t="shared" si="4"/>
        <v>29.841773215392138</v>
      </c>
      <c r="G115" s="176">
        <f>Effort!I115+Aide!I115/Taux!C115+Effort!K115/Taux!C115</f>
        <v>24.126374402008615</v>
      </c>
      <c r="H115" s="82">
        <f t="shared" si="5"/>
        <v>53.968147617400753</v>
      </c>
      <c r="I115" s="161">
        <f t="shared" si="6"/>
        <v>0</v>
      </c>
      <c r="J115" s="42">
        <f t="shared" si="7"/>
        <v>0</v>
      </c>
      <c r="K115" s="5"/>
      <c r="L115" s="10"/>
      <c r="M115" s="11"/>
      <c r="R115" s="11"/>
    </row>
    <row r="116" spans="1:18" x14ac:dyDescent="0.25">
      <c r="A116" s="38">
        <f>Données!A116</f>
        <v>5591</v>
      </c>
      <c r="B116" s="144" t="str">
        <f>Données!B116</f>
        <v>Renens</v>
      </c>
      <c r="C116" s="272">
        <f>VPI!R116</f>
        <v>592837.71432282007</v>
      </c>
      <c r="D116" s="414">
        <f>+Données!AP116</f>
        <v>-15.009519846428963</v>
      </c>
      <c r="E116" s="320">
        <f>VPI!Q116</f>
        <v>77</v>
      </c>
      <c r="F116" s="179">
        <f t="shared" si="4"/>
        <v>92.009519846428958</v>
      </c>
      <c r="G116" s="176">
        <f>Effort!I116+Aide!I116/Taux!C116+Effort!K116/Taux!C116</f>
        <v>-25.804653718096471</v>
      </c>
      <c r="H116" s="82">
        <f t="shared" si="5"/>
        <v>66.204866128332483</v>
      </c>
      <c r="I116" s="161">
        <f t="shared" si="6"/>
        <v>0</v>
      </c>
      <c r="J116" s="42">
        <f t="shared" si="7"/>
        <v>0</v>
      </c>
      <c r="K116" s="5"/>
      <c r="L116" s="10"/>
      <c r="M116" s="11"/>
      <c r="R116" s="11"/>
    </row>
    <row r="117" spans="1:18" x14ac:dyDescent="0.25">
      <c r="A117" s="38">
        <f>Données!A117</f>
        <v>5592</v>
      </c>
      <c r="B117" s="144" t="str">
        <f>Données!B117</f>
        <v>Romanel-sur-Lausanne</v>
      </c>
      <c r="C117" s="272">
        <f>VPI!R117</f>
        <v>113600.3384397163</v>
      </c>
      <c r="D117" s="414">
        <f>+Données!AP117</f>
        <v>15.366611278736219</v>
      </c>
      <c r="E117" s="320">
        <f>VPI!Q117</f>
        <v>70.5</v>
      </c>
      <c r="F117" s="179">
        <f t="shared" si="4"/>
        <v>55.133388721263785</v>
      </c>
      <c r="G117" s="176">
        <f>Effort!I117+Aide!I117/Taux!C117+Effort!K117/Taux!C117</f>
        <v>5.9986464473311418</v>
      </c>
      <c r="H117" s="82">
        <f t="shared" si="5"/>
        <v>61.132035168594925</v>
      </c>
      <c r="I117" s="161">
        <f t="shared" si="6"/>
        <v>0</v>
      </c>
      <c r="J117" s="42">
        <f t="shared" si="7"/>
        <v>0</v>
      </c>
      <c r="K117" s="5"/>
      <c r="L117" s="10"/>
      <c r="M117" s="11"/>
      <c r="R117" s="11"/>
    </row>
    <row r="118" spans="1:18" x14ac:dyDescent="0.25">
      <c r="A118" s="38">
        <f>Données!A118</f>
        <v>5601</v>
      </c>
      <c r="B118" s="144" t="str">
        <f>Données!B118</f>
        <v>Chexbres</v>
      </c>
      <c r="C118" s="272">
        <f>VPI!R118</f>
        <v>106014.1851851852</v>
      </c>
      <c r="D118" s="414">
        <f>+Données!AP118</f>
        <v>26.416364543284185</v>
      </c>
      <c r="E118" s="320">
        <f>VPI!Q118</f>
        <v>67.5</v>
      </c>
      <c r="F118" s="179">
        <f t="shared" si="4"/>
        <v>41.083635456715811</v>
      </c>
      <c r="G118" s="176">
        <f>Effort!I118+Aide!I118/Taux!C118+Effort!K118/Taux!C118</f>
        <v>23.438458536553327</v>
      </c>
      <c r="H118" s="82">
        <f t="shared" si="5"/>
        <v>64.522093993269138</v>
      </c>
      <c r="I118" s="161">
        <f t="shared" si="6"/>
        <v>0</v>
      </c>
      <c r="J118" s="42">
        <f t="shared" si="7"/>
        <v>0</v>
      </c>
      <c r="K118" s="5"/>
      <c r="L118" s="10"/>
      <c r="M118" s="11"/>
      <c r="R118" s="11"/>
    </row>
    <row r="119" spans="1:18" x14ac:dyDescent="0.25">
      <c r="A119" s="38">
        <f>Données!A119</f>
        <v>5604</v>
      </c>
      <c r="B119" s="144" t="str">
        <f>Données!B119</f>
        <v>Forel (Lavaux)</v>
      </c>
      <c r="C119" s="272">
        <f>VPI!R119</f>
        <v>70958.245217391304</v>
      </c>
      <c r="D119" s="414">
        <f>+Données!AP119</f>
        <v>18.627306258873897</v>
      </c>
      <c r="E119" s="320">
        <f>VPI!Q119</f>
        <v>69</v>
      </c>
      <c r="F119" s="179">
        <f t="shared" si="4"/>
        <v>50.372693741126099</v>
      </c>
      <c r="G119" s="176">
        <f>Effort!I119+Aide!I119/Taux!C119+Effort!K119/Taux!C119</f>
        <v>11.320352360286144</v>
      </c>
      <c r="H119" s="82">
        <f t="shared" si="5"/>
        <v>61.693046101412243</v>
      </c>
      <c r="I119" s="161">
        <f t="shared" si="6"/>
        <v>0</v>
      </c>
      <c r="J119" s="42">
        <f t="shared" si="7"/>
        <v>0</v>
      </c>
      <c r="K119" s="5"/>
      <c r="L119" s="10"/>
      <c r="M119" s="11"/>
      <c r="R119" s="11"/>
    </row>
    <row r="120" spans="1:18" x14ac:dyDescent="0.25">
      <c r="A120" s="38">
        <f>Données!A120</f>
        <v>5606</v>
      </c>
      <c r="B120" s="144" t="str">
        <f>Données!B120</f>
        <v>Lutry</v>
      </c>
      <c r="C120" s="272">
        <f>VPI!R120</f>
        <v>1017485.9645767196</v>
      </c>
      <c r="D120" s="414">
        <f>+Données!AP120</f>
        <v>33.897857822361168</v>
      </c>
      <c r="E120" s="320">
        <f>VPI!Q120</f>
        <v>54</v>
      </c>
      <c r="F120" s="179">
        <f t="shared" si="4"/>
        <v>20.102142177638832</v>
      </c>
      <c r="G120" s="176">
        <f>Effort!I120+Aide!I120/Taux!C120+Effort!K120/Taux!C120</f>
        <v>33.133909738384943</v>
      </c>
      <c r="H120" s="82">
        <f t="shared" si="5"/>
        <v>53.236051916023776</v>
      </c>
      <c r="I120" s="161">
        <f t="shared" si="6"/>
        <v>0</v>
      </c>
      <c r="J120" s="42">
        <f t="shared" si="7"/>
        <v>0</v>
      </c>
      <c r="K120" s="5"/>
      <c r="L120" s="10"/>
      <c r="M120" s="11"/>
      <c r="R120" s="11"/>
    </row>
    <row r="121" spans="1:18" x14ac:dyDescent="0.25">
      <c r="A121" s="38">
        <f>Données!A121</f>
        <v>5607</v>
      </c>
      <c r="B121" s="144" t="str">
        <f>Données!B121</f>
        <v>Puidoux</v>
      </c>
      <c r="C121" s="272">
        <f>VPI!R121</f>
        <v>117488.86391621709</v>
      </c>
      <c r="D121" s="414">
        <f>+Données!AP121</f>
        <v>19.776940166216622</v>
      </c>
      <c r="E121" s="320">
        <f>VPI!Q121</f>
        <v>68.5</v>
      </c>
      <c r="F121" s="179">
        <f t="shared" si="4"/>
        <v>48.723059833783381</v>
      </c>
      <c r="G121" s="176">
        <f>Effort!I121+Aide!I121/Taux!C121+Effort!K121/Taux!C121</f>
        <v>11.657448686886593</v>
      </c>
      <c r="H121" s="82">
        <f t="shared" si="5"/>
        <v>60.380508520669977</v>
      </c>
      <c r="I121" s="161">
        <f t="shared" si="6"/>
        <v>0</v>
      </c>
      <c r="J121" s="42">
        <f t="shared" si="7"/>
        <v>0</v>
      </c>
      <c r="K121" s="5"/>
      <c r="L121" s="10"/>
      <c r="M121" s="11"/>
      <c r="R121" s="11"/>
    </row>
    <row r="122" spans="1:18" x14ac:dyDescent="0.25">
      <c r="A122" s="38">
        <f>Données!A122</f>
        <v>5609</v>
      </c>
      <c r="B122" s="144" t="str">
        <f>Données!B122</f>
        <v>Rivaz</v>
      </c>
      <c r="C122" s="272">
        <f>VPI!R122</f>
        <v>14930.074677419358</v>
      </c>
      <c r="D122" s="414">
        <f>+Données!AP122</f>
        <v>28.107951828011299</v>
      </c>
      <c r="E122" s="320">
        <f>VPI!Q122</f>
        <v>62</v>
      </c>
      <c r="F122" s="179">
        <f t="shared" si="4"/>
        <v>33.892048171988705</v>
      </c>
      <c r="G122" s="176">
        <f>Effort!I122+Aide!I122/Taux!C122+Effort!K122/Taux!C122</f>
        <v>23.198482408562967</v>
      </c>
      <c r="H122" s="82">
        <f t="shared" si="5"/>
        <v>57.090530580551672</v>
      </c>
      <c r="I122" s="161">
        <f t="shared" si="6"/>
        <v>0</v>
      </c>
      <c r="J122" s="42">
        <f t="shared" si="7"/>
        <v>0</v>
      </c>
      <c r="K122" s="5"/>
      <c r="L122" s="10"/>
      <c r="M122" s="11"/>
      <c r="R122" s="11"/>
    </row>
    <row r="123" spans="1:18" x14ac:dyDescent="0.25">
      <c r="A123" s="38">
        <f>Données!A123</f>
        <v>5610</v>
      </c>
      <c r="B123" s="144" t="str">
        <f>Données!B123</f>
        <v>St-Saphorin (Lavaux)</v>
      </c>
      <c r="C123" s="272">
        <f>VPI!R123</f>
        <v>21326.365740740741</v>
      </c>
      <c r="D123" s="414">
        <f>+Données!AP123</f>
        <v>32.744536710849374</v>
      </c>
      <c r="E123" s="320">
        <f>VPI!Q123</f>
        <v>72</v>
      </c>
      <c r="F123" s="179">
        <f t="shared" si="4"/>
        <v>39.255463289150626</v>
      </c>
      <c r="G123" s="176">
        <f>Effort!I123+Aide!I123/Taux!C123+Effort!K123/Taux!C123</f>
        <v>30.698213778740609</v>
      </c>
      <c r="H123" s="82">
        <f t="shared" si="5"/>
        <v>69.953677067891235</v>
      </c>
      <c r="I123" s="161">
        <f t="shared" si="6"/>
        <v>0</v>
      </c>
      <c r="J123" s="42">
        <f t="shared" si="7"/>
        <v>0</v>
      </c>
      <c r="K123" s="5"/>
      <c r="L123" s="10"/>
      <c r="M123" s="11"/>
      <c r="R123" s="11"/>
    </row>
    <row r="124" spans="1:18" x14ac:dyDescent="0.25">
      <c r="A124" s="38">
        <f>Données!A124</f>
        <v>5611</v>
      </c>
      <c r="B124" s="144" t="str">
        <f>Données!B124</f>
        <v>Savigny</v>
      </c>
      <c r="C124" s="272">
        <f>VPI!R124</f>
        <v>139625.83456521737</v>
      </c>
      <c r="D124" s="414">
        <f>+Données!AP124</f>
        <v>21.803384892318874</v>
      </c>
      <c r="E124" s="320">
        <f>VPI!Q124</f>
        <v>69</v>
      </c>
      <c r="F124" s="179">
        <f t="shared" si="4"/>
        <v>47.196615107681126</v>
      </c>
      <c r="G124" s="176">
        <f>Effort!I124+Aide!I124/Taux!C124+Effort!K124/Taux!C124</f>
        <v>15.633320916865781</v>
      </c>
      <c r="H124" s="82">
        <f t="shared" si="5"/>
        <v>62.82993602454691</v>
      </c>
      <c r="I124" s="161">
        <f t="shared" si="6"/>
        <v>0</v>
      </c>
      <c r="J124" s="42">
        <f t="shared" si="7"/>
        <v>0</v>
      </c>
      <c r="K124" s="5"/>
      <c r="L124" s="10"/>
      <c r="M124" s="11"/>
      <c r="R124" s="11"/>
    </row>
    <row r="125" spans="1:18" x14ac:dyDescent="0.25">
      <c r="A125" s="38">
        <f>Données!A125</f>
        <v>5613</v>
      </c>
      <c r="B125" s="144" t="str">
        <f>Données!B125</f>
        <v>Bourg-en-Lavaux</v>
      </c>
      <c r="C125" s="272">
        <f>VPI!R125</f>
        <v>367203.96533333336</v>
      </c>
      <c r="D125" s="414">
        <f>+Données!AP125</f>
        <v>30.410904791791136</v>
      </c>
      <c r="E125" s="320">
        <f>VPI!Q125</f>
        <v>62.5</v>
      </c>
      <c r="F125" s="179">
        <f t="shared" si="4"/>
        <v>32.08909520820886</v>
      </c>
      <c r="G125" s="176">
        <f>Effort!I125+Aide!I125/Taux!C125+Effort!K125/Taux!C125</f>
        <v>30.907958615407608</v>
      </c>
      <c r="H125" s="82">
        <f t="shared" si="5"/>
        <v>62.997053823616469</v>
      </c>
      <c r="I125" s="161">
        <f t="shared" si="6"/>
        <v>0</v>
      </c>
      <c r="J125" s="42">
        <f t="shared" si="7"/>
        <v>0</v>
      </c>
      <c r="K125" s="5"/>
      <c r="L125" s="10"/>
      <c r="M125" s="11"/>
      <c r="R125" s="11"/>
    </row>
    <row r="126" spans="1:18" x14ac:dyDescent="0.25">
      <c r="A126" s="38">
        <f>Données!A126</f>
        <v>5621</v>
      </c>
      <c r="B126" s="144" t="str">
        <f>Données!B126</f>
        <v>Aclens</v>
      </c>
      <c r="C126" s="272">
        <f>VPI!R126</f>
        <v>39195.040043988265</v>
      </c>
      <c r="D126" s="414">
        <f>+Données!AP126</f>
        <v>33.258568862143036</v>
      </c>
      <c r="E126" s="320">
        <f>VPI!Q126</f>
        <v>62</v>
      </c>
      <c r="F126" s="179">
        <f t="shared" si="4"/>
        <v>28.741431137856964</v>
      </c>
      <c r="G126" s="176">
        <f>Effort!I126+Aide!I126/Taux!C126+Effort!K126/Taux!C126</f>
        <v>35.330236274130868</v>
      </c>
      <c r="H126" s="82">
        <f t="shared" si="5"/>
        <v>64.071667411987832</v>
      </c>
      <c r="I126" s="161">
        <f t="shared" si="6"/>
        <v>0</v>
      </c>
      <c r="J126" s="42">
        <f t="shared" si="7"/>
        <v>0</v>
      </c>
      <c r="K126" s="5"/>
      <c r="L126" s="10"/>
      <c r="M126" s="11"/>
      <c r="R126" s="11"/>
    </row>
    <row r="127" spans="1:18" x14ac:dyDescent="0.25">
      <c r="A127" s="38">
        <f>Données!A127</f>
        <v>5622</v>
      </c>
      <c r="B127" s="144" t="str">
        <f>Données!B127</f>
        <v>Bremblens</v>
      </c>
      <c r="C127" s="272">
        <f>VPI!R127</f>
        <v>30851.898676470591</v>
      </c>
      <c r="D127" s="414">
        <f>+Données!AP127</f>
        <v>28.948618145373377</v>
      </c>
      <c r="E127" s="320">
        <f>VPI!Q127</f>
        <v>68</v>
      </c>
      <c r="F127" s="179">
        <f t="shared" si="4"/>
        <v>39.051381854626626</v>
      </c>
      <c r="G127" s="176">
        <f>Effort!I127+Aide!I127/Taux!C127+Effort!K127/Taux!C127</f>
        <v>30.37821232376065</v>
      </c>
      <c r="H127" s="82">
        <f t="shared" si="5"/>
        <v>69.429594178387276</v>
      </c>
      <c r="I127" s="161">
        <f t="shared" si="6"/>
        <v>0</v>
      </c>
      <c r="J127" s="42">
        <f t="shared" si="7"/>
        <v>0</v>
      </c>
      <c r="K127" s="5"/>
      <c r="L127" s="10"/>
      <c r="M127" s="11"/>
      <c r="R127" s="11"/>
    </row>
    <row r="128" spans="1:18" x14ac:dyDescent="0.25">
      <c r="A128" s="38">
        <f>Données!A128</f>
        <v>5623</v>
      </c>
      <c r="B128" s="144" t="str">
        <f>Données!B128</f>
        <v>Buchillon</v>
      </c>
      <c r="C128" s="272">
        <f>VPI!R128</f>
        <v>88400.607692307691</v>
      </c>
      <c r="D128" s="414">
        <f>+Données!AP128</f>
        <v>44.485941749411701</v>
      </c>
      <c r="E128" s="320">
        <f>VPI!Q128</f>
        <v>52</v>
      </c>
      <c r="F128" s="179">
        <f t="shared" si="4"/>
        <v>7.5140582505882989</v>
      </c>
      <c r="G128" s="176">
        <f>Effort!I128+Aide!I128/Taux!C128+Effort!K128/Taux!C128</f>
        <v>44.457120084526352</v>
      </c>
      <c r="H128" s="82">
        <f t="shared" si="5"/>
        <v>51.971178335114651</v>
      </c>
      <c r="I128" s="161">
        <f t="shared" si="6"/>
        <v>0</v>
      </c>
      <c r="J128" s="42">
        <f t="shared" si="7"/>
        <v>0</v>
      </c>
      <c r="K128" s="5"/>
      <c r="L128" s="10"/>
      <c r="M128" s="11"/>
      <c r="R128" s="11"/>
    </row>
    <row r="129" spans="1:18" x14ac:dyDescent="0.25">
      <c r="A129" s="38">
        <f>Données!A129</f>
        <v>5624</v>
      </c>
      <c r="B129" s="144" t="str">
        <f>Données!B129</f>
        <v>Bussigny</v>
      </c>
      <c r="C129" s="272">
        <f>VPI!R129</f>
        <v>394274.86895999993</v>
      </c>
      <c r="D129" s="414">
        <f>+Données!AP129</f>
        <v>17.851685612557013</v>
      </c>
      <c r="E129" s="320">
        <f>VPI!Q129</f>
        <v>62.5</v>
      </c>
      <c r="F129" s="179">
        <f t="shared" si="4"/>
        <v>44.648314387442987</v>
      </c>
      <c r="G129" s="176">
        <f>Effort!I129+Aide!I129/Taux!C129+Effort!K129/Taux!C129</f>
        <v>6.9632597109472751</v>
      </c>
      <c r="H129" s="82">
        <f t="shared" si="5"/>
        <v>51.611574098390264</v>
      </c>
      <c r="I129" s="161">
        <f t="shared" si="6"/>
        <v>0</v>
      </c>
      <c r="J129" s="42">
        <f t="shared" si="7"/>
        <v>0</v>
      </c>
      <c r="K129" s="5"/>
      <c r="L129" s="10"/>
      <c r="M129" s="11"/>
      <c r="R129" s="11"/>
    </row>
    <row r="130" spans="1:18" x14ac:dyDescent="0.25">
      <c r="A130" s="38">
        <f>Données!A130</f>
        <v>5627</v>
      </c>
      <c r="B130" s="144" t="str">
        <f>Données!B130</f>
        <v>Chavannes-près-Renens</v>
      </c>
      <c r="C130" s="272">
        <f>VPI!R130</f>
        <v>188678.11200000002</v>
      </c>
      <c r="D130" s="414">
        <f>+Données!AP130</f>
        <v>-17.7359247359108</v>
      </c>
      <c r="E130" s="320">
        <f>VPI!Q130</f>
        <v>77.5</v>
      </c>
      <c r="F130" s="179">
        <f t="shared" si="4"/>
        <v>95.2359247359108</v>
      </c>
      <c r="G130" s="176">
        <f>Effort!I130+Aide!I130/Taux!C130+Effort!K130/Taux!C130</f>
        <v>-27.481841938707518</v>
      </c>
      <c r="H130" s="82">
        <f t="shared" si="5"/>
        <v>67.754082797203282</v>
      </c>
      <c r="I130" s="161">
        <f t="shared" si="6"/>
        <v>0</v>
      </c>
      <c r="J130" s="42">
        <f t="shared" si="7"/>
        <v>0</v>
      </c>
      <c r="K130" s="5"/>
      <c r="L130" s="10"/>
      <c r="M130" s="11"/>
      <c r="R130" s="11"/>
    </row>
    <row r="131" spans="1:18" x14ac:dyDescent="0.25">
      <c r="A131" s="38">
        <f>Données!A131</f>
        <v>5628</v>
      </c>
      <c r="B131" s="144" t="str">
        <f>Données!B131</f>
        <v>Chigny</v>
      </c>
      <c r="C131" s="272">
        <f>VPI!R131</f>
        <v>27627.246129032257</v>
      </c>
      <c r="D131" s="414">
        <f>+Données!AP131</f>
        <v>33.61503497648448</v>
      </c>
      <c r="E131" s="320">
        <f>VPI!Q131</f>
        <v>62</v>
      </c>
      <c r="F131" s="179">
        <f t="shared" si="4"/>
        <v>28.38496502351552</v>
      </c>
      <c r="G131" s="176">
        <f>Effort!I131+Aide!I131/Taux!C131+Effort!K131/Taux!C131</f>
        <v>34.297012870811919</v>
      </c>
      <c r="H131" s="82">
        <f t="shared" si="5"/>
        <v>62.681977894327439</v>
      </c>
      <c r="I131" s="161">
        <f t="shared" si="6"/>
        <v>0</v>
      </c>
      <c r="J131" s="42">
        <f t="shared" si="7"/>
        <v>0</v>
      </c>
      <c r="K131" s="5"/>
      <c r="L131" s="10"/>
      <c r="M131" s="11"/>
      <c r="R131" s="11"/>
    </row>
    <row r="132" spans="1:18" x14ac:dyDescent="0.25">
      <c r="A132" s="38">
        <f>Données!A132</f>
        <v>5629</v>
      </c>
      <c r="B132" s="144" t="str">
        <f>Données!B132</f>
        <v>Clarmont</v>
      </c>
      <c r="C132" s="272">
        <f>VPI!R132</f>
        <v>9964.5079166666674</v>
      </c>
      <c r="D132" s="414">
        <f>+Données!AP132</f>
        <v>28.878302848276217</v>
      </c>
      <c r="E132" s="320">
        <f>VPI!Q132</f>
        <v>72</v>
      </c>
      <c r="F132" s="179">
        <f t="shared" si="4"/>
        <v>43.121697151723779</v>
      </c>
      <c r="G132" s="176">
        <f>Effort!I132+Aide!I132/Taux!C132+Effort!K132/Taux!C132</f>
        <v>23.494229478001966</v>
      </c>
      <c r="H132" s="82">
        <f t="shared" si="5"/>
        <v>66.615926629725749</v>
      </c>
      <c r="I132" s="161">
        <f t="shared" si="6"/>
        <v>0</v>
      </c>
      <c r="J132" s="42">
        <f t="shared" si="7"/>
        <v>0</v>
      </c>
      <c r="K132" s="5"/>
      <c r="L132" s="10"/>
      <c r="M132" s="11"/>
      <c r="R132" s="11"/>
    </row>
    <row r="133" spans="1:18" x14ac:dyDescent="0.25">
      <c r="A133" s="38">
        <f>Données!A133</f>
        <v>5631</v>
      </c>
      <c r="B133" s="144" t="str">
        <f>Données!B133</f>
        <v>Denens</v>
      </c>
      <c r="C133" s="272">
        <f>VPI!R133</f>
        <v>41714.033529411769</v>
      </c>
      <c r="D133" s="414">
        <f>+Données!AP133</f>
        <v>32.529380296611016</v>
      </c>
      <c r="E133" s="320">
        <f>VPI!Q133</f>
        <v>68</v>
      </c>
      <c r="F133" s="179">
        <f t="shared" si="4"/>
        <v>35.470619703388984</v>
      </c>
      <c r="G133" s="176">
        <f>Effort!I133+Aide!I133/Taux!C133+Effort!K133/Taux!C133</f>
        <v>32.384756305725901</v>
      </c>
      <c r="H133" s="82">
        <f t="shared" si="5"/>
        <v>67.855376009114877</v>
      </c>
      <c r="I133" s="161">
        <f t="shared" si="6"/>
        <v>0</v>
      </c>
      <c r="J133" s="42">
        <f t="shared" si="7"/>
        <v>0</v>
      </c>
      <c r="K133" s="5"/>
      <c r="L133" s="10"/>
      <c r="M133" s="11"/>
      <c r="R133" s="11"/>
    </row>
    <row r="134" spans="1:18" x14ac:dyDescent="0.25">
      <c r="A134" s="38">
        <f>Données!A134</f>
        <v>5632</v>
      </c>
      <c r="B134" s="144" t="str">
        <f>Données!B134</f>
        <v>Denges</v>
      </c>
      <c r="C134" s="272">
        <f>VPI!R134</f>
        <v>81638.998870967742</v>
      </c>
      <c r="D134" s="414">
        <f>+Données!AP134</f>
        <v>26.443970265488247</v>
      </c>
      <c r="E134" s="320">
        <f>VPI!Q134</f>
        <v>62</v>
      </c>
      <c r="F134" s="179">
        <f t="shared" si="4"/>
        <v>35.556029734511753</v>
      </c>
      <c r="G134" s="176">
        <f>Effort!I134+Aide!I134/Taux!C134+Effort!K134/Taux!C134</f>
        <v>24.218882838655503</v>
      </c>
      <c r="H134" s="82">
        <f t="shared" si="5"/>
        <v>59.774912573167256</v>
      </c>
      <c r="I134" s="161">
        <f t="shared" si="6"/>
        <v>0</v>
      </c>
      <c r="J134" s="42">
        <f t="shared" si="7"/>
        <v>0</v>
      </c>
      <c r="K134" s="5"/>
      <c r="L134" s="10"/>
      <c r="M134" s="11"/>
      <c r="R134" s="11"/>
    </row>
    <row r="135" spans="1:18" x14ac:dyDescent="0.25">
      <c r="A135" s="38">
        <f>Données!A135</f>
        <v>5633</v>
      </c>
      <c r="B135" s="144" t="str">
        <f>Données!B135</f>
        <v>Echandens</v>
      </c>
      <c r="C135" s="272">
        <f>VPI!R135</f>
        <v>149828.14198347108</v>
      </c>
      <c r="D135" s="414">
        <f>+Données!AP135</f>
        <v>30.308357819816184</v>
      </c>
      <c r="E135" s="320">
        <f>VPI!Q135</f>
        <v>60.5</v>
      </c>
      <c r="F135" s="179">
        <f t="shared" ref="F135:F198" si="8">E135-D135</f>
        <v>30.191642180183816</v>
      </c>
      <c r="G135" s="176">
        <f>Effort!I135+Aide!I135/Taux!C135+Effort!K135/Taux!C135</f>
        <v>21.903758419439274</v>
      </c>
      <c r="H135" s="82">
        <f t="shared" ref="H135:H198" si="9">F135+G135</f>
        <v>52.09540059962309</v>
      </c>
      <c r="I135" s="161">
        <f t="shared" ref="I135:I198" si="10">IF(H135&gt;$I$5,H135-$I$5,0)</f>
        <v>0</v>
      </c>
      <c r="J135" s="42">
        <f t="shared" ref="J135:J198" si="11">-I135*C135</f>
        <v>0</v>
      </c>
      <c r="K135" s="5"/>
      <c r="L135" s="10"/>
      <c r="M135" s="11"/>
      <c r="R135" s="11"/>
    </row>
    <row r="136" spans="1:18" x14ac:dyDescent="0.25">
      <c r="A136" s="38">
        <f>Données!A136</f>
        <v>5634</v>
      </c>
      <c r="B136" s="144" t="str">
        <f>Données!B136</f>
        <v>Echichens</v>
      </c>
      <c r="C136" s="272">
        <f>VPI!R136</f>
        <v>183136.60893939398</v>
      </c>
      <c r="D136" s="414">
        <f>+Données!AP136</f>
        <v>26.081939308142172</v>
      </c>
      <c r="E136" s="320">
        <f>VPI!Q136</f>
        <v>66</v>
      </c>
      <c r="F136" s="179">
        <f t="shared" si="8"/>
        <v>39.918060691857832</v>
      </c>
      <c r="G136" s="176">
        <f>Effort!I136+Aide!I136/Taux!C136+Effort!K136/Taux!C136</f>
        <v>28.537199567606645</v>
      </c>
      <c r="H136" s="82">
        <f t="shared" si="9"/>
        <v>68.455260259464481</v>
      </c>
      <c r="I136" s="161">
        <f t="shared" si="10"/>
        <v>0</v>
      </c>
      <c r="J136" s="42">
        <f t="shared" si="11"/>
        <v>0</v>
      </c>
      <c r="K136" s="5"/>
      <c r="L136" s="10"/>
      <c r="M136" s="11"/>
      <c r="R136" s="11"/>
    </row>
    <row r="137" spans="1:18" x14ac:dyDescent="0.25">
      <c r="A137" s="38">
        <f>Données!A137</f>
        <v>5635</v>
      </c>
      <c r="B137" s="144" t="str">
        <f>Données!B137</f>
        <v>Ecublens</v>
      </c>
      <c r="C137" s="272">
        <f>VPI!R137</f>
        <v>516098.45949333342</v>
      </c>
      <c r="D137" s="414">
        <f>+Données!AP137</f>
        <v>19.832974082273676</v>
      </c>
      <c r="E137" s="320">
        <f>VPI!Q137</f>
        <v>62.5</v>
      </c>
      <c r="F137" s="179">
        <f t="shared" si="8"/>
        <v>42.66702591772632</v>
      </c>
      <c r="G137" s="176">
        <f>Effort!I137+Aide!I137/Taux!C137+Effort!K137/Taux!C137</f>
        <v>5.4674903018890522</v>
      </c>
      <c r="H137" s="82">
        <f t="shared" si="9"/>
        <v>48.134516219615371</v>
      </c>
      <c r="I137" s="161">
        <f t="shared" si="10"/>
        <v>0</v>
      </c>
      <c r="J137" s="42">
        <f t="shared" si="11"/>
        <v>0</v>
      </c>
      <c r="K137" s="5"/>
      <c r="L137" s="10"/>
      <c r="M137" s="11"/>
      <c r="R137" s="11"/>
    </row>
    <row r="138" spans="1:18" x14ac:dyDescent="0.25">
      <c r="A138" s="38">
        <f>Données!A138</f>
        <v>5636</v>
      </c>
      <c r="B138" s="144" t="str">
        <f>Données!B138</f>
        <v>Etoy</v>
      </c>
      <c r="C138" s="272">
        <f>VPI!R138</f>
        <v>189426.47833333336</v>
      </c>
      <c r="D138" s="414">
        <f>+Données!AP138</f>
        <v>31.212795523037094</v>
      </c>
      <c r="E138" s="320">
        <f>VPI!Q138</f>
        <v>60</v>
      </c>
      <c r="F138" s="179">
        <f t="shared" si="8"/>
        <v>28.787204476962906</v>
      </c>
      <c r="G138" s="176">
        <f>Effort!I138+Aide!I138/Taux!C138+Effort!K138/Taux!C138</f>
        <v>31.385284102329685</v>
      </c>
      <c r="H138" s="82">
        <f t="shared" si="9"/>
        <v>60.17248857929259</v>
      </c>
      <c r="I138" s="161">
        <f t="shared" si="10"/>
        <v>0</v>
      </c>
      <c r="J138" s="42">
        <f t="shared" si="11"/>
        <v>0</v>
      </c>
      <c r="K138" s="5"/>
      <c r="L138" s="10"/>
      <c r="M138" s="11"/>
      <c r="R138" s="11"/>
    </row>
    <row r="139" spans="1:18" x14ac:dyDescent="0.25">
      <c r="A139" s="38">
        <f>Données!A139</f>
        <v>5637</v>
      </c>
      <c r="B139" s="144" t="str">
        <f>Données!B139</f>
        <v>Lavigny</v>
      </c>
      <c r="C139" s="272">
        <f>VPI!R139</f>
        <v>36293.251369863014</v>
      </c>
      <c r="D139" s="414">
        <f>+Données!AP139</f>
        <v>21.986600080821564</v>
      </c>
      <c r="E139" s="320">
        <f>VPI!Q139</f>
        <v>73</v>
      </c>
      <c r="F139" s="179">
        <f t="shared" si="8"/>
        <v>51.01339991917844</v>
      </c>
      <c r="G139" s="176">
        <f>Effort!I139+Aide!I139/Taux!C139+Effort!K139/Taux!C139</f>
        <v>12.815831450032574</v>
      </c>
      <c r="H139" s="82">
        <f t="shared" si="9"/>
        <v>63.829231369211016</v>
      </c>
      <c r="I139" s="161">
        <f t="shared" si="10"/>
        <v>0</v>
      </c>
      <c r="J139" s="42">
        <f t="shared" si="11"/>
        <v>0</v>
      </c>
      <c r="K139" s="5"/>
      <c r="L139" s="10"/>
      <c r="M139" s="11"/>
      <c r="R139" s="11"/>
    </row>
    <row r="140" spans="1:18" x14ac:dyDescent="0.25">
      <c r="A140" s="38">
        <f>Données!A140</f>
        <v>5638</v>
      </c>
      <c r="B140" s="144" t="str">
        <f>Données!B140</f>
        <v>Lonay</v>
      </c>
      <c r="C140" s="272">
        <f>VPI!R140</f>
        <v>153885.49272727271</v>
      </c>
      <c r="D140" s="414">
        <f>+Données!AP140</f>
        <v>30.7717395991044</v>
      </c>
      <c r="E140" s="320">
        <f>VPI!Q140</f>
        <v>55</v>
      </c>
      <c r="F140" s="179">
        <f t="shared" si="8"/>
        <v>24.2282604008956</v>
      </c>
      <c r="G140" s="176">
        <f>Effort!I140+Aide!I140/Taux!C140+Effort!K140/Taux!C140</f>
        <v>25.919792957305795</v>
      </c>
      <c r="H140" s="82">
        <f t="shared" si="9"/>
        <v>50.148053358201395</v>
      </c>
      <c r="I140" s="161">
        <f t="shared" si="10"/>
        <v>0</v>
      </c>
      <c r="J140" s="42">
        <f t="shared" si="11"/>
        <v>0</v>
      </c>
      <c r="K140" s="5"/>
      <c r="L140" s="10"/>
      <c r="M140" s="11"/>
      <c r="R140" s="11"/>
    </row>
    <row r="141" spans="1:18" x14ac:dyDescent="0.25">
      <c r="A141" s="38">
        <f>Données!A141</f>
        <v>5639</v>
      </c>
      <c r="B141" s="144" t="str">
        <f>Données!B141</f>
        <v>Lully</v>
      </c>
      <c r="C141" s="272">
        <f>VPI!R141</f>
        <v>52241.230983606554</v>
      </c>
      <c r="D141" s="414">
        <f>+Données!AP141</f>
        <v>33.860595523964875</v>
      </c>
      <c r="E141" s="320">
        <f>VPI!Q141</f>
        <v>61</v>
      </c>
      <c r="F141" s="179">
        <f t="shared" si="8"/>
        <v>27.139404476035125</v>
      </c>
      <c r="G141" s="176">
        <f>Effort!I141+Aide!I141/Taux!C141+Effort!K141/Taux!C141</f>
        <v>33.562059514400069</v>
      </c>
      <c r="H141" s="82">
        <f t="shared" si="9"/>
        <v>60.701463990435194</v>
      </c>
      <c r="I141" s="161">
        <f t="shared" si="10"/>
        <v>0</v>
      </c>
      <c r="J141" s="42">
        <f t="shared" si="11"/>
        <v>0</v>
      </c>
      <c r="K141" s="5"/>
      <c r="L141" s="10"/>
      <c r="M141" s="11"/>
      <c r="R141" s="11"/>
    </row>
    <row r="142" spans="1:18" x14ac:dyDescent="0.25">
      <c r="A142" s="38">
        <f>Données!A142</f>
        <v>5640</v>
      </c>
      <c r="B142" s="144" t="str">
        <f>Données!B142</f>
        <v>Lussy-sur-Morges</v>
      </c>
      <c r="C142" s="272">
        <f>VPI!R142</f>
        <v>57770.543875968993</v>
      </c>
      <c r="D142" s="414">
        <f>+Données!AP142</f>
        <v>41.174229512211667</v>
      </c>
      <c r="E142" s="320">
        <f>VPI!Q142</f>
        <v>64.5</v>
      </c>
      <c r="F142" s="179">
        <f t="shared" si="8"/>
        <v>23.325770487788333</v>
      </c>
      <c r="G142" s="176">
        <f>Effort!I142+Aide!I142/Taux!C142+Effort!K142/Taux!C142</f>
        <v>37.892210728242162</v>
      </c>
      <c r="H142" s="82">
        <f t="shared" si="9"/>
        <v>61.217981216030495</v>
      </c>
      <c r="I142" s="161">
        <f t="shared" si="10"/>
        <v>0</v>
      </c>
      <c r="J142" s="42">
        <f t="shared" si="11"/>
        <v>0</v>
      </c>
      <c r="K142" s="5"/>
      <c r="L142" s="10"/>
      <c r="M142" s="11"/>
      <c r="R142" s="11"/>
    </row>
    <row r="143" spans="1:18" x14ac:dyDescent="0.25">
      <c r="A143" s="38">
        <f>Données!A143</f>
        <v>5642</v>
      </c>
      <c r="B143" s="144" t="str">
        <f>Données!B143</f>
        <v>Morges</v>
      </c>
      <c r="C143" s="272">
        <f>VPI!R143</f>
        <v>920688.7619402986</v>
      </c>
      <c r="D143" s="414">
        <f>+Données!AP143</f>
        <v>17.958007864232869</v>
      </c>
      <c r="E143" s="320">
        <f>VPI!Q143</f>
        <v>67</v>
      </c>
      <c r="F143" s="179">
        <f t="shared" si="8"/>
        <v>49.041992135767131</v>
      </c>
      <c r="G143" s="176">
        <f>Effort!I143+Aide!I143/Taux!C143+Effort!K143/Taux!C143</f>
        <v>17.31442901606059</v>
      </c>
      <c r="H143" s="82">
        <f t="shared" si="9"/>
        <v>66.356421151827718</v>
      </c>
      <c r="I143" s="161">
        <f t="shared" si="10"/>
        <v>0</v>
      </c>
      <c r="J143" s="42">
        <f t="shared" si="11"/>
        <v>0</v>
      </c>
      <c r="K143" s="5"/>
      <c r="L143" s="10"/>
      <c r="M143" s="11"/>
      <c r="R143" s="11"/>
    </row>
    <row r="144" spans="1:18" x14ac:dyDescent="0.25">
      <c r="A144" s="38">
        <f>Données!A144</f>
        <v>5643</v>
      </c>
      <c r="B144" s="144" t="str">
        <f>Données!B144</f>
        <v>Préverenges</v>
      </c>
      <c r="C144" s="272">
        <f>VPI!R144</f>
        <v>252718.14639999994</v>
      </c>
      <c r="D144" s="414">
        <f>+Données!AP144</f>
        <v>24.557926095717011</v>
      </c>
      <c r="E144" s="320">
        <f>VPI!Q144</f>
        <v>62.5</v>
      </c>
      <c r="F144" s="179">
        <f t="shared" si="8"/>
        <v>37.942073904282992</v>
      </c>
      <c r="G144" s="176">
        <f>Effort!I144+Aide!I144/Taux!C144+Effort!K144/Taux!C144</f>
        <v>24.16009181748764</v>
      </c>
      <c r="H144" s="82">
        <f t="shared" si="9"/>
        <v>62.102165721770632</v>
      </c>
      <c r="I144" s="161">
        <f t="shared" si="10"/>
        <v>0</v>
      </c>
      <c r="J144" s="42">
        <f t="shared" si="11"/>
        <v>0</v>
      </c>
      <c r="K144" s="5"/>
      <c r="L144" s="10"/>
      <c r="M144" s="11"/>
      <c r="R144" s="11"/>
    </row>
    <row r="145" spans="1:18" x14ac:dyDescent="0.25">
      <c r="A145" s="38">
        <f>Données!A145</f>
        <v>5645</v>
      </c>
      <c r="B145" s="144" t="str">
        <f>Données!B145</f>
        <v>Romanel-sur-Morges</v>
      </c>
      <c r="C145" s="272">
        <f>VPI!R145</f>
        <v>23767.8325</v>
      </c>
      <c r="D145" s="414">
        <f>+Données!AP145</f>
        <v>31.499299221568311</v>
      </c>
      <c r="E145" s="320">
        <f>VPI!Q145</f>
        <v>56</v>
      </c>
      <c r="F145" s="179">
        <f t="shared" si="8"/>
        <v>24.500700778431689</v>
      </c>
      <c r="G145" s="176">
        <f>Effort!I145+Aide!I145/Taux!C145+Effort!K145/Taux!C145</f>
        <v>29.295911129784905</v>
      </c>
      <c r="H145" s="82">
        <f t="shared" si="9"/>
        <v>53.79661190821659</v>
      </c>
      <c r="I145" s="161">
        <f t="shared" si="10"/>
        <v>0</v>
      </c>
      <c r="J145" s="42">
        <f t="shared" si="11"/>
        <v>0</v>
      </c>
      <c r="K145" s="5"/>
      <c r="L145" s="10"/>
      <c r="M145" s="11"/>
      <c r="R145" s="11"/>
    </row>
    <row r="146" spans="1:18" x14ac:dyDescent="0.25">
      <c r="A146" s="38">
        <f>Données!A146</f>
        <v>5646</v>
      </c>
      <c r="B146" s="144" t="str">
        <f>Données!B146</f>
        <v>Saint-Prex</v>
      </c>
      <c r="C146" s="272">
        <f>VPI!R146</f>
        <v>515439.56415254233</v>
      </c>
      <c r="D146" s="414">
        <f>+Données!AP146</f>
        <v>36.201014765511232</v>
      </c>
      <c r="E146" s="320">
        <f>VPI!Q146</f>
        <v>59</v>
      </c>
      <c r="F146" s="179">
        <f t="shared" si="8"/>
        <v>22.798985234488768</v>
      </c>
      <c r="G146" s="176">
        <f>Effort!I146+Aide!I146/Taux!C146+Effort!K146/Taux!C146</f>
        <v>35.771675130717284</v>
      </c>
      <c r="H146" s="82">
        <f t="shared" si="9"/>
        <v>58.570660365206052</v>
      </c>
      <c r="I146" s="161">
        <f t="shared" si="10"/>
        <v>0</v>
      </c>
      <c r="J146" s="42">
        <f t="shared" si="11"/>
        <v>0</v>
      </c>
      <c r="K146" s="5"/>
      <c r="L146" s="10"/>
      <c r="M146" s="11"/>
      <c r="R146" s="11"/>
    </row>
    <row r="147" spans="1:18" x14ac:dyDescent="0.25">
      <c r="A147" s="38">
        <f>Données!A147</f>
        <v>5648</v>
      </c>
      <c r="B147" s="144" t="str">
        <f>Données!B147</f>
        <v>Saint-Sulpice</v>
      </c>
      <c r="C147" s="272">
        <f>VPI!R147</f>
        <v>417026.83077272732</v>
      </c>
      <c r="D147" s="414">
        <f>+Données!AP147</f>
        <v>33.79083405301138</v>
      </c>
      <c r="E147" s="320">
        <f>VPI!Q147</f>
        <v>55</v>
      </c>
      <c r="F147" s="179">
        <f t="shared" si="8"/>
        <v>21.20916594698862</v>
      </c>
      <c r="G147" s="176">
        <f>Effort!I147+Aide!I147/Taux!C147+Effort!K147/Taux!C147</f>
        <v>34.496336468747181</v>
      </c>
      <c r="H147" s="82">
        <f t="shared" si="9"/>
        <v>55.705502415735801</v>
      </c>
      <c r="I147" s="161">
        <f t="shared" si="10"/>
        <v>0</v>
      </c>
      <c r="J147" s="42">
        <f t="shared" si="11"/>
        <v>0</v>
      </c>
      <c r="K147" s="5"/>
      <c r="L147" s="10"/>
      <c r="M147" s="11"/>
      <c r="R147" s="11"/>
    </row>
    <row r="148" spans="1:18" x14ac:dyDescent="0.25">
      <c r="A148" s="38">
        <f>Données!A148</f>
        <v>5649</v>
      </c>
      <c r="B148" s="144" t="str">
        <f>Données!B148</f>
        <v>Tolochenaz</v>
      </c>
      <c r="C148" s="272">
        <f>VPI!R148</f>
        <v>329645.65999999997</v>
      </c>
      <c r="D148" s="414">
        <f>+Données!AP148</f>
        <v>37.207578806614052</v>
      </c>
      <c r="E148" s="320">
        <f>VPI!Q148</f>
        <v>64</v>
      </c>
      <c r="F148" s="179">
        <f t="shared" si="8"/>
        <v>26.792421193385948</v>
      </c>
      <c r="G148" s="176">
        <f>Effort!I148+Aide!I148/Taux!C148+Effort!K148/Taux!C148</f>
        <v>48</v>
      </c>
      <c r="H148" s="82">
        <f t="shared" si="9"/>
        <v>74.792421193385948</v>
      </c>
      <c r="I148" s="161">
        <f t="shared" si="10"/>
        <v>0</v>
      </c>
      <c r="J148" s="42">
        <f t="shared" si="11"/>
        <v>0</v>
      </c>
      <c r="K148" s="5"/>
      <c r="L148" s="10"/>
      <c r="M148" s="11"/>
      <c r="R148" s="11"/>
    </row>
    <row r="149" spans="1:18" x14ac:dyDescent="0.25">
      <c r="A149" s="38">
        <f>Données!A149</f>
        <v>5650</v>
      </c>
      <c r="B149" s="144" t="str">
        <f>Données!B149</f>
        <v>Vaux-sur-Morges</v>
      </c>
      <c r="C149" s="272">
        <f>VPI!R149</f>
        <v>90407.731785714292</v>
      </c>
      <c r="D149" s="414">
        <f>+Données!AP149</f>
        <v>59.131360249931419</v>
      </c>
      <c r="E149" s="320">
        <f>VPI!Q149</f>
        <v>56</v>
      </c>
      <c r="F149" s="179">
        <f t="shared" si="8"/>
        <v>-3.1313602499314186</v>
      </c>
      <c r="G149" s="176">
        <f>Effort!I149+Aide!I149/Taux!C149+Effort!K149/Taux!C149</f>
        <v>48</v>
      </c>
      <c r="H149" s="82">
        <f t="shared" si="9"/>
        <v>44.868639750068581</v>
      </c>
      <c r="I149" s="161">
        <f t="shared" si="10"/>
        <v>0</v>
      </c>
      <c r="J149" s="42">
        <f t="shared" si="11"/>
        <v>0</v>
      </c>
      <c r="K149" s="5"/>
      <c r="L149" s="10"/>
      <c r="M149" s="11"/>
      <c r="R149" s="11"/>
    </row>
    <row r="150" spans="1:18" x14ac:dyDescent="0.25">
      <c r="A150" s="38">
        <f>Données!A150</f>
        <v>5651</v>
      </c>
      <c r="B150" s="144" t="str">
        <f>Données!B150</f>
        <v>Villars-Sainte-Croix</v>
      </c>
      <c r="C150" s="272">
        <f>VPI!R150</f>
        <v>55772.548264462814</v>
      </c>
      <c r="D150" s="414">
        <f>+Données!AP150</f>
        <v>32.49835661325389</v>
      </c>
      <c r="E150" s="320">
        <f>VPI!Q150</f>
        <v>60.5</v>
      </c>
      <c r="F150" s="179">
        <f t="shared" si="8"/>
        <v>28.00164338674611</v>
      </c>
      <c r="G150" s="176">
        <f>Effort!I150+Aide!I150/Taux!C150+Effort!K150/Taux!C150</f>
        <v>29.973537030512418</v>
      </c>
      <c r="H150" s="82">
        <f t="shared" si="9"/>
        <v>57.975180417258528</v>
      </c>
      <c r="I150" s="161">
        <f t="shared" si="10"/>
        <v>0</v>
      </c>
      <c r="J150" s="42">
        <f t="shared" si="11"/>
        <v>0</v>
      </c>
      <c r="K150" s="5"/>
      <c r="L150" s="10"/>
      <c r="M150" s="11"/>
      <c r="R150" s="11"/>
    </row>
    <row r="151" spans="1:18" x14ac:dyDescent="0.25">
      <c r="A151" s="38">
        <f>Données!A151</f>
        <v>5652</v>
      </c>
      <c r="B151" s="144" t="str">
        <f>Données!B151</f>
        <v>Villars-sous-Yens</v>
      </c>
      <c r="C151" s="272">
        <f>VPI!R151</f>
        <v>25957.116337719301</v>
      </c>
      <c r="D151" s="414">
        <f>+Données!AP151</f>
        <v>25.207072467329795</v>
      </c>
      <c r="E151" s="320">
        <f>VPI!Q151</f>
        <v>76</v>
      </c>
      <c r="F151" s="179">
        <f t="shared" si="8"/>
        <v>50.792927532670205</v>
      </c>
      <c r="G151" s="176">
        <f>Effort!I151+Aide!I151/Taux!C151+Effort!K151/Taux!C151</f>
        <v>18.649211628590503</v>
      </c>
      <c r="H151" s="82">
        <f t="shared" si="9"/>
        <v>69.442139161260712</v>
      </c>
      <c r="I151" s="161">
        <f t="shared" si="10"/>
        <v>0</v>
      </c>
      <c r="J151" s="42">
        <f t="shared" si="11"/>
        <v>0</v>
      </c>
      <c r="K151" s="5"/>
      <c r="L151" s="10"/>
      <c r="M151" s="11"/>
      <c r="R151" s="11"/>
    </row>
    <row r="152" spans="1:18" x14ac:dyDescent="0.25">
      <c r="A152" s="38">
        <f>Données!A152</f>
        <v>5653</v>
      </c>
      <c r="B152" s="144" t="str">
        <f>Données!B152</f>
        <v>Vufflens-le-Château</v>
      </c>
      <c r="C152" s="272">
        <f>VPI!R152</f>
        <v>71346.485811965817</v>
      </c>
      <c r="D152" s="414">
        <f>+Données!AP152</f>
        <v>36.263701440119178</v>
      </c>
      <c r="E152" s="320">
        <f>VPI!Q152</f>
        <v>58.5</v>
      </c>
      <c r="F152" s="179">
        <f t="shared" si="8"/>
        <v>22.236298559880822</v>
      </c>
      <c r="G152" s="176">
        <f>Effort!I152+Aide!I152/Taux!C152+Effort!K152/Taux!C152</f>
        <v>37.555654174001035</v>
      </c>
      <c r="H152" s="82">
        <f t="shared" si="9"/>
        <v>59.791952733881857</v>
      </c>
      <c r="I152" s="161">
        <f t="shared" si="10"/>
        <v>0</v>
      </c>
      <c r="J152" s="42">
        <f t="shared" si="11"/>
        <v>0</v>
      </c>
      <c r="K152" s="5"/>
      <c r="L152" s="10"/>
      <c r="M152" s="11"/>
      <c r="R152" s="11"/>
    </row>
    <row r="153" spans="1:18" x14ac:dyDescent="0.25">
      <c r="A153" s="38">
        <f>Données!A153</f>
        <v>5654</v>
      </c>
      <c r="B153" s="144" t="str">
        <f>Données!B153</f>
        <v>Vullierens</v>
      </c>
      <c r="C153" s="272">
        <f>VPI!R153</f>
        <v>20741.139078947366</v>
      </c>
      <c r="D153" s="414">
        <f>+Données!AP153</f>
        <v>21.578998159587083</v>
      </c>
      <c r="E153" s="320">
        <f>VPI!Q153</f>
        <v>76</v>
      </c>
      <c r="F153" s="179">
        <f t="shared" si="8"/>
        <v>54.421001840412913</v>
      </c>
      <c r="G153" s="176">
        <f>Effort!I153+Aide!I153/Taux!C153+Effort!K153/Taux!C153</f>
        <v>19.540402428149378</v>
      </c>
      <c r="H153" s="82">
        <f t="shared" si="9"/>
        <v>73.961404268562291</v>
      </c>
      <c r="I153" s="161">
        <f t="shared" si="10"/>
        <v>0</v>
      </c>
      <c r="J153" s="42">
        <f t="shared" si="11"/>
        <v>0</v>
      </c>
      <c r="K153" s="5"/>
      <c r="L153" s="10"/>
      <c r="M153" s="11"/>
      <c r="R153" s="11"/>
    </row>
    <row r="154" spans="1:18" x14ac:dyDescent="0.25">
      <c r="A154" s="38">
        <f>Données!A154</f>
        <v>5655</v>
      </c>
      <c r="B154" s="144" t="str">
        <f>Données!B154</f>
        <v>Yens</v>
      </c>
      <c r="C154" s="272">
        <f>VPI!R154</f>
        <v>81487.913146853141</v>
      </c>
      <c r="D154" s="414">
        <f>+Données!AP154</f>
        <v>28.145046226083728</v>
      </c>
      <c r="E154" s="320">
        <f>VPI!Q154</f>
        <v>71.5</v>
      </c>
      <c r="F154" s="179">
        <f t="shared" si="8"/>
        <v>43.354953773916272</v>
      </c>
      <c r="G154" s="176">
        <f>Effort!I154+Aide!I154/Taux!C154+Effort!K154/Taux!C154</f>
        <v>29.759976502526854</v>
      </c>
      <c r="H154" s="82">
        <f t="shared" si="9"/>
        <v>73.114930276443118</v>
      </c>
      <c r="I154" s="161">
        <f t="shared" si="10"/>
        <v>0</v>
      </c>
      <c r="J154" s="42">
        <f t="shared" si="11"/>
        <v>0</v>
      </c>
      <c r="K154" s="5"/>
      <c r="L154" s="10"/>
      <c r="M154" s="11"/>
      <c r="R154" s="11"/>
    </row>
    <row r="155" spans="1:18" x14ac:dyDescent="0.25">
      <c r="A155" s="38">
        <f>Données!A155</f>
        <v>5656</v>
      </c>
      <c r="B155" s="144" t="str">
        <f>Données!B155</f>
        <v>Hautemorges</v>
      </c>
      <c r="C155" s="272">
        <f>VPI!R155</f>
        <v>168931.37668965515</v>
      </c>
      <c r="D155" s="414">
        <f>+Données!AP155</f>
        <v>20.022984666186463</v>
      </c>
      <c r="E155" s="320">
        <f>VPI!Q155</f>
        <v>72.5</v>
      </c>
      <c r="F155" s="179">
        <f t="shared" si="8"/>
        <v>52.47701533381354</v>
      </c>
      <c r="G155" s="176">
        <f>Effort!I155+Aide!I155/Taux!C155+Effort!K155/Taux!C155</f>
        <v>12.935208658137135</v>
      </c>
      <c r="H155" s="82">
        <f t="shared" si="9"/>
        <v>65.412223991950668</v>
      </c>
      <c r="I155" s="161">
        <f t="shared" si="10"/>
        <v>0</v>
      </c>
      <c r="J155" s="42">
        <f t="shared" si="11"/>
        <v>0</v>
      </c>
      <c r="K155" s="5"/>
      <c r="L155" s="10"/>
      <c r="M155" s="11"/>
      <c r="R155" s="11"/>
    </row>
    <row r="156" spans="1:18" x14ac:dyDescent="0.25">
      <c r="A156" s="38">
        <f>Données!A156</f>
        <v>5661</v>
      </c>
      <c r="B156" s="144" t="str">
        <f>Données!B156</f>
        <v>Boulens</v>
      </c>
      <c r="C156" s="272">
        <f>VPI!R156</f>
        <v>11008.663776223777</v>
      </c>
      <c r="D156" s="414">
        <f>+Données!AP156</f>
        <v>15.782859895277332</v>
      </c>
      <c r="E156" s="320">
        <f>VPI!Q156</f>
        <v>71.5</v>
      </c>
      <c r="F156" s="179">
        <f t="shared" si="8"/>
        <v>55.717140104722667</v>
      </c>
      <c r="G156" s="176">
        <f>Effort!I156+Aide!I156/Taux!C156+Effort!K156/Taux!C156</f>
        <v>12.618754785304441</v>
      </c>
      <c r="H156" s="82">
        <f t="shared" si="9"/>
        <v>68.335894890027106</v>
      </c>
      <c r="I156" s="161">
        <f t="shared" si="10"/>
        <v>0</v>
      </c>
      <c r="J156" s="42">
        <f t="shared" si="11"/>
        <v>0</v>
      </c>
      <c r="K156" s="5"/>
      <c r="L156" s="10"/>
      <c r="M156" s="11"/>
      <c r="R156" s="11"/>
    </row>
    <row r="157" spans="1:18" x14ac:dyDescent="0.25">
      <c r="A157" s="38">
        <f>Données!A157</f>
        <v>5663</v>
      </c>
      <c r="B157" s="144" t="str">
        <f>Données!B157</f>
        <v>Bussy-sur-Moudon</v>
      </c>
      <c r="C157" s="272">
        <f>VPI!R157</f>
        <v>6463.7352866242045</v>
      </c>
      <c r="D157" s="414">
        <f>+Données!AP157</f>
        <v>-2.0987217282806907</v>
      </c>
      <c r="E157" s="320">
        <f>VPI!Q157</f>
        <v>78.5</v>
      </c>
      <c r="F157" s="179">
        <f t="shared" si="8"/>
        <v>80.598721728280694</v>
      </c>
      <c r="G157" s="176">
        <f>Effort!I157+Aide!I157/Taux!C157+Effort!K157/Taux!C157</f>
        <v>6.8675724357200281</v>
      </c>
      <c r="H157" s="82">
        <f t="shared" si="9"/>
        <v>87.466294164000715</v>
      </c>
      <c r="I157" s="161">
        <f t="shared" si="10"/>
        <v>0</v>
      </c>
      <c r="J157" s="42">
        <f t="shared" si="11"/>
        <v>0</v>
      </c>
      <c r="K157" s="5"/>
      <c r="L157" s="10"/>
      <c r="M157" s="11"/>
      <c r="R157" s="11"/>
    </row>
    <row r="158" spans="1:18" x14ac:dyDescent="0.25">
      <c r="A158" s="38">
        <f>Données!A158</f>
        <v>5665</v>
      </c>
      <c r="B158" s="144" t="str">
        <f>Données!B158</f>
        <v>Chavannes-sur-Moudon</v>
      </c>
      <c r="C158" s="272">
        <f>VPI!R158</f>
        <v>5786.518857142858</v>
      </c>
      <c r="D158" s="414">
        <f>+Données!AP158</f>
        <v>3.3981301616507307</v>
      </c>
      <c r="E158" s="320">
        <f>VPI!Q158</f>
        <v>70</v>
      </c>
      <c r="F158" s="179">
        <f t="shared" si="8"/>
        <v>66.601869838349273</v>
      </c>
      <c r="G158" s="176">
        <f>Effort!I158+Aide!I158/Taux!C158+Effort!K158/Taux!C158</f>
        <v>7.1031029029385238</v>
      </c>
      <c r="H158" s="82">
        <f t="shared" si="9"/>
        <v>73.704972741287804</v>
      </c>
      <c r="I158" s="161">
        <f t="shared" si="10"/>
        <v>0</v>
      </c>
      <c r="J158" s="42">
        <f t="shared" si="11"/>
        <v>0</v>
      </c>
      <c r="K158" s="5"/>
      <c r="L158" s="10"/>
      <c r="M158" s="11"/>
      <c r="R158" s="11"/>
    </row>
    <row r="159" spans="1:18" x14ac:dyDescent="0.25">
      <c r="A159" s="38">
        <f>Données!A159</f>
        <v>5669</v>
      </c>
      <c r="B159" s="144" t="str">
        <f>Données!B159</f>
        <v>Curtilles</v>
      </c>
      <c r="C159" s="272">
        <f>VPI!R159</f>
        <v>8428.0239726027376</v>
      </c>
      <c r="D159" s="414">
        <f>+Données!AP159</f>
        <v>16.826130399731479</v>
      </c>
      <c r="E159" s="320">
        <f>VPI!Q159</f>
        <v>73</v>
      </c>
      <c r="F159" s="179">
        <f t="shared" si="8"/>
        <v>56.173869600268517</v>
      </c>
      <c r="G159" s="176">
        <f>Effort!I159+Aide!I159/Taux!C159+Effort!K159/Taux!C159</f>
        <v>13.255100148302837</v>
      </c>
      <c r="H159" s="82">
        <f t="shared" si="9"/>
        <v>69.428969748571348</v>
      </c>
      <c r="I159" s="161">
        <f t="shared" si="10"/>
        <v>0</v>
      </c>
      <c r="J159" s="42">
        <f t="shared" si="11"/>
        <v>0</v>
      </c>
      <c r="K159" s="5"/>
      <c r="L159" s="10"/>
      <c r="M159" s="11"/>
      <c r="R159" s="11"/>
    </row>
    <row r="160" spans="1:18" x14ac:dyDescent="0.25">
      <c r="A160" s="38">
        <f>Données!A160</f>
        <v>5671</v>
      </c>
      <c r="B160" s="144" t="str">
        <f>Données!B160</f>
        <v>Dompierre</v>
      </c>
      <c r="C160" s="272">
        <f>VPI!R160</f>
        <v>6751.3058974358974</v>
      </c>
      <c r="D160" s="414">
        <f>+Données!AP160</f>
        <v>7.0291652322730283</v>
      </c>
      <c r="E160" s="320">
        <f>VPI!Q160</f>
        <v>78</v>
      </c>
      <c r="F160" s="179">
        <f t="shared" si="8"/>
        <v>70.97083476772697</v>
      </c>
      <c r="G160" s="176">
        <f>Effort!I160+Aide!I160/Taux!C160+Effort!K160/Taux!C160</f>
        <v>7.2432726365439546</v>
      </c>
      <c r="H160" s="82">
        <f t="shared" si="9"/>
        <v>78.214107404270919</v>
      </c>
      <c r="I160" s="161">
        <f t="shared" si="10"/>
        <v>0</v>
      </c>
      <c r="J160" s="42">
        <f t="shared" si="11"/>
        <v>0</v>
      </c>
      <c r="K160" s="5"/>
      <c r="L160" s="10"/>
      <c r="M160" s="11"/>
      <c r="R160" s="11"/>
    </row>
    <row r="161" spans="1:18" x14ac:dyDescent="0.25">
      <c r="A161" s="38">
        <f>Données!A161</f>
        <v>5673</v>
      </c>
      <c r="B161" s="144" t="str">
        <f>Données!B161</f>
        <v>Hermenches</v>
      </c>
      <c r="C161" s="272">
        <f>VPI!R161</f>
        <v>9674.9504761904736</v>
      </c>
      <c r="D161" s="414">
        <f>+Données!AP161</f>
        <v>11.350019286679249</v>
      </c>
      <c r="E161" s="320">
        <f>VPI!Q161</f>
        <v>73.5</v>
      </c>
      <c r="F161" s="179">
        <f t="shared" si="8"/>
        <v>62.149980713320751</v>
      </c>
      <c r="G161" s="176">
        <f>Effort!I161+Aide!I161/Taux!C161+Effort!K161/Taux!C161</f>
        <v>1.0252278554820755</v>
      </c>
      <c r="H161" s="82">
        <f t="shared" si="9"/>
        <v>63.17520856880283</v>
      </c>
      <c r="I161" s="161">
        <f t="shared" si="10"/>
        <v>0</v>
      </c>
      <c r="J161" s="42">
        <f t="shared" si="11"/>
        <v>0</v>
      </c>
      <c r="K161" s="5"/>
      <c r="L161" s="10"/>
      <c r="M161" s="11"/>
      <c r="R161" s="11"/>
    </row>
    <row r="162" spans="1:18" x14ac:dyDescent="0.25">
      <c r="A162" s="38">
        <f>Données!A162</f>
        <v>5674</v>
      </c>
      <c r="B162" s="144" t="str">
        <f>Données!B162</f>
        <v>Lovatens</v>
      </c>
      <c r="C162" s="272">
        <f>VPI!R162</f>
        <v>3538.9423999999999</v>
      </c>
      <c r="D162" s="414">
        <f>+Données!AP162</f>
        <v>12.74395299978449</v>
      </c>
      <c r="E162" s="320">
        <f>VPI!Q162</f>
        <v>75</v>
      </c>
      <c r="F162" s="179">
        <f t="shared" si="8"/>
        <v>62.25604700021551</v>
      </c>
      <c r="G162" s="176">
        <f>Effort!I162+Aide!I162/Taux!C162+Effort!K162/Taux!C162</f>
        <v>0.40832808746293381</v>
      </c>
      <c r="H162" s="82">
        <f t="shared" si="9"/>
        <v>62.664375087678444</v>
      </c>
      <c r="I162" s="161">
        <f t="shared" si="10"/>
        <v>0</v>
      </c>
      <c r="J162" s="42">
        <f t="shared" si="11"/>
        <v>0</v>
      </c>
      <c r="K162" s="5"/>
      <c r="L162" s="10"/>
      <c r="M162" s="11"/>
      <c r="R162" s="11"/>
    </row>
    <row r="163" spans="1:18" x14ac:dyDescent="0.25">
      <c r="A163" s="38">
        <f>Données!A163</f>
        <v>5675</v>
      </c>
      <c r="B163" s="144" t="str">
        <f>Données!B163</f>
        <v>Lucens</v>
      </c>
      <c r="C163" s="272">
        <f>VPI!R163</f>
        <v>92799.568476128188</v>
      </c>
      <c r="D163" s="414">
        <f>+Données!AP163</f>
        <v>-0.94509619435942138</v>
      </c>
      <c r="E163" s="320">
        <f>VPI!Q163</f>
        <v>69.5</v>
      </c>
      <c r="F163" s="179">
        <f t="shared" si="8"/>
        <v>70.445096194359422</v>
      </c>
      <c r="G163" s="176">
        <f>Effort!I163+Aide!I163/Taux!C163+Effort!K163/Taux!C163</f>
        <v>-17.077261289225479</v>
      </c>
      <c r="H163" s="82">
        <f t="shared" si="9"/>
        <v>53.367834905133947</v>
      </c>
      <c r="I163" s="161">
        <f t="shared" si="10"/>
        <v>0</v>
      </c>
      <c r="J163" s="42">
        <f t="shared" si="11"/>
        <v>0</v>
      </c>
      <c r="K163" s="5"/>
      <c r="L163" s="10"/>
      <c r="M163" s="11"/>
      <c r="R163" s="11"/>
    </row>
    <row r="164" spans="1:18" x14ac:dyDescent="0.25">
      <c r="A164" s="38">
        <f>Données!A164</f>
        <v>5678</v>
      </c>
      <c r="B164" s="144" t="str">
        <f>Données!B164</f>
        <v>Moudon</v>
      </c>
      <c r="C164" s="272">
        <f>VPI!R164</f>
        <v>130665.93158620689</v>
      </c>
      <c r="D164" s="414">
        <f>+Données!AP164</f>
        <v>-17.028303687791414</v>
      </c>
      <c r="E164" s="320">
        <f>VPI!Q164</f>
        <v>72.5</v>
      </c>
      <c r="F164" s="179">
        <f t="shared" si="8"/>
        <v>89.528303687791407</v>
      </c>
      <c r="G164" s="176">
        <f>Effort!I164+Aide!I164/Taux!C164+Effort!K164/Taux!C164</f>
        <v>-24.360049275921138</v>
      </c>
      <c r="H164" s="82">
        <f t="shared" si="9"/>
        <v>65.168254411870265</v>
      </c>
      <c r="I164" s="161">
        <f t="shared" si="10"/>
        <v>0</v>
      </c>
      <c r="J164" s="42">
        <f t="shared" si="11"/>
        <v>0</v>
      </c>
      <c r="K164" s="5"/>
      <c r="L164" s="10"/>
      <c r="M164" s="11"/>
      <c r="R164" s="11"/>
    </row>
    <row r="165" spans="1:18" x14ac:dyDescent="0.25">
      <c r="A165" s="38">
        <f>Données!A165</f>
        <v>5680</v>
      </c>
      <c r="B165" s="144" t="str">
        <f>Données!B165</f>
        <v>Ogens</v>
      </c>
      <c r="C165" s="272">
        <f>VPI!R165</f>
        <v>10095.699401709404</v>
      </c>
      <c r="D165" s="414">
        <f>+Données!AP165</f>
        <v>7.4209701340456515</v>
      </c>
      <c r="E165" s="320">
        <f>VPI!Q165</f>
        <v>78</v>
      </c>
      <c r="F165" s="179">
        <f t="shared" si="8"/>
        <v>70.579029865954354</v>
      </c>
      <c r="G165" s="176">
        <f>Effort!I165+Aide!I165/Taux!C165+Effort!K165/Taux!C165</f>
        <v>13.336592227153391</v>
      </c>
      <c r="H165" s="82">
        <f t="shared" si="9"/>
        <v>83.915622093107743</v>
      </c>
      <c r="I165" s="161">
        <f t="shared" si="10"/>
        <v>0</v>
      </c>
      <c r="J165" s="42">
        <f t="shared" si="11"/>
        <v>0</v>
      </c>
      <c r="K165" s="5"/>
      <c r="L165" s="10"/>
      <c r="M165" s="11"/>
      <c r="R165" s="11"/>
    </row>
    <row r="166" spans="1:18" x14ac:dyDescent="0.25">
      <c r="A166" s="38">
        <f>Données!A166</f>
        <v>5683</v>
      </c>
      <c r="B166" s="144" t="str">
        <f>Données!B166</f>
        <v>Prévonloup</v>
      </c>
      <c r="C166" s="272">
        <f>VPI!R166</f>
        <v>5181.5288275862076</v>
      </c>
      <c r="D166" s="414">
        <f>+Données!AP166</f>
        <v>7.6477323551855712</v>
      </c>
      <c r="E166" s="320">
        <f>VPI!Q166</f>
        <v>72.5</v>
      </c>
      <c r="F166" s="179">
        <f t="shared" si="8"/>
        <v>64.852267644814432</v>
      </c>
      <c r="G166" s="176">
        <f>Effort!I166+Aide!I166/Taux!C166+Effort!K166/Taux!C166</f>
        <v>4.8458875362044544</v>
      </c>
      <c r="H166" s="82">
        <f t="shared" si="9"/>
        <v>69.69815518101889</v>
      </c>
      <c r="I166" s="161">
        <f t="shared" si="10"/>
        <v>0</v>
      </c>
      <c r="J166" s="42">
        <f t="shared" si="11"/>
        <v>0</v>
      </c>
      <c r="K166" s="5"/>
      <c r="L166" s="10"/>
      <c r="M166" s="11"/>
      <c r="R166" s="11"/>
    </row>
    <row r="167" spans="1:18" x14ac:dyDescent="0.25">
      <c r="A167" s="38">
        <f>Données!A167</f>
        <v>5684</v>
      </c>
      <c r="B167" s="144" t="str">
        <f>Données!B167</f>
        <v>Rossenges</v>
      </c>
      <c r="C167" s="272">
        <f>VPI!R167</f>
        <v>3699.9676666666669</v>
      </c>
      <c r="D167" s="414">
        <f>+Données!AP167</f>
        <v>19.968454175444691</v>
      </c>
      <c r="E167" s="320">
        <f>VPI!Q167</f>
        <v>75</v>
      </c>
      <c r="F167" s="179">
        <f t="shared" si="8"/>
        <v>55.031545824555309</v>
      </c>
      <c r="G167" s="176">
        <f>Effort!I167+Aide!I167/Taux!C167+Effort!K167/Taux!C167</f>
        <v>24.222196040415316</v>
      </c>
      <c r="H167" s="82">
        <f t="shared" si="9"/>
        <v>79.253741864970621</v>
      </c>
      <c r="I167" s="161">
        <f t="shared" si="10"/>
        <v>0</v>
      </c>
      <c r="J167" s="42">
        <f t="shared" si="11"/>
        <v>0</v>
      </c>
      <c r="K167" s="5"/>
      <c r="L167" s="10"/>
      <c r="M167" s="11"/>
      <c r="R167" s="11"/>
    </row>
    <row r="168" spans="1:18" x14ac:dyDescent="0.25">
      <c r="A168" s="38">
        <f>Données!A168</f>
        <v>5688</v>
      </c>
      <c r="B168" s="144" t="str">
        <f>Données!B168</f>
        <v>Syens</v>
      </c>
      <c r="C168" s="272">
        <f>VPI!R168</f>
        <v>5276.9227692307695</v>
      </c>
      <c r="D168" s="414">
        <f>+Données!AP168</f>
        <v>24.464203919015485</v>
      </c>
      <c r="E168" s="320">
        <f>VPI!Q168</f>
        <v>65</v>
      </c>
      <c r="F168" s="179">
        <f t="shared" si="8"/>
        <v>40.535796080984511</v>
      </c>
      <c r="G168" s="176">
        <f>Effort!I168+Aide!I168/Taux!C168+Effort!K168/Taux!C168</f>
        <v>16.370554349313675</v>
      </c>
      <c r="H168" s="82">
        <f t="shared" si="9"/>
        <v>56.90635043029819</v>
      </c>
      <c r="I168" s="161">
        <f t="shared" si="10"/>
        <v>0</v>
      </c>
      <c r="J168" s="42">
        <f t="shared" si="11"/>
        <v>0</v>
      </c>
      <c r="K168" s="5"/>
      <c r="L168" s="10"/>
      <c r="M168" s="11"/>
      <c r="R168" s="11"/>
    </row>
    <row r="169" spans="1:18" x14ac:dyDescent="0.25">
      <c r="A169" s="38">
        <f>Données!A169</f>
        <v>5690</v>
      </c>
      <c r="B169" s="144" t="str">
        <f>Données!B169</f>
        <v>Villars-le-Comte</v>
      </c>
      <c r="C169" s="272">
        <f>VPI!R169</f>
        <v>4331.3648095238095</v>
      </c>
      <c r="D169" s="414">
        <f>+Données!AP169</f>
        <v>11.107240241538367</v>
      </c>
      <c r="E169" s="320">
        <f>VPI!Q169</f>
        <v>70</v>
      </c>
      <c r="F169" s="179">
        <f t="shared" si="8"/>
        <v>58.892759758461636</v>
      </c>
      <c r="G169" s="176">
        <f>Effort!I169+Aide!I169/Taux!C169+Effort!K169/Taux!C169</f>
        <v>17.631848585269488</v>
      </c>
      <c r="H169" s="82">
        <f t="shared" si="9"/>
        <v>76.524608343731131</v>
      </c>
      <c r="I169" s="161">
        <f t="shared" si="10"/>
        <v>0</v>
      </c>
      <c r="J169" s="42">
        <f t="shared" si="11"/>
        <v>0</v>
      </c>
      <c r="K169" s="5"/>
      <c r="L169" s="10"/>
      <c r="M169" s="11"/>
      <c r="R169" s="11"/>
    </row>
    <row r="170" spans="1:18" x14ac:dyDescent="0.25">
      <c r="A170" s="38">
        <f>Données!A170</f>
        <v>5692</v>
      </c>
      <c r="B170" s="144" t="str">
        <f>Données!B170</f>
        <v>Vucherens</v>
      </c>
      <c r="C170" s="272">
        <f>VPI!R170</f>
        <v>18948.19272727273</v>
      </c>
      <c r="D170" s="414">
        <f>+Données!AP170</f>
        <v>13.745650869158286</v>
      </c>
      <c r="E170" s="320">
        <f>VPI!Q170</f>
        <v>77</v>
      </c>
      <c r="F170" s="179">
        <f t="shared" si="8"/>
        <v>63.254349130841717</v>
      </c>
      <c r="G170" s="176">
        <f>Effort!I170+Aide!I170/Taux!C170+Effort!K170/Taux!C170</f>
        <v>8.1007762751394772</v>
      </c>
      <c r="H170" s="82">
        <f t="shared" si="9"/>
        <v>71.355125405981198</v>
      </c>
      <c r="I170" s="161">
        <f t="shared" si="10"/>
        <v>0</v>
      </c>
      <c r="J170" s="42">
        <f t="shared" si="11"/>
        <v>0</v>
      </c>
      <c r="K170" s="5"/>
      <c r="L170" s="10"/>
      <c r="M170" s="11"/>
      <c r="R170" s="11"/>
    </row>
    <row r="171" spans="1:18" x14ac:dyDescent="0.25">
      <c r="A171" s="38">
        <f>Données!A171</f>
        <v>5693</v>
      </c>
      <c r="B171" s="144" t="str">
        <f>Données!B171</f>
        <v>Montanaire</v>
      </c>
      <c r="C171" s="272">
        <f>VPI!R171</f>
        <v>80076.194857142837</v>
      </c>
      <c r="D171" s="414">
        <f>+Données!AP171</f>
        <v>7.0915239660645009</v>
      </c>
      <c r="E171" s="320">
        <f>VPI!Q171</f>
        <v>70</v>
      </c>
      <c r="F171" s="179">
        <f t="shared" si="8"/>
        <v>62.9084760339355</v>
      </c>
      <c r="G171" s="176">
        <f>Effort!I171+Aide!I171/Taux!C171+Effort!K171/Taux!C171</f>
        <v>0.69195388480663311</v>
      </c>
      <c r="H171" s="82">
        <f t="shared" si="9"/>
        <v>63.600429918742137</v>
      </c>
      <c r="I171" s="161">
        <f t="shared" si="10"/>
        <v>0</v>
      </c>
      <c r="J171" s="42">
        <f t="shared" si="11"/>
        <v>0</v>
      </c>
      <c r="K171" s="5"/>
      <c r="L171" s="10"/>
      <c r="M171" s="11"/>
      <c r="R171" s="11"/>
    </row>
    <row r="172" spans="1:18" x14ac:dyDescent="0.25">
      <c r="A172" s="38">
        <f>Données!A172</f>
        <v>5701</v>
      </c>
      <c r="B172" s="144" t="str">
        <f>Données!B172</f>
        <v>Arnex-sur-Nyon</v>
      </c>
      <c r="C172" s="272">
        <f>VPI!R172</f>
        <v>12996.777571428571</v>
      </c>
      <c r="D172" s="414">
        <f>+Données!AP172</f>
        <v>34.214302587639096</v>
      </c>
      <c r="E172" s="320">
        <f>VPI!Q172</f>
        <v>70</v>
      </c>
      <c r="F172" s="179">
        <f t="shared" si="8"/>
        <v>35.785697412360904</v>
      </c>
      <c r="G172" s="176">
        <f>Effort!I172+Aide!I172/Taux!C172+Effort!K172/Taux!C172</f>
        <v>31.29416509408156</v>
      </c>
      <c r="H172" s="82">
        <f t="shared" si="9"/>
        <v>67.079862506442467</v>
      </c>
      <c r="I172" s="161">
        <f t="shared" si="10"/>
        <v>0</v>
      </c>
      <c r="J172" s="42">
        <f t="shared" si="11"/>
        <v>0</v>
      </c>
      <c r="K172" s="5"/>
      <c r="L172" s="10"/>
      <c r="M172" s="11"/>
      <c r="R172" s="11"/>
    </row>
    <row r="173" spans="1:18" x14ac:dyDescent="0.25">
      <c r="A173" s="38">
        <f>Données!A173</f>
        <v>5702</v>
      </c>
      <c r="B173" s="144" t="str">
        <f>Données!B173</f>
        <v>Arzier-Le Muids</v>
      </c>
      <c r="C173" s="272">
        <f>VPI!R173</f>
        <v>187982.65953125001</v>
      </c>
      <c r="D173" s="414">
        <f>+Données!AP173</f>
        <v>29.869372124588075</v>
      </c>
      <c r="E173" s="320">
        <f>VPI!Q173</f>
        <v>64</v>
      </c>
      <c r="F173" s="179">
        <f t="shared" si="8"/>
        <v>34.130627875411925</v>
      </c>
      <c r="G173" s="176">
        <f>Effort!I173+Aide!I173/Taux!C173+Effort!K173/Taux!C173</f>
        <v>28.526881779195193</v>
      </c>
      <c r="H173" s="82">
        <f t="shared" si="9"/>
        <v>62.657509654607118</v>
      </c>
      <c r="I173" s="161">
        <f t="shared" si="10"/>
        <v>0</v>
      </c>
      <c r="J173" s="42">
        <f t="shared" si="11"/>
        <v>0</v>
      </c>
      <c r="K173" s="5"/>
      <c r="L173" s="10"/>
      <c r="M173" s="11"/>
      <c r="R173" s="11"/>
    </row>
    <row r="174" spans="1:18" x14ac:dyDescent="0.25">
      <c r="A174" s="38">
        <f>Données!A174</f>
        <v>5703</v>
      </c>
      <c r="B174" s="144" t="str">
        <f>Données!B174</f>
        <v>Bassins</v>
      </c>
      <c r="C174" s="272">
        <f>VPI!R174</f>
        <v>65440.672492610829</v>
      </c>
      <c r="D174" s="414">
        <f>+Données!AP174</f>
        <v>26.002017649144221</v>
      </c>
      <c r="E174" s="320">
        <f>VPI!Q174</f>
        <v>72.5</v>
      </c>
      <c r="F174" s="179">
        <f t="shared" si="8"/>
        <v>46.497982350855779</v>
      </c>
      <c r="G174" s="176">
        <f>Effort!I174+Aide!I174/Taux!C174+Effort!K174/Taux!C174</f>
        <v>25.694608446951651</v>
      </c>
      <c r="H174" s="82">
        <f t="shared" si="9"/>
        <v>72.192590797807426</v>
      </c>
      <c r="I174" s="161">
        <f t="shared" si="10"/>
        <v>0</v>
      </c>
      <c r="J174" s="42">
        <f t="shared" si="11"/>
        <v>0</v>
      </c>
      <c r="K174" s="5"/>
      <c r="L174" s="10"/>
      <c r="M174" s="11"/>
      <c r="R174" s="11"/>
    </row>
    <row r="175" spans="1:18" x14ac:dyDescent="0.25">
      <c r="A175" s="38">
        <f>Données!A175</f>
        <v>5704</v>
      </c>
      <c r="B175" s="144" t="str">
        <f>Données!B175</f>
        <v>Begnins</v>
      </c>
      <c r="C175" s="272">
        <f>VPI!R175</f>
        <v>129766.74997333332</v>
      </c>
      <c r="D175" s="414">
        <f>+Données!AP175</f>
        <v>35.094538502506502</v>
      </c>
      <c r="E175" s="320">
        <f>VPI!Q175</f>
        <v>62.5</v>
      </c>
      <c r="F175" s="179">
        <f t="shared" si="8"/>
        <v>27.405461497493498</v>
      </c>
      <c r="G175" s="176">
        <f>Effort!I175+Aide!I175/Taux!C175+Effort!K175/Taux!C175</f>
        <v>32.876603980275789</v>
      </c>
      <c r="H175" s="82">
        <f t="shared" si="9"/>
        <v>60.282065477769287</v>
      </c>
      <c r="I175" s="161">
        <f t="shared" si="10"/>
        <v>0</v>
      </c>
      <c r="J175" s="42">
        <f t="shared" si="11"/>
        <v>0</v>
      </c>
      <c r="K175" s="5"/>
      <c r="L175" s="10"/>
      <c r="M175" s="11"/>
      <c r="R175" s="11"/>
    </row>
    <row r="176" spans="1:18" x14ac:dyDescent="0.25">
      <c r="A176" s="38">
        <f>Données!A176</f>
        <v>5705</v>
      </c>
      <c r="B176" s="144" t="str">
        <f>Données!B176</f>
        <v>Bogis-Bossey</v>
      </c>
      <c r="C176" s="272">
        <f>VPI!R176</f>
        <v>51043.487651006704</v>
      </c>
      <c r="D176" s="414">
        <f>+Données!AP176</f>
        <v>32.586714508175007</v>
      </c>
      <c r="E176" s="320">
        <f>VPI!Q176</f>
        <v>74.5</v>
      </c>
      <c r="F176" s="179">
        <f t="shared" si="8"/>
        <v>41.913285491824993</v>
      </c>
      <c r="G176" s="176">
        <f>Effort!I176+Aide!I176/Taux!C176+Effort!K176/Taux!C176</f>
        <v>31.721997645303873</v>
      </c>
      <c r="H176" s="82">
        <f t="shared" si="9"/>
        <v>73.635283137128866</v>
      </c>
      <c r="I176" s="161">
        <f t="shared" si="10"/>
        <v>0</v>
      </c>
      <c r="J176" s="42">
        <f t="shared" si="11"/>
        <v>0</v>
      </c>
      <c r="K176" s="5"/>
      <c r="L176" s="10"/>
      <c r="M176" s="11"/>
      <c r="R176" s="11"/>
    </row>
    <row r="177" spans="1:18" x14ac:dyDescent="0.25">
      <c r="A177" s="38">
        <f>Données!A177</f>
        <v>5706</v>
      </c>
      <c r="B177" s="144" t="str">
        <f>Données!B177</f>
        <v>Borex</v>
      </c>
      <c r="C177" s="272">
        <f>VPI!R177</f>
        <v>69138.234561403515</v>
      </c>
      <c r="D177" s="414">
        <f>+Données!AP177</f>
        <v>32.121816323060955</v>
      </c>
      <c r="E177" s="320">
        <f>VPI!Q177</f>
        <v>57</v>
      </c>
      <c r="F177" s="179">
        <f t="shared" si="8"/>
        <v>24.878183676939045</v>
      </c>
      <c r="G177" s="176">
        <f>Effort!I177+Aide!I177/Taux!C177+Effort!K177/Taux!C177</f>
        <v>32.313900145376138</v>
      </c>
      <c r="H177" s="82">
        <f t="shared" si="9"/>
        <v>57.192083822315183</v>
      </c>
      <c r="I177" s="161">
        <f t="shared" si="10"/>
        <v>0</v>
      </c>
      <c r="J177" s="42">
        <f t="shared" si="11"/>
        <v>0</v>
      </c>
      <c r="K177" s="5"/>
      <c r="L177" s="10"/>
      <c r="M177" s="11"/>
      <c r="R177" s="11"/>
    </row>
    <row r="178" spans="1:18" x14ac:dyDescent="0.25">
      <c r="A178" s="38">
        <f>Données!A178</f>
        <v>5707</v>
      </c>
      <c r="B178" s="144" t="str">
        <f>Données!B178</f>
        <v>Chavannes-de-Bogis</v>
      </c>
      <c r="C178" s="272">
        <f>VPI!R178</f>
        <v>86795.072643678155</v>
      </c>
      <c r="D178" s="414">
        <f>+Données!AP178</f>
        <v>33.109162981631222</v>
      </c>
      <c r="E178" s="320">
        <f>VPI!Q178</f>
        <v>58</v>
      </c>
      <c r="F178" s="179">
        <f t="shared" si="8"/>
        <v>24.890837018368778</v>
      </c>
      <c r="G178" s="176">
        <f>Effort!I178+Aide!I178/Taux!C178+Effort!K178/Taux!C178</f>
        <v>33.200574660829631</v>
      </c>
      <c r="H178" s="82">
        <f t="shared" si="9"/>
        <v>58.091411679198409</v>
      </c>
      <c r="I178" s="161">
        <f t="shared" si="10"/>
        <v>0</v>
      </c>
      <c r="J178" s="42">
        <f t="shared" si="11"/>
        <v>0</v>
      </c>
      <c r="K178" s="5"/>
      <c r="L178" s="10"/>
      <c r="M178" s="11"/>
      <c r="R178" s="11"/>
    </row>
    <row r="179" spans="1:18" x14ac:dyDescent="0.25">
      <c r="A179" s="38">
        <f>Données!A179</f>
        <v>5708</v>
      </c>
      <c r="B179" s="144" t="str">
        <f>Données!B179</f>
        <v>Chavannes-des-Bois</v>
      </c>
      <c r="C179" s="272">
        <f>VPI!R179</f>
        <v>68805.474411764691</v>
      </c>
      <c r="D179" s="414">
        <f>+Données!AP179</f>
        <v>34.775272233245133</v>
      </c>
      <c r="E179" s="320">
        <f>VPI!Q179</f>
        <v>68</v>
      </c>
      <c r="F179" s="179">
        <f t="shared" si="8"/>
        <v>33.224727766754867</v>
      </c>
      <c r="G179" s="176">
        <f>Effort!I179+Aide!I179/Taux!C179+Effort!K179/Taux!C179</f>
        <v>35.054951492253963</v>
      </c>
      <c r="H179" s="82">
        <f t="shared" si="9"/>
        <v>68.27967925900883</v>
      </c>
      <c r="I179" s="161">
        <f t="shared" si="10"/>
        <v>0</v>
      </c>
      <c r="J179" s="42">
        <f t="shared" si="11"/>
        <v>0</v>
      </c>
      <c r="K179" s="5"/>
      <c r="L179" s="10"/>
      <c r="M179" s="11"/>
      <c r="R179" s="11"/>
    </row>
    <row r="180" spans="1:18" x14ac:dyDescent="0.25">
      <c r="A180" s="38">
        <f>Données!A180</f>
        <v>5709</v>
      </c>
      <c r="B180" s="144" t="str">
        <f>Données!B180</f>
        <v>Chéserex</v>
      </c>
      <c r="C180" s="272">
        <f>VPI!R180</f>
        <v>90983.181403508803</v>
      </c>
      <c r="D180" s="414">
        <f>+Données!AP180</f>
        <v>34.039111914020786</v>
      </c>
      <c r="E180" s="320">
        <f>VPI!Q180</f>
        <v>57</v>
      </c>
      <c r="F180" s="179">
        <f t="shared" si="8"/>
        <v>22.960888085979214</v>
      </c>
      <c r="G180" s="176">
        <f>Effort!I180+Aide!I180/Taux!C180+Effort!K180/Taux!C180</f>
        <v>34.799540979943274</v>
      </c>
      <c r="H180" s="82">
        <f t="shared" si="9"/>
        <v>57.760429065922487</v>
      </c>
      <c r="I180" s="161">
        <f t="shared" si="10"/>
        <v>0</v>
      </c>
      <c r="J180" s="42">
        <f t="shared" si="11"/>
        <v>0</v>
      </c>
      <c r="K180" s="5"/>
      <c r="L180" s="10"/>
      <c r="M180" s="11"/>
      <c r="R180" s="11"/>
    </row>
    <row r="181" spans="1:18" x14ac:dyDescent="0.25">
      <c r="A181" s="38">
        <f>Données!A181</f>
        <v>5710</v>
      </c>
      <c r="B181" s="144" t="str">
        <f>Données!B181</f>
        <v>Coinsins</v>
      </c>
      <c r="C181" s="272">
        <f>VPI!R181</f>
        <v>33546.798235294118</v>
      </c>
      <c r="D181" s="414">
        <f>+Données!AP181</f>
        <v>37.412203084558897</v>
      </c>
      <c r="E181" s="320">
        <f>VPI!Q181</f>
        <v>51</v>
      </c>
      <c r="F181" s="179">
        <f t="shared" si="8"/>
        <v>13.587796915441103</v>
      </c>
      <c r="G181" s="176">
        <f>Effort!I181+Aide!I181/Taux!C181+Effort!K181/Taux!C181</f>
        <v>33.820732464603807</v>
      </c>
      <c r="H181" s="82">
        <f t="shared" si="9"/>
        <v>47.408529380044911</v>
      </c>
      <c r="I181" s="161">
        <f t="shared" si="10"/>
        <v>0</v>
      </c>
      <c r="J181" s="42">
        <f t="shared" si="11"/>
        <v>0</v>
      </c>
      <c r="K181" s="5"/>
      <c r="L181" s="10"/>
      <c r="M181" s="11"/>
      <c r="R181" s="11"/>
    </row>
    <row r="182" spans="1:18" x14ac:dyDescent="0.25">
      <c r="A182" s="38">
        <f>Données!A182</f>
        <v>5711</v>
      </c>
      <c r="B182" s="144" t="str">
        <f>Données!B182</f>
        <v>Commugny</v>
      </c>
      <c r="C182" s="272">
        <f>VPI!R182</f>
        <v>305460.14325236168</v>
      </c>
      <c r="D182" s="414">
        <f>+Données!AP182</f>
        <v>38.090903758697252</v>
      </c>
      <c r="E182" s="320">
        <f>VPI!Q182</f>
        <v>57</v>
      </c>
      <c r="F182" s="179">
        <f t="shared" si="8"/>
        <v>18.909096241302748</v>
      </c>
      <c r="G182" s="176">
        <f>Effort!I182+Aide!I182/Taux!C182+Effort!K182/Taux!C182</f>
        <v>39.920810265038838</v>
      </c>
      <c r="H182" s="82">
        <f t="shared" si="9"/>
        <v>58.829906506341587</v>
      </c>
      <c r="I182" s="161">
        <f t="shared" si="10"/>
        <v>0</v>
      </c>
      <c r="J182" s="42">
        <f t="shared" si="11"/>
        <v>0</v>
      </c>
      <c r="K182" s="5"/>
      <c r="L182" s="10"/>
      <c r="M182" s="11"/>
      <c r="R182" s="11"/>
    </row>
    <row r="183" spans="1:18" x14ac:dyDescent="0.25">
      <c r="A183" s="38">
        <f>Données!A183</f>
        <v>5712</v>
      </c>
      <c r="B183" s="144" t="str">
        <f>Données!B183</f>
        <v>Coppet</v>
      </c>
      <c r="C183" s="272">
        <f>VPI!R183</f>
        <v>422775.96742138366</v>
      </c>
      <c r="D183" s="414">
        <f>+Données!AP183</f>
        <v>39.220881530283933</v>
      </c>
      <c r="E183" s="320">
        <f>VPI!Q183</f>
        <v>53</v>
      </c>
      <c r="F183" s="179">
        <f t="shared" si="8"/>
        <v>13.779118469716067</v>
      </c>
      <c r="G183" s="176">
        <f>Effort!I183+Aide!I183/Taux!C183+Effort!K183/Taux!C183</f>
        <v>43.513599911533383</v>
      </c>
      <c r="H183" s="82">
        <f t="shared" si="9"/>
        <v>57.29271838124945</v>
      </c>
      <c r="I183" s="161">
        <f t="shared" si="10"/>
        <v>0</v>
      </c>
      <c r="J183" s="42">
        <f t="shared" si="11"/>
        <v>0</v>
      </c>
      <c r="K183" s="5"/>
      <c r="L183" s="10"/>
      <c r="M183" s="11"/>
      <c r="R183" s="11"/>
    </row>
    <row r="184" spans="1:18" x14ac:dyDescent="0.25">
      <c r="A184" s="38">
        <f>Données!A184</f>
        <v>5713</v>
      </c>
      <c r="B184" s="144" t="str">
        <f>Données!B184</f>
        <v>Crans</v>
      </c>
      <c r="C184" s="272">
        <f>VPI!R184</f>
        <v>284268.21966101695</v>
      </c>
      <c r="D184" s="414">
        <f>+Données!AP184</f>
        <v>43.800586380400361</v>
      </c>
      <c r="E184" s="320">
        <f>VPI!Q184</f>
        <v>59</v>
      </c>
      <c r="F184" s="179">
        <f t="shared" si="8"/>
        <v>15.199413619599639</v>
      </c>
      <c r="G184" s="176">
        <f>Effort!I184+Aide!I184/Taux!C184+Effort!K184/Taux!C184</f>
        <v>43.684645828558828</v>
      </c>
      <c r="H184" s="82">
        <f t="shared" si="9"/>
        <v>58.884059448158467</v>
      </c>
      <c r="I184" s="161">
        <f t="shared" si="10"/>
        <v>0</v>
      </c>
      <c r="J184" s="42">
        <f t="shared" si="11"/>
        <v>0</v>
      </c>
      <c r="K184" s="5"/>
      <c r="L184" s="10"/>
      <c r="M184" s="11"/>
      <c r="R184" s="11"/>
    </row>
    <row r="185" spans="1:18" x14ac:dyDescent="0.25">
      <c r="A185" s="38">
        <f>Données!A185</f>
        <v>5714</v>
      </c>
      <c r="B185" s="144" t="str">
        <f>Données!B185</f>
        <v>Crassier</v>
      </c>
      <c r="C185" s="272">
        <f>VPI!R185</f>
        <v>62524.177894736851</v>
      </c>
      <c r="D185" s="414">
        <f>+Données!AP185</f>
        <v>29.288828675533949</v>
      </c>
      <c r="E185" s="320">
        <f>VPI!Q185</f>
        <v>66.5</v>
      </c>
      <c r="F185" s="179">
        <f t="shared" si="8"/>
        <v>37.211171324466051</v>
      </c>
      <c r="G185" s="176">
        <f>Effort!I185+Aide!I185/Taux!C185+Effort!K185/Taux!C185</f>
        <v>29.369932179965076</v>
      </c>
      <c r="H185" s="82">
        <f t="shared" si="9"/>
        <v>66.581103504431127</v>
      </c>
      <c r="I185" s="161">
        <f t="shared" si="10"/>
        <v>0</v>
      </c>
      <c r="J185" s="42">
        <f t="shared" si="11"/>
        <v>0</v>
      </c>
      <c r="K185" s="5"/>
      <c r="L185" s="10"/>
      <c r="M185" s="11"/>
      <c r="R185" s="11"/>
    </row>
    <row r="186" spans="1:18" x14ac:dyDescent="0.25">
      <c r="A186" s="38">
        <f>Données!A186</f>
        <v>5715</v>
      </c>
      <c r="B186" s="144" t="str">
        <f>Données!B186</f>
        <v>Duillier</v>
      </c>
      <c r="C186" s="272">
        <f>VPI!R186</f>
        <v>60549.503181818189</v>
      </c>
      <c r="D186" s="414">
        <f>+Données!AP186</f>
        <v>32.711642654110122</v>
      </c>
      <c r="E186" s="320">
        <f>VPI!Q186</f>
        <v>66</v>
      </c>
      <c r="F186" s="179">
        <f t="shared" si="8"/>
        <v>33.288357345889878</v>
      </c>
      <c r="G186" s="176">
        <f>Effort!I186+Aide!I186/Taux!C186+Effort!K186/Taux!C186</f>
        <v>30.776278364888391</v>
      </c>
      <c r="H186" s="82">
        <f t="shared" si="9"/>
        <v>64.064635710778276</v>
      </c>
      <c r="I186" s="161">
        <f t="shared" si="10"/>
        <v>0</v>
      </c>
      <c r="J186" s="42">
        <f t="shared" si="11"/>
        <v>0</v>
      </c>
      <c r="K186" s="5"/>
      <c r="L186" s="10"/>
      <c r="M186" s="11"/>
      <c r="R186" s="11"/>
    </row>
    <row r="187" spans="1:18" x14ac:dyDescent="0.25">
      <c r="A187" s="38">
        <f>Données!A187</f>
        <v>5716</v>
      </c>
      <c r="B187" s="144" t="str">
        <f>Données!B187</f>
        <v>Eysins</v>
      </c>
      <c r="C187" s="272">
        <f>VPI!R187</f>
        <v>232449.31983193275</v>
      </c>
      <c r="D187" s="414">
        <f>+Données!AP187</f>
        <v>43.480661549341704</v>
      </c>
      <c r="E187" s="320">
        <f>VPI!Q187</f>
        <v>59.5</v>
      </c>
      <c r="F187" s="179">
        <f t="shared" si="8"/>
        <v>16.019338450658296</v>
      </c>
      <c r="G187" s="176">
        <f>Effort!I187+Aide!I187/Taux!C187+Effort!K187/Taux!C187</f>
        <v>45.547713459075752</v>
      </c>
      <c r="H187" s="82">
        <f t="shared" si="9"/>
        <v>61.567051909734047</v>
      </c>
      <c r="I187" s="161">
        <f t="shared" si="10"/>
        <v>0</v>
      </c>
      <c r="J187" s="42">
        <f t="shared" si="11"/>
        <v>0</v>
      </c>
      <c r="K187" s="5"/>
      <c r="L187" s="10"/>
      <c r="M187" s="11"/>
      <c r="R187" s="11"/>
    </row>
    <row r="188" spans="1:18" x14ac:dyDescent="0.25">
      <c r="A188" s="38">
        <f>Données!A188</f>
        <v>5717</v>
      </c>
      <c r="B188" s="144" t="str">
        <f>Données!B188</f>
        <v>Founex</v>
      </c>
      <c r="C188" s="272">
        <f>VPI!R188</f>
        <v>361580.60666666663</v>
      </c>
      <c r="D188" s="414">
        <f>+Données!AP188</f>
        <v>39.303120830195375</v>
      </c>
      <c r="E188" s="320">
        <f>VPI!Q188</f>
        <v>57</v>
      </c>
      <c r="F188" s="179">
        <f t="shared" si="8"/>
        <v>17.696879169804625</v>
      </c>
      <c r="G188" s="176">
        <f>Effort!I188+Aide!I188/Taux!C188+Effort!K188/Taux!C188</f>
        <v>38.059430949165431</v>
      </c>
      <c r="H188" s="82">
        <f t="shared" si="9"/>
        <v>55.756310118970056</v>
      </c>
      <c r="I188" s="161">
        <f t="shared" si="10"/>
        <v>0</v>
      </c>
      <c r="J188" s="42">
        <f t="shared" si="11"/>
        <v>0</v>
      </c>
      <c r="K188" s="5"/>
      <c r="L188" s="10"/>
      <c r="M188" s="11"/>
      <c r="R188" s="11"/>
    </row>
    <row r="189" spans="1:18" x14ac:dyDescent="0.25">
      <c r="A189" s="38">
        <f>Données!A189</f>
        <v>5718</v>
      </c>
      <c r="B189" s="144" t="str">
        <f>Données!B189</f>
        <v>Genolier</v>
      </c>
      <c r="C189" s="272">
        <f>VPI!R189</f>
        <v>212690.22036363633</v>
      </c>
      <c r="D189" s="414">
        <f>+Données!AP189</f>
        <v>38.351972843767683</v>
      </c>
      <c r="E189" s="320">
        <f>VPI!Q189</f>
        <v>55</v>
      </c>
      <c r="F189" s="179">
        <f t="shared" si="8"/>
        <v>16.648027156232317</v>
      </c>
      <c r="G189" s="176">
        <f>Effort!I189+Aide!I189/Taux!C189+Effort!K189/Taux!C189</f>
        <v>40.39671958260233</v>
      </c>
      <c r="H189" s="82">
        <f t="shared" si="9"/>
        <v>57.044746738834647</v>
      </c>
      <c r="I189" s="161">
        <f t="shared" si="10"/>
        <v>0</v>
      </c>
      <c r="J189" s="42">
        <f t="shared" si="11"/>
        <v>0</v>
      </c>
      <c r="K189" s="5"/>
      <c r="L189" s="10"/>
      <c r="M189" s="11"/>
      <c r="R189" s="11"/>
    </row>
    <row r="190" spans="1:18" x14ac:dyDescent="0.25">
      <c r="A190" s="38">
        <f>Données!A190</f>
        <v>5719</v>
      </c>
      <c r="B190" s="144" t="str">
        <f>Données!B190</f>
        <v>Gingins</v>
      </c>
      <c r="C190" s="272">
        <f>VPI!R190</f>
        <v>119942.45777777776</v>
      </c>
      <c r="D190" s="414">
        <f>+Données!AP190</f>
        <v>44.377644435565514</v>
      </c>
      <c r="E190" s="320">
        <f>VPI!Q190</f>
        <v>60</v>
      </c>
      <c r="F190" s="179">
        <f t="shared" si="8"/>
        <v>15.622355564434486</v>
      </c>
      <c r="G190" s="176">
        <f>Effort!I190+Aide!I190/Taux!C190+Effort!K190/Taux!C190</f>
        <v>39.87636375714699</v>
      </c>
      <c r="H190" s="82">
        <f t="shared" si="9"/>
        <v>55.498719321581476</v>
      </c>
      <c r="I190" s="161">
        <f t="shared" si="10"/>
        <v>0</v>
      </c>
      <c r="J190" s="42">
        <f t="shared" si="11"/>
        <v>0</v>
      </c>
      <c r="K190" s="5"/>
      <c r="L190" s="10"/>
      <c r="M190" s="11"/>
      <c r="R190" s="11"/>
    </row>
    <row r="191" spans="1:18" x14ac:dyDescent="0.25">
      <c r="A191" s="38">
        <f>Données!A191</f>
        <v>5720</v>
      </c>
      <c r="B191" s="144" t="str">
        <f>Données!B191</f>
        <v>Givrins</v>
      </c>
      <c r="C191" s="272">
        <f>VPI!R191</f>
        <v>84867.165124378109</v>
      </c>
      <c r="D191" s="414">
        <f>+Données!AP191</f>
        <v>36.617540254145005</v>
      </c>
      <c r="E191" s="320">
        <f>VPI!Q191</f>
        <v>67</v>
      </c>
      <c r="F191" s="179">
        <f t="shared" si="8"/>
        <v>30.382459745854995</v>
      </c>
      <c r="G191" s="176">
        <f>Effort!I191+Aide!I191/Taux!C191+Effort!K191/Taux!C191</f>
        <v>38.824522785490856</v>
      </c>
      <c r="H191" s="82">
        <f t="shared" si="9"/>
        <v>69.206982531345858</v>
      </c>
      <c r="I191" s="161">
        <f t="shared" si="10"/>
        <v>0</v>
      </c>
      <c r="J191" s="42">
        <f t="shared" si="11"/>
        <v>0</v>
      </c>
      <c r="K191" s="5"/>
      <c r="L191" s="10"/>
      <c r="M191" s="11"/>
      <c r="R191" s="11"/>
    </row>
    <row r="192" spans="1:18" x14ac:dyDescent="0.25">
      <c r="A192" s="38">
        <f>Données!A192</f>
        <v>5721</v>
      </c>
      <c r="B192" s="144" t="str">
        <f>Données!B192</f>
        <v>Gland</v>
      </c>
      <c r="C192" s="272">
        <f>VPI!R192</f>
        <v>688905.14770491805</v>
      </c>
      <c r="D192" s="414">
        <f>+Données!AP192</f>
        <v>21.86470528127883</v>
      </c>
      <c r="E192" s="320">
        <f>VPI!Q192</f>
        <v>61</v>
      </c>
      <c r="F192" s="179">
        <f t="shared" si="8"/>
        <v>39.13529471872117</v>
      </c>
      <c r="G192" s="176">
        <f>Effort!I192+Aide!I192/Taux!C192+Effort!K192/Taux!C192</f>
        <v>19.803020003330815</v>
      </c>
      <c r="H192" s="82">
        <f t="shared" si="9"/>
        <v>58.938314722051985</v>
      </c>
      <c r="I192" s="161">
        <f t="shared" si="10"/>
        <v>0</v>
      </c>
      <c r="J192" s="42">
        <f t="shared" si="11"/>
        <v>0</v>
      </c>
      <c r="K192" s="5"/>
      <c r="L192" s="10"/>
      <c r="M192" s="11"/>
      <c r="R192" s="11"/>
    </row>
    <row r="193" spans="1:18" x14ac:dyDescent="0.25">
      <c r="A193" s="38">
        <f>Données!A193</f>
        <v>5722</v>
      </c>
      <c r="B193" s="144" t="str">
        <f>Données!B193</f>
        <v>Grens</v>
      </c>
      <c r="C193" s="272">
        <f>VPI!R193</f>
        <v>20912.601129032257</v>
      </c>
      <c r="D193" s="414">
        <f>+Données!AP193</f>
        <v>31.376243486280565</v>
      </c>
      <c r="E193" s="320">
        <f>VPI!Q193</f>
        <v>62</v>
      </c>
      <c r="F193" s="179">
        <f t="shared" si="8"/>
        <v>30.623756513719435</v>
      </c>
      <c r="G193" s="176">
        <f>Effort!I193+Aide!I193/Taux!C193+Effort!K193/Taux!C193</f>
        <v>30.630216040360274</v>
      </c>
      <c r="H193" s="82">
        <f t="shared" si="9"/>
        <v>61.253972554079709</v>
      </c>
      <c r="I193" s="161">
        <f t="shared" si="10"/>
        <v>0</v>
      </c>
      <c r="J193" s="42">
        <f t="shared" si="11"/>
        <v>0</v>
      </c>
      <c r="K193" s="5"/>
      <c r="L193" s="10"/>
      <c r="M193" s="11"/>
      <c r="R193" s="11"/>
    </row>
    <row r="194" spans="1:18" x14ac:dyDescent="0.25">
      <c r="A194" s="38">
        <f>Données!A194</f>
        <v>5723</v>
      </c>
      <c r="B194" s="144" t="str">
        <f>Données!B194</f>
        <v>Mies</v>
      </c>
      <c r="C194" s="272">
        <f>VPI!R194</f>
        <v>253768.06750000003</v>
      </c>
      <c r="D194" s="414">
        <f>+Données!AP194</f>
        <v>40.792027091144277</v>
      </c>
      <c r="E194" s="320">
        <f>VPI!Q194</f>
        <v>52</v>
      </c>
      <c r="F194" s="179">
        <f t="shared" si="8"/>
        <v>11.207972908855723</v>
      </c>
      <c r="G194" s="176">
        <f>Effort!I194+Aide!I194/Taux!C194+Effort!K194/Taux!C194</f>
        <v>41.169367467733309</v>
      </c>
      <c r="H194" s="82">
        <f t="shared" si="9"/>
        <v>52.377340376589032</v>
      </c>
      <c r="I194" s="161">
        <f t="shared" si="10"/>
        <v>0</v>
      </c>
      <c r="J194" s="42">
        <f t="shared" si="11"/>
        <v>0</v>
      </c>
      <c r="K194" s="5"/>
      <c r="L194" s="10"/>
      <c r="M194" s="11"/>
      <c r="R194" s="11"/>
    </row>
    <row r="195" spans="1:18" x14ac:dyDescent="0.25">
      <c r="A195" s="38">
        <f>Données!A195</f>
        <v>5724</v>
      </c>
      <c r="B195" s="144" t="str">
        <f>Données!B195</f>
        <v>Nyon</v>
      </c>
      <c r="C195" s="272">
        <f>VPI!R195</f>
        <v>1519986.9332786887</v>
      </c>
      <c r="D195" s="414">
        <f>+Données!AP195</f>
        <v>23.922691086381352</v>
      </c>
      <c r="E195" s="320">
        <f>VPI!Q195</f>
        <v>61</v>
      </c>
      <c r="F195" s="179">
        <f t="shared" si="8"/>
        <v>37.077308913618651</v>
      </c>
      <c r="G195" s="176">
        <f>Effort!I195+Aide!I195/Taux!C195+Effort!K195/Taux!C195</f>
        <v>23.459707797177934</v>
      </c>
      <c r="H195" s="82">
        <f t="shared" si="9"/>
        <v>60.537016710796586</v>
      </c>
      <c r="I195" s="161">
        <f t="shared" si="10"/>
        <v>0</v>
      </c>
      <c r="J195" s="42">
        <f t="shared" si="11"/>
        <v>0</v>
      </c>
      <c r="K195" s="5"/>
      <c r="L195" s="10"/>
      <c r="M195" s="11"/>
      <c r="R195" s="11"/>
    </row>
    <row r="196" spans="1:18" x14ac:dyDescent="0.25">
      <c r="A196" s="38">
        <f>Données!A196</f>
        <v>5725</v>
      </c>
      <c r="B196" s="144" t="str">
        <f>Données!B196</f>
        <v>Prangins</v>
      </c>
      <c r="C196" s="272">
        <f>VPI!R196</f>
        <v>388906.70535064931</v>
      </c>
      <c r="D196" s="414">
        <f>+Données!AP196</f>
        <v>35.86261057971484</v>
      </c>
      <c r="E196" s="320">
        <f>VPI!Q196</f>
        <v>55</v>
      </c>
      <c r="F196" s="179">
        <f t="shared" si="8"/>
        <v>19.13738942028516</v>
      </c>
      <c r="G196" s="176">
        <f>Effort!I196+Aide!I196/Taux!C196+Effort!K196/Taux!C196</f>
        <v>36.533479634575066</v>
      </c>
      <c r="H196" s="82">
        <f t="shared" si="9"/>
        <v>55.670869054860226</v>
      </c>
      <c r="I196" s="161">
        <f t="shared" si="10"/>
        <v>0</v>
      </c>
      <c r="J196" s="42">
        <f t="shared" si="11"/>
        <v>0</v>
      </c>
      <c r="K196" s="5"/>
      <c r="L196" s="10"/>
      <c r="M196" s="11"/>
      <c r="R196" s="11"/>
    </row>
    <row r="197" spans="1:18" x14ac:dyDescent="0.25">
      <c r="A197" s="38">
        <f>Données!A197</f>
        <v>5726</v>
      </c>
      <c r="B197" s="144" t="str">
        <f>Données!B197</f>
        <v>La Rippe</v>
      </c>
      <c r="C197" s="272">
        <f>VPI!R197</f>
        <v>69785.14234375002</v>
      </c>
      <c r="D197" s="414">
        <f>+Données!AP197</f>
        <v>32.240894069327979</v>
      </c>
      <c r="E197" s="320">
        <f>VPI!Q197</f>
        <v>64</v>
      </c>
      <c r="F197" s="179">
        <f t="shared" si="8"/>
        <v>31.759105930672021</v>
      </c>
      <c r="G197" s="176">
        <f>Effort!I197+Aide!I197/Taux!C197+Effort!K197/Taux!C197</f>
        <v>31.555901034489427</v>
      </c>
      <c r="H197" s="82">
        <f t="shared" si="9"/>
        <v>63.315006965161444</v>
      </c>
      <c r="I197" s="161">
        <f t="shared" si="10"/>
        <v>0</v>
      </c>
      <c r="J197" s="42">
        <f t="shared" si="11"/>
        <v>0</v>
      </c>
      <c r="K197" s="5"/>
      <c r="L197" s="10"/>
      <c r="M197" s="11"/>
      <c r="R197" s="11"/>
    </row>
    <row r="198" spans="1:18" x14ac:dyDescent="0.25">
      <c r="A198" s="38">
        <f>Données!A198</f>
        <v>5727</v>
      </c>
      <c r="B198" s="144" t="str">
        <f>Données!B198</f>
        <v>Saint-Cergue</v>
      </c>
      <c r="C198" s="272">
        <f>VPI!R198</f>
        <v>107047.00984848487</v>
      </c>
      <c r="D198" s="414">
        <f>+Données!AP198</f>
        <v>20.54549187187175</v>
      </c>
      <c r="E198" s="320">
        <f>VPI!Q198</f>
        <v>66</v>
      </c>
      <c r="F198" s="179">
        <f t="shared" si="8"/>
        <v>45.454508128128253</v>
      </c>
      <c r="G198" s="176">
        <f>Effort!I198+Aide!I198/Taux!C198+Effort!K198/Taux!C198</f>
        <v>17.201267336817214</v>
      </c>
      <c r="H198" s="82">
        <f t="shared" si="9"/>
        <v>62.655775464945464</v>
      </c>
      <c r="I198" s="161">
        <f t="shared" si="10"/>
        <v>0</v>
      </c>
      <c r="J198" s="42">
        <f t="shared" si="11"/>
        <v>0</v>
      </c>
      <c r="K198" s="5"/>
      <c r="L198" s="10"/>
      <c r="M198" s="11"/>
      <c r="R198" s="11"/>
    </row>
    <row r="199" spans="1:18" x14ac:dyDescent="0.25">
      <c r="A199" s="38">
        <f>Données!A199</f>
        <v>5728</v>
      </c>
      <c r="B199" s="144" t="str">
        <f>Données!B199</f>
        <v>Signy-Avenex</v>
      </c>
      <c r="C199" s="272">
        <f>VPI!R199</f>
        <v>65974.816379310345</v>
      </c>
      <c r="D199" s="414">
        <f>+Données!AP199</f>
        <v>40.36196574781809</v>
      </c>
      <c r="E199" s="320">
        <f>VPI!Q199</f>
        <v>58</v>
      </c>
      <c r="F199" s="179">
        <f t="shared" ref="F199:F262" si="12">E199-D199</f>
        <v>17.63803425218191</v>
      </c>
      <c r="G199" s="176">
        <f>Effort!I199+Aide!I199/Taux!C199+Effort!K199/Taux!C199</f>
        <v>43.491202897084605</v>
      </c>
      <c r="H199" s="82">
        <f t="shared" ref="H199:H262" si="13">F199+G199</f>
        <v>61.129237149266515</v>
      </c>
      <c r="I199" s="161">
        <f t="shared" ref="I199:I262" si="14">IF(H199&gt;$I$5,H199-$I$5,0)</f>
        <v>0</v>
      </c>
      <c r="J199" s="42">
        <f t="shared" ref="J199:J262" si="15">-I199*C199</f>
        <v>0</v>
      </c>
      <c r="K199" s="5"/>
      <c r="L199" s="10"/>
      <c r="M199" s="11"/>
      <c r="R199" s="11"/>
    </row>
    <row r="200" spans="1:18" x14ac:dyDescent="0.25">
      <c r="A200" s="38">
        <f>Données!A200</f>
        <v>5729</v>
      </c>
      <c r="B200" s="144" t="str">
        <f>Données!B200</f>
        <v>Tannay</v>
      </c>
      <c r="C200" s="272">
        <f>VPI!R200</f>
        <v>189083.86110192843</v>
      </c>
      <c r="D200" s="414">
        <f>+Données!AP200</f>
        <v>40.229881663908074</v>
      </c>
      <c r="E200" s="320">
        <f>VPI!Q200</f>
        <v>60.5</v>
      </c>
      <c r="F200" s="179">
        <f t="shared" si="12"/>
        <v>20.270118336091926</v>
      </c>
      <c r="G200" s="176">
        <f>Effort!I200+Aide!I200/Taux!C200+Effort!K200/Taux!C200</f>
        <v>42.594501976784287</v>
      </c>
      <c r="H200" s="82">
        <f t="shared" si="13"/>
        <v>62.864620312876212</v>
      </c>
      <c r="I200" s="161">
        <f t="shared" si="14"/>
        <v>0</v>
      </c>
      <c r="J200" s="42">
        <f t="shared" si="15"/>
        <v>0</v>
      </c>
      <c r="K200" s="5"/>
      <c r="L200" s="10"/>
      <c r="M200" s="11"/>
      <c r="R200" s="11"/>
    </row>
    <row r="201" spans="1:18" x14ac:dyDescent="0.25">
      <c r="A201" s="38">
        <f>Données!A201</f>
        <v>5730</v>
      </c>
      <c r="B201" s="144" t="str">
        <f>Données!B201</f>
        <v>Trélex</v>
      </c>
      <c r="C201" s="272">
        <f>VPI!R201</f>
        <v>121413.58176176177</v>
      </c>
      <c r="D201" s="414">
        <f>+Données!AP201</f>
        <v>37.491357922467557</v>
      </c>
      <c r="E201" s="320">
        <f>VPI!Q201</f>
        <v>55.5</v>
      </c>
      <c r="F201" s="179">
        <f t="shared" si="12"/>
        <v>18.008642077532443</v>
      </c>
      <c r="G201" s="176">
        <f>Effort!I201+Aide!I201/Taux!C201+Effort!K201/Taux!C201</f>
        <v>37.241968735397364</v>
      </c>
      <c r="H201" s="82">
        <f t="shared" si="13"/>
        <v>55.250610812929807</v>
      </c>
      <c r="I201" s="161">
        <f t="shared" si="14"/>
        <v>0</v>
      </c>
      <c r="J201" s="42">
        <f t="shared" si="15"/>
        <v>0</v>
      </c>
      <c r="K201" s="5"/>
      <c r="L201" s="10"/>
      <c r="M201" s="11"/>
      <c r="R201" s="11"/>
    </row>
    <row r="202" spans="1:18" x14ac:dyDescent="0.25">
      <c r="A202" s="38">
        <f>Données!A202</f>
        <v>5731</v>
      </c>
      <c r="B202" s="144" t="str">
        <f>Données!B202</f>
        <v>Le Vaud</v>
      </c>
      <c r="C202" s="272">
        <f>VPI!R202</f>
        <v>69610.281891891893</v>
      </c>
      <c r="D202" s="414">
        <f>+Données!AP202</f>
        <v>28.773773157509851</v>
      </c>
      <c r="E202" s="320">
        <f>VPI!Q202</f>
        <v>74</v>
      </c>
      <c r="F202" s="179">
        <f t="shared" si="12"/>
        <v>45.226226842490149</v>
      </c>
      <c r="G202" s="176">
        <f>Effort!I202+Aide!I202/Taux!C202+Effort!K202/Taux!C202</f>
        <v>28.118009448732689</v>
      </c>
      <c r="H202" s="82">
        <f t="shared" si="13"/>
        <v>73.344236291222842</v>
      </c>
      <c r="I202" s="161">
        <f t="shared" si="14"/>
        <v>0</v>
      </c>
      <c r="J202" s="42">
        <f t="shared" si="15"/>
        <v>0</v>
      </c>
      <c r="K202" s="5"/>
      <c r="L202" s="10"/>
      <c r="M202" s="11"/>
      <c r="R202" s="11"/>
    </row>
    <row r="203" spans="1:18" x14ac:dyDescent="0.25">
      <c r="A203" s="38">
        <f>Données!A203</f>
        <v>5732</v>
      </c>
      <c r="B203" s="144" t="str">
        <f>Données!B203</f>
        <v>Vich</v>
      </c>
      <c r="C203" s="272">
        <f>VPI!R203</f>
        <v>79859.716666666689</v>
      </c>
      <c r="D203" s="414">
        <f>+Données!AP203</f>
        <v>36.051247489918573</v>
      </c>
      <c r="E203" s="320">
        <f>VPI!Q203</f>
        <v>63</v>
      </c>
      <c r="F203" s="179">
        <f t="shared" si="12"/>
        <v>26.948752510081427</v>
      </c>
      <c r="G203" s="176">
        <f>Effort!I203+Aide!I203/Taux!C203+Effort!K203/Taux!C203</f>
        <v>34.594360080681632</v>
      </c>
      <c r="H203" s="82">
        <f t="shared" si="13"/>
        <v>61.543112590763059</v>
      </c>
      <c r="I203" s="161">
        <f t="shared" si="14"/>
        <v>0</v>
      </c>
      <c r="J203" s="42">
        <f t="shared" si="15"/>
        <v>0</v>
      </c>
      <c r="K203" s="5"/>
      <c r="L203" s="10"/>
      <c r="M203" s="11"/>
      <c r="R203" s="11"/>
    </row>
    <row r="204" spans="1:18" x14ac:dyDescent="0.25">
      <c r="A204" s="38">
        <f>Données!A204</f>
        <v>5741</v>
      </c>
      <c r="B204" s="144" t="str">
        <f>Données!B204</f>
        <v>L'Abergement</v>
      </c>
      <c r="C204" s="272">
        <f>VPI!R204</f>
        <v>10833.767520833331</v>
      </c>
      <c r="D204" s="414">
        <f>+Données!AP204</f>
        <v>19.031243281084532</v>
      </c>
      <c r="E204" s="320">
        <f>VPI!Q204</f>
        <v>80</v>
      </c>
      <c r="F204" s="179">
        <f t="shared" si="12"/>
        <v>60.968756718915472</v>
      </c>
      <c r="G204" s="176">
        <f>Effort!I204+Aide!I204/Taux!C204+Effort!K204/Taux!C204</f>
        <v>14.700029498779404</v>
      </c>
      <c r="H204" s="82">
        <f t="shared" si="13"/>
        <v>75.668786217694873</v>
      </c>
      <c r="I204" s="161">
        <f t="shared" si="14"/>
        <v>0</v>
      </c>
      <c r="J204" s="42">
        <f t="shared" si="15"/>
        <v>0</v>
      </c>
      <c r="K204" s="5"/>
      <c r="L204" s="10"/>
      <c r="M204" s="11"/>
      <c r="R204" s="11"/>
    </row>
    <row r="205" spans="1:18" x14ac:dyDescent="0.25">
      <c r="A205" s="38">
        <f>Données!A205</f>
        <v>5742</v>
      </c>
      <c r="B205" s="144" t="str">
        <f>Données!B205</f>
        <v>Agiez</v>
      </c>
      <c r="C205" s="272">
        <f>VPI!R205</f>
        <v>9049.0200000000023</v>
      </c>
      <c r="D205" s="414">
        <f>+Données!AP205</f>
        <v>9.4631643995779502</v>
      </c>
      <c r="E205" s="320">
        <f>VPI!Q205</f>
        <v>76</v>
      </c>
      <c r="F205" s="179">
        <f t="shared" si="12"/>
        <v>66.536835600422052</v>
      </c>
      <c r="G205" s="176">
        <f>Effort!I205+Aide!I205/Taux!C205+Effort!K205/Taux!C205</f>
        <v>-1.4192004790332184</v>
      </c>
      <c r="H205" s="82">
        <f t="shared" si="13"/>
        <v>65.11763512138883</v>
      </c>
      <c r="I205" s="161">
        <f t="shared" si="14"/>
        <v>0</v>
      </c>
      <c r="J205" s="42">
        <f t="shared" si="15"/>
        <v>0</v>
      </c>
      <c r="K205" s="5"/>
      <c r="L205" s="10"/>
      <c r="M205" s="11"/>
      <c r="R205" s="11"/>
    </row>
    <row r="206" spans="1:18" x14ac:dyDescent="0.25">
      <c r="A206" s="38">
        <f>Données!A206</f>
        <v>5743</v>
      </c>
      <c r="B206" s="144" t="str">
        <f>Données!B206</f>
        <v>Arnex-sur-Orbe</v>
      </c>
      <c r="C206" s="272">
        <f>VPI!R206</f>
        <v>19423.434366197183</v>
      </c>
      <c r="D206" s="414">
        <f>+Données!AP206</f>
        <v>12.847185131679282</v>
      </c>
      <c r="E206" s="320">
        <f>VPI!Q206</f>
        <v>71</v>
      </c>
      <c r="F206" s="179">
        <f t="shared" si="12"/>
        <v>58.152814868320718</v>
      </c>
      <c r="G206" s="176">
        <f>Effort!I206+Aide!I206/Taux!C206+Effort!K206/Taux!C206</f>
        <v>8.5213579704601798</v>
      </c>
      <c r="H206" s="82">
        <f t="shared" si="13"/>
        <v>66.674172838780891</v>
      </c>
      <c r="I206" s="161">
        <f t="shared" si="14"/>
        <v>0</v>
      </c>
      <c r="J206" s="42">
        <f t="shared" si="15"/>
        <v>0</v>
      </c>
      <c r="K206" s="5"/>
      <c r="L206" s="10"/>
      <c r="M206" s="11"/>
      <c r="R206" s="11"/>
    </row>
    <row r="207" spans="1:18" x14ac:dyDescent="0.25">
      <c r="A207" s="38">
        <f>Données!A207</f>
        <v>5744</v>
      </c>
      <c r="B207" s="144" t="str">
        <f>Données!B207</f>
        <v>Ballaigues</v>
      </c>
      <c r="C207" s="272">
        <f>VPI!R207</f>
        <v>54083.704307692322</v>
      </c>
      <c r="D207" s="414">
        <f>+Données!AP207</f>
        <v>25.662983944035595</v>
      </c>
      <c r="E207" s="320">
        <f>VPI!Q207</f>
        <v>65</v>
      </c>
      <c r="F207" s="179">
        <f t="shared" si="12"/>
        <v>39.337016055964405</v>
      </c>
      <c r="G207" s="176">
        <f>Effort!I207+Aide!I207/Taux!C207+Effort!K207/Taux!C207</f>
        <v>22.451830837868183</v>
      </c>
      <c r="H207" s="82">
        <f t="shared" si="13"/>
        <v>61.788846893832584</v>
      </c>
      <c r="I207" s="161">
        <f t="shared" si="14"/>
        <v>0</v>
      </c>
      <c r="J207" s="42">
        <f t="shared" si="15"/>
        <v>0</v>
      </c>
      <c r="K207" s="5"/>
      <c r="L207" s="10"/>
      <c r="M207" s="11"/>
      <c r="R207" s="11"/>
    </row>
    <row r="208" spans="1:18" x14ac:dyDescent="0.25">
      <c r="A208" s="38">
        <f>Données!A208</f>
        <v>5745</v>
      </c>
      <c r="B208" s="144" t="str">
        <f>Données!B208</f>
        <v>Baulmes</v>
      </c>
      <c r="C208" s="272">
        <f>VPI!R208</f>
        <v>27704.620130718955</v>
      </c>
      <c r="D208" s="414">
        <f>+Données!AP208</f>
        <v>4.9004408293077972</v>
      </c>
      <c r="E208" s="320">
        <f>VPI!Q208</f>
        <v>76.5</v>
      </c>
      <c r="F208" s="179">
        <f t="shared" si="12"/>
        <v>71.599559170692203</v>
      </c>
      <c r="G208" s="176">
        <f>Effort!I208+Aide!I208/Taux!C208+Effort!K208/Taux!C208</f>
        <v>-10.029637563130205</v>
      </c>
      <c r="H208" s="82">
        <f t="shared" si="13"/>
        <v>61.569921607561994</v>
      </c>
      <c r="I208" s="161">
        <f t="shared" si="14"/>
        <v>0</v>
      </c>
      <c r="J208" s="42">
        <f t="shared" si="15"/>
        <v>0</v>
      </c>
      <c r="K208" s="5"/>
      <c r="L208" s="10"/>
      <c r="M208" s="11"/>
      <c r="R208" s="11"/>
    </row>
    <row r="209" spans="1:18" x14ac:dyDescent="0.25">
      <c r="A209" s="38">
        <f>Données!A209</f>
        <v>5746</v>
      </c>
      <c r="B209" s="144" t="str">
        <f>Données!B209</f>
        <v>Bavois</v>
      </c>
      <c r="C209" s="272">
        <f>VPI!R209</f>
        <v>29513.069143518514</v>
      </c>
      <c r="D209" s="414">
        <f>+Données!AP209</f>
        <v>12.335256810081569</v>
      </c>
      <c r="E209" s="320">
        <f>VPI!Q209</f>
        <v>72</v>
      </c>
      <c r="F209" s="179">
        <f t="shared" si="12"/>
        <v>59.664743189918433</v>
      </c>
      <c r="G209" s="176">
        <f>Effort!I209+Aide!I209/Taux!C209+Effort!K209/Taux!C209</f>
        <v>5.4984938592981223</v>
      </c>
      <c r="H209" s="82">
        <f t="shared" si="13"/>
        <v>65.163237049216548</v>
      </c>
      <c r="I209" s="161">
        <f t="shared" si="14"/>
        <v>0</v>
      </c>
      <c r="J209" s="42">
        <f t="shared" si="15"/>
        <v>0</v>
      </c>
      <c r="K209" s="5"/>
      <c r="L209" s="10"/>
      <c r="M209" s="11"/>
      <c r="R209" s="11"/>
    </row>
    <row r="210" spans="1:18" x14ac:dyDescent="0.25">
      <c r="A210" s="38">
        <f>Données!A210</f>
        <v>5747</v>
      </c>
      <c r="B210" s="144" t="str">
        <f>Données!B210</f>
        <v>Bofflens</v>
      </c>
      <c r="C210" s="272">
        <f>VPI!R210</f>
        <v>5777.9618840579697</v>
      </c>
      <c r="D210" s="414">
        <f>+Données!AP210</f>
        <v>14.082045218565597</v>
      </c>
      <c r="E210" s="320">
        <f>VPI!Q210</f>
        <v>69</v>
      </c>
      <c r="F210" s="179">
        <f t="shared" si="12"/>
        <v>54.917954781434403</v>
      </c>
      <c r="G210" s="176">
        <f>Effort!I210+Aide!I210/Taux!C210+Effort!K210/Taux!C210</f>
        <v>10.789040959881536</v>
      </c>
      <c r="H210" s="82">
        <f t="shared" si="13"/>
        <v>65.706995741315936</v>
      </c>
      <c r="I210" s="161">
        <f t="shared" si="14"/>
        <v>0</v>
      </c>
      <c r="J210" s="42">
        <f t="shared" si="15"/>
        <v>0</v>
      </c>
      <c r="K210" s="5"/>
      <c r="L210" s="10"/>
      <c r="M210" s="11"/>
      <c r="R210" s="11"/>
    </row>
    <row r="211" spans="1:18" x14ac:dyDescent="0.25">
      <c r="A211" s="38">
        <f>Données!A211</f>
        <v>5748</v>
      </c>
      <c r="B211" s="144" t="str">
        <f>Données!B211</f>
        <v>Bretonnières</v>
      </c>
      <c r="C211" s="272">
        <f>VPI!R211</f>
        <v>6762.44146572104</v>
      </c>
      <c r="D211" s="414">
        <f>+Données!AP211</f>
        <v>8.5552441627111477</v>
      </c>
      <c r="E211" s="320">
        <f>VPI!Q211</f>
        <v>70.5</v>
      </c>
      <c r="F211" s="179">
        <f t="shared" si="12"/>
        <v>61.944755837288852</v>
      </c>
      <c r="G211" s="176">
        <f>Effort!I211+Aide!I211/Taux!C211+Effort!K211/Taux!C211</f>
        <v>-2.3551475814214129</v>
      </c>
      <c r="H211" s="82">
        <f t="shared" si="13"/>
        <v>59.589608255867439</v>
      </c>
      <c r="I211" s="161">
        <f t="shared" si="14"/>
        <v>0</v>
      </c>
      <c r="J211" s="42">
        <f t="shared" si="15"/>
        <v>0</v>
      </c>
      <c r="K211" s="5"/>
      <c r="L211" s="10"/>
      <c r="M211" s="11"/>
      <c r="R211" s="11"/>
    </row>
    <row r="212" spans="1:18" x14ac:dyDescent="0.25">
      <c r="A212" s="38">
        <f>Données!A212</f>
        <v>5749</v>
      </c>
      <c r="B212" s="144" t="str">
        <f>Données!B212</f>
        <v>Chavornay</v>
      </c>
      <c r="C212" s="272">
        <f>VPI!R212</f>
        <v>144688.12992907799</v>
      </c>
      <c r="D212" s="414">
        <f>+Données!AP212</f>
        <v>4.755916897475351</v>
      </c>
      <c r="E212" s="320">
        <f>VPI!Q212</f>
        <v>70.5</v>
      </c>
      <c r="F212" s="179">
        <f t="shared" si="12"/>
        <v>65.744083102524655</v>
      </c>
      <c r="G212" s="176">
        <f>Effort!I212+Aide!I212/Taux!C212+Effort!K212/Taux!C212</f>
        <v>-4.0772562213545172</v>
      </c>
      <c r="H212" s="82">
        <f t="shared" si="13"/>
        <v>61.666826881170138</v>
      </c>
      <c r="I212" s="161">
        <f t="shared" si="14"/>
        <v>0</v>
      </c>
      <c r="J212" s="42">
        <f t="shared" si="15"/>
        <v>0</v>
      </c>
      <c r="K212" s="5"/>
      <c r="L212" s="10"/>
      <c r="M212" s="11"/>
      <c r="R212" s="11"/>
    </row>
    <row r="213" spans="1:18" x14ac:dyDescent="0.25">
      <c r="A213" s="38">
        <f>Données!A213</f>
        <v>5750</v>
      </c>
      <c r="B213" s="144" t="str">
        <f>Données!B213</f>
        <v>Les Clées</v>
      </c>
      <c r="C213" s="272">
        <f>VPI!R213</f>
        <v>5460.4397083333333</v>
      </c>
      <c r="D213" s="414">
        <f>+Données!AP213</f>
        <v>6.3930734894180006</v>
      </c>
      <c r="E213" s="320">
        <f>VPI!Q213</f>
        <v>80</v>
      </c>
      <c r="F213" s="179">
        <f t="shared" si="12"/>
        <v>73.606926510581999</v>
      </c>
      <c r="G213" s="176">
        <f>Effort!I213+Aide!I213/Taux!C213+Effort!K213/Taux!C213</f>
        <v>1.6730521589997061</v>
      </c>
      <c r="H213" s="82">
        <f t="shared" si="13"/>
        <v>75.279978669581709</v>
      </c>
      <c r="I213" s="161">
        <f t="shared" si="14"/>
        <v>0</v>
      </c>
      <c r="J213" s="42">
        <f t="shared" si="15"/>
        <v>0</v>
      </c>
      <c r="K213" s="5"/>
      <c r="L213" s="10"/>
      <c r="M213" s="11"/>
      <c r="R213" s="11"/>
    </row>
    <row r="214" spans="1:18" x14ac:dyDescent="0.25">
      <c r="A214" s="38">
        <f>Données!A214</f>
        <v>5752</v>
      </c>
      <c r="B214" s="144" t="str">
        <f>Données!B214</f>
        <v>Croy</v>
      </c>
      <c r="C214" s="272">
        <f>VPI!R214</f>
        <v>10204.205250965251</v>
      </c>
      <c r="D214" s="414">
        <f>+Données!AP214</f>
        <v>6.3609618111159349</v>
      </c>
      <c r="E214" s="320">
        <f>VPI!Q214</f>
        <v>74</v>
      </c>
      <c r="F214" s="179">
        <f t="shared" si="12"/>
        <v>67.639038188884058</v>
      </c>
      <c r="G214" s="176">
        <f>Effort!I214+Aide!I214/Taux!C214+Effort!K214/Taux!C214</f>
        <v>-15.783373488985351</v>
      </c>
      <c r="H214" s="82">
        <f t="shared" si="13"/>
        <v>51.855664699898711</v>
      </c>
      <c r="I214" s="161">
        <f t="shared" si="14"/>
        <v>0</v>
      </c>
      <c r="J214" s="42">
        <f t="shared" si="15"/>
        <v>0</v>
      </c>
      <c r="K214" s="5"/>
      <c r="L214" s="10"/>
      <c r="M214" s="11"/>
      <c r="R214" s="11"/>
    </row>
    <row r="215" spans="1:18" x14ac:dyDescent="0.25">
      <c r="A215" s="38">
        <f>Données!A215</f>
        <v>5754</v>
      </c>
      <c r="B215" s="144" t="str">
        <f>Données!B215</f>
        <v>Juriens</v>
      </c>
      <c r="C215" s="272">
        <f>VPI!R215</f>
        <v>8633.221645569618</v>
      </c>
      <c r="D215" s="414">
        <f>+Données!AP215</f>
        <v>6.1235249282090605</v>
      </c>
      <c r="E215" s="320">
        <f>VPI!Q215</f>
        <v>79</v>
      </c>
      <c r="F215" s="179">
        <f t="shared" si="12"/>
        <v>72.876475071790935</v>
      </c>
      <c r="G215" s="176">
        <f>Effort!I215+Aide!I215/Taux!C215+Effort!K215/Taux!C215</f>
        <v>0.21736946406246815</v>
      </c>
      <c r="H215" s="82">
        <f t="shared" si="13"/>
        <v>73.093844535853407</v>
      </c>
      <c r="I215" s="161">
        <f t="shared" si="14"/>
        <v>0</v>
      </c>
      <c r="J215" s="42">
        <f t="shared" si="15"/>
        <v>0</v>
      </c>
      <c r="K215" s="5"/>
      <c r="L215" s="10"/>
      <c r="M215" s="11"/>
      <c r="R215" s="11"/>
    </row>
    <row r="216" spans="1:18" x14ac:dyDescent="0.25">
      <c r="A216" s="38">
        <f>Données!A216</f>
        <v>5755</v>
      </c>
      <c r="B216" s="144" t="str">
        <f>Données!B216</f>
        <v>Lignerolle</v>
      </c>
      <c r="C216" s="272">
        <f>VPI!R216</f>
        <v>10920.772411282986</v>
      </c>
      <c r="D216" s="414">
        <f>+Données!AP216</f>
        <v>6.7686208493110946</v>
      </c>
      <c r="E216" s="320">
        <f>VPI!Q216</f>
        <v>78.5</v>
      </c>
      <c r="F216" s="179">
        <f t="shared" si="12"/>
        <v>71.731379150688909</v>
      </c>
      <c r="G216" s="176">
        <f>Effort!I216+Aide!I216/Taux!C216+Effort!K216/Taux!C216</f>
        <v>-8.048140823547083</v>
      </c>
      <c r="H216" s="82">
        <f t="shared" si="13"/>
        <v>63.683238327141822</v>
      </c>
      <c r="I216" s="161">
        <f t="shared" si="14"/>
        <v>0</v>
      </c>
      <c r="J216" s="42">
        <f t="shared" si="15"/>
        <v>0</v>
      </c>
      <c r="K216" s="5"/>
      <c r="L216" s="10"/>
      <c r="M216" s="11"/>
      <c r="R216" s="11"/>
    </row>
    <row r="217" spans="1:18" x14ac:dyDescent="0.25">
      <c r="A217" s="38">
        <f>Données!A217</f>
        <v>5756</v>
      </c>
      <c r="B217" s="144" t="str">
        <f>Données!B217</f>
        <v>Montcherand</v>
      </c>
      <c r="C217" s="272">
        <f>VPI!R217</f>
        <v>17503.013888888887</v>
      </c>
      <c r="D217" s="414">
        <f>+Données!AP217</f>
        <v>20.939682725635247</v>
      </c>
      <c r="E217" s="320">
        <f>VPI!Q217</f>
        <v>72</v>
      </c>
      <c r="F217" s="179">
        <f t="shared" si="12"/>
        <v>51.060317274364749</v>
      </c>
      <c r="G217" s="176">
        <f>Effort!I217+Aide!I217/Taux!C217+Effort!K217/Taux!C217</f>
        <v>17.835629975186851</v>
      </c>
      <c r="H217" s="82">
        <f t="shared" si="13"/>
        <v>68.895947249551597</v>
      </c>
      <c r="I217" s="161">
        <f t="shared" si="14"/>
        <v>0</v>
      </c>
      <c r="J217" s="42">
        <f t="shared" si="15"/>
        <v>0</v>
      </c>
      <c r="K217" s="5"/>
      <c r="L217" s="10"/>
      <c r="M217" s="11"/>
      <c r="R217" s="11"/>
    </row>
    <row r="218" spans="1:18" x14ac:dyDescent="0.25">
      <c r="A218" s="38">
        <f>Données!A218</f>
        <v>5757</v>
      </c>
      <c r="B218" s="144" t="str">
        <f>Données!B218</f>
        <v>Orbe</v>
      </c>
      <c r="C218" s="272">
        <f>VPI!R218</f>
        <v>217746.16132450331</v>
      </c>
      <c r="D218" s="414">
        <f>+Données!AP218</f>
        <v>0.43419250933965436</v>
      </c>
      <c r="E218" s="320">
        <f>VPI!Q218</f>
        <v>75.5</v>
      </c>
      <c r="F218" s="179">
        <f t="shared" si="12"/>
        <v>75.065807490660347</v>
      </c>
      <c r="G218" s="176">
        <f>Effort!I218+Aide!I218/Taux!C218+Effort!K218/Taux!C218</f>
        <v>-8.9705147826298059</v>
      </c>
      <c r="H218" s="82">
        <f t="shared" si="13"/>
        <v>66.095292708030541</v>
      </c>
      <c r="I218" s="161">
        <f t="shared" si="14"/>
        <v>0</v>
      </c>
      <c r="J218" s="42">
        <f t="shared" si="15"/>
        <v>0</v>
      </c>
      <c r="K218" s="5"/>
      <c r="L218" s="10"/>
      <c r="M218" s="11"/>
      <c r="R218" s="11"/>
    </row>
    <row r="219" spans="1:18" x14ac:dyDescent="0.25">
      <c r="A219" s="38">
        <f>Données!A219</f>
        <v>5758</v>
      </c>
      <c r="B219" s="144" t="str">
        <f>Données!B219</f>
        <v>La Praz</v>
      </c>
      <c r="C219" s="272">
        <f>VPI!R219</f>
        <v>4500.7037349397597</v>
      </c>
      <c r="D219" s="414">
        <f>+Données!AP219</f>
        <v>4.2595783984225353</v>
      </c>
      <c r="E219" s="320">
        <f>VPI!Q219</f>
        <v>83</v>
      </c>
      <c r="F219" s="179">
        <f t="shared" si="12"/>
        <v>78.740421601577467</v>
      </c>
      <c r="G219" s="176">
        <f>Effort!I219+Aide!I219/Taux!C219+Effort!K219/Taux!C219</f>
        <v>-13.88299121233857</v>
      </c>
      <c r="H219" s="82">
        <f t="shared" si="13"/>
        <v>64.8574303892389</v>
      </c>
      <c r="I219" s="161">
        <f t="shared" si="14"/>
        <v>0</v>
      </c>
      <c r="J219" s="42">
        <f t="shared" si="15"/>
        <v>0</v>
      </c>
      <c r="K219" s="5"/>
      <c r="L219" s="10"/>
      <c r="M219" s="11"/>
      <c r="R219" s="11"/>
    </row>
    <row r="220" spans="1:18" x14ac:dyDescent="0.25">
      <c r="A220" s="38">
        <f>Données!A220</f>
        <v>5759</v>
      </c>
      <c r="B220" s="144" t="str">
        <f>Données!B220</f>
        <v>Premier</v>
      </c>
      <c r="C220" s="272">
        <f>VPI!R220</f>
        <v>5667.0481761006295</v>
      </c>
      <c r="D220" s="414">
        <f>+Données!AP220</f>
        <v>4.5606071971527768</v>
      </c>
      <c r="E220" s="320">
        <f>VPI!Q220</f>
        <v>79.5</v>
      </c>
      <c r="F220" s="179">
        <f t="shared" si="12"/>
        <v>74.939392802847223</v>
      </c>
      <c r="G220" s="176">
        <f>Effort!I220+Aide!I220/Taux!C220+Effort!K220/Taux!C220</f>
        <v>-4.6878728442257973</v>
      </c>
      <c r="H220" s="82">
        <f t="shared" si="13"/>
        <v>70.251519958621429</v>
      </c>
      <c r="I220" s="161">
        <f t="shared" si="14"/>
        <v>0</v>
      </c>
      <c r="J220" s="42">
        <f t="shared" si="15"/>
        <v>0</v>
      </c>
      <c r="K220" s="5"/>
      <c r="L220" s="10"/>
      <c r="M220" s="11"/>
      <c r="R220" s="11"/>
    </row>
    <row r="221" spans="1:18" x14ac:dyDescent="0.25">
      <c r="A221" s="38">
        <f>Données!A221</f>
        <v>5760</v>
      </c>
      <c r="B221" s="144" t="str">
        <f>Données!B221</f>
        <v>Rances</v>
      </c>
      <c r="C221" s="272">
        <f>VPI!R221</f>
        <v>16308.667189542481</v>
      </c>
      <c r="D221" s="414">
        <f>+Données!AP221</f>
        <v>11.170094181092091</v>
      </c>
      <c r="E221" s="320">
        <f>VPI!Q221</f>
        <v>76.5</v>
      </c>
      <c r="F221" s="179">
        <f t="shared" si="12"/>
        <v>65.329905818907903</v>
      </c>
      <c r="G221" s="176">
        <f>Effort!I221+Aide!I221/Taux!C221+Effort!K221/Taux!C221</f>
        <v>6.169331258058568</v>
      </c>
      <c r="H221" s="82">
        <f t="shared" si="13"/>
        <v>71.499237076966466</v>
      </c>
      <c r="I221" s="161">
        <f t="shared" si="14"/>
        <v>0</v>
      </c>
      <c r="J221" s="42">
        <f t="shared" si="15"/>
        <v>0</v>
      </c>
      <c r="K221" s="5"/>
      <c r="L221" s="10"/>
      <c r="M221" s="11"/>
      <c r="R221" s="11"/>
    </row>
    <row r="222" spans="1:18" x14ac:dyDescent="0.25">
      <c r="A222" s="38">
        <f>Données!A222</f>
        <v>5761</v>
      </c>
      <c r="B222" s="144" t="str">
        <f>Données!B222</f>
        <v>Romainmôtier-Envy</v>
      </c>
      <c r="C222" s="272">
        <f>VPI!R222</f>
        <v>14407.745072951739</v>
      </c>
      <c r="D222" s="414">
        <f>+Données!AP222</f>
        <v>-0.92657947642963912</v>
      </c>
      <c r="E222" s="320">
        <f>VPI!Q222</f>
        <v>81</v>
      </c>
      <c r="F222" s="179">
        <f t="shared" si="12"/>
        <v>81.926579476429637</v>
      </c>
      <c r="G222" s="176">
        <f>Effort!I222+Aide!I222/Taux!C222+Effort!K222/Taux!C222</f>
        <v>-8.6515568895192807</v>
      </c>
      <c r="H222" s="82">
        <f t="shared" si="13"/>
        <v>73.275022586910353</v>
      </c>
      <c r="I222" s="161">
        <f t="shared" si="14"/>
        <v>0</v>
      </c>
      <c r="J222" s="42">
        <f t="shared" si="15"/>
        <v>0</v>
      </c>
      <c r="K222" s="5"/>
      <c r="L222" s="10"/>
      <c r="M222" s="11"/>
      <c r="R222" s="11"/>
    </row>
    <row r="223" spans="1:18" x14ac:dyDescent="0.25">
      <c r="A223" s="38">
        <f>Données!A223</f>
        <v>5762</v>
      </c>
      <c r="B223" s="144" t="str">
        <f>Données!B223</f>
        <v>Sergey</v>
      </c>
      <c r="C223" s="272">
        <f>VPI!R223</f>
        <v>3741.3970512820511</v>
      </c>
      <c r="D223" s="414">
        <f>+Données!AP223</f>
        <v>8.8820905648258464</v>
      </c>
      <c r="E223" s="320">
        <f>VPI!Q223</f>
        <v>78</v>
      </c>
      <c r="F223" s="179">
        <f t="shared" si="12"/>
        <v>69.117909435174155</v>
      </c>
      <c r="G223" s="176">
        <f>Effort!I223+Aide!I223/Taux!C223+Effort!K223/Taux!C223</f>
        <v>-3.1565100639099519</v>
      </c>
      <c r="H223" s="82">
        <f t="shared" si="13"/>
        <v>65.961399371264207</v>
      </c>
      <c r="I223" s="161">
        <f t="shared" si="14"/>
        <v>0</v>
      </c>
      <c r="J223" s="42">
        <f t="shared" si="15"/>
        <v>0</v>
      </c>
      <c r="K223" s="5"/>
      <c r="L223" s="10"/>
      <c r="M223" s="11"/>
      <c r="R223" s="11"/>
    </row>
    <row r="224" spans="1:18" x14ac:dyDescent="0.25">
      <c r="A224" s="38">
        <f>Données!A224</f>
        <v>5763</v>
      </c>
      <c r="B224" s="144" t="str">
        <f>Données!B224</f>
        <v>Valeyres-sous-Rances</v>
      </c>
      <c r="C224" s="272">
        <f>VPI!R224</f>
        <v>22296.785352112674</v>
      </c>
      <c r="D224" s="414">
        <f>+Données!AP224</f>
        <v>22.962339776102837</v>
      </c>
      <c r="E224" s="320">
        <f>VPI!Q224</f>
        <v>71</v>
      </c>
      <c r="F224" s="179">
        <f t="shared" si="12"/>
        <v>48.037660223897163</v>
      </c>
      <c r="G224" s="176">
        <f>Effort!I224+Aide!I224/Taux!C224+Effort!K224/Taux!C224</f>
        <v>19.325117784232805</v>
      </c>
      <c r="H224" s="82">
        <f t="shared" si="13"/>
        <v>67.362778008129965</v>
      </c>
      <c r="I224" s="161">
        <f t="shared" si="14"/>
        <v>0</v>
      </c>
      <c r="J224" s="42">
        <f t="shared" si="15"/>
        <v>0</v>
      </c>
      <c r="K224" s="5"/>
      <c r="L224" s="10"/>
      <c r="M224" s="11"/>
      <c r="R224" s="11"/>
    </row>
    <row r="225" spans="1:18" x14ac:dyDescent="0.25">
      <c r="A225" s="38">
        <f>Données!A225</f>
        <v>5764</v>
      </c>
      <c r="B225" s="144" t="str">
        <f>Données!B225</f>
        <v>Vallorbe</v>
      </c>
      <c r="C225" s="272">
        <f>VPI!R225</f>
        <v>83714.253286713283</v>
      </c>
      <c r="D225" s="414">
        <f>+Données!AP225</f>
        <v>-9.3883839291216198</v>
      </c>
      <c r="E225" s="320">
        <f>VPI!Q225</f>
        <v>71.5</v>
      </c>
      <c r="F225" s="179">
        <f t="shared" si="12"/>
        <v>80.888383929121616</v>
      </c>
      <c r="G225" s="176">
        <f>Effort!I225+Aide!I225/Taux!C225+Effort!K225/Taux!C225</f>
        <v>-36.55506168990776</v>
      </c>
      <c r="H225" s="82">
        <f t="shared" si="13"/>
        <v>44.333322239213857</v>
      </c>
      <c r="I225" s="161">
        <f t="shared" si="14"/>
        <v>0</v>
      </c>
      <c r="J225" s="42">
        <f t="shared" si="15"/>
        <v>0</v>
      </c>
      <c r="K225" s="5"/>
      <c r="L225" s="10"/>
      <c r="M225" s="11"/>
      <c r="R225" s="11"/>
    </row>
    <row r="226" spans="1:18" x14ac:dyDescent="0.25">
      <c r="A226" s="38">
        <f>Données!A226</f>
        <v>5765</v>
      </c>
      <c r="B226" s="144" t="str">
        <f>Données!B226</f>
        <v>Vaulion</v>
      </c>
      <c r="C226" s="272">
        <f>VPI!R226</f>
        <v>9627.8182716049378</v>
      </c>
      <c r="D226" s="414">
        <f>+Données!AP226</f>
        <v>-8.1272155257050134</v>
      </c>
      <c r="E226" s="320">
        <f>VPI!Q226</f>
        <v>81</v>
      </c>
      <c r="F226" s="179">
        <f t="shared" si="12"/>
        <v>89.127215525705012</v>
      </c>
      <c r="G226" s="176">
        <f>Effort!I226+Aide!I226/Taux!C226+Effort!K226/Taux!C226</f>
        <v>-29.069576627244306</v>
      </c>
      <c r="H226" s="82">
        <f t="shared" si="13"/>
        <v>60.057638898460709</v>
      </c>
      <c r="I226" s="161">
        <f t="shared" si="14"/>
        <v>0</v>
      </c>
      <c r="J226" s="42">
        <f t="shared" si="15"/>
        <v>0</v>
      </c>
      <c r="K226" s="5"/>
      <c r="L226" s="10"/>
      <c r="M226" s="11"/>
      <c r="R226" s="11"/>
    </row>
    <row r="227" spans="1:18" x14ac:dyDescent="0.25">
      <c r="A227" s="38">
        <f>Données!A227</f>
        <v>5766</v>
      </c>
      <c r="B227" s="144" t="str">
        <f>Données!B227</f>
        <v>Vuiteboeuf</v>
      </c>
      <c r="C227" s="272">
        <f>VPI!R227</f>
        <v>15422.129161904764</v>
      </c>
      <c r="D227" s="414">
        <f>+Données!AP227</f>
        <v>8.6162204778121563</v>
      </c>
      <c r="E227" s="320">
        <f>VPI!Q227</f>
        <v>75</v>
      </c>
      <c r="F227" s="179">
        <f t="shared" si="12"/>
        <v>66.383779522187837</v>
      </c>
      <c r="G227" s="176">
        <f>Effort!I227+Aide!I227/Taux!C227+Effort!K227/Taux!C227</f>
        <v>4.5486092774258928</v>
      </c>
      <c r="H227" s="82">
        <f t="shared" si="13"/>
        <v>70.932388799613733</v>
      </c>
      <c r="I227" s="161">
        <f t="shared" si="14"/>
        <v>0</v>
      </c>
      <c r="J227" s="42">
        <f t="shared" si="15"/>
        <v>0</v>
      </c>
      <c r="K227" s="5"/>
      <c r="L227" s="10"/>
      <c r="M227" s="11"/>
      <c r="R227" s="11"/>
    </row>
    <row r="228" spans="1:18" x14ac:dyDescent="0.25">
      <c r="A228" s="38">
        <f>Données!A228</f>
        <v>5785</v>
      </c>
      <c r="B228" s="144" t="str">
        <f>Données!B228</f>
        <v>Corcelles-le-Jorat</v>
      </c>
      <c r="C228" s="272">
        <f>VPI!R228</f>
        <v>15461.79373333333</v>
      </c>
      <c r="D228" s="414">
        <f>+Données!AP228</f>
        <v>13.252649737067836</v>
      </c>
      <c r="E228" s="320">
        <f>VPI!Q228</f>
        <v>75</v>
      </c>
      <c r="F228" s="179">
        <f t="shared" si="12"/>
        <v>61.747350262932166</v>
      </c>
      <c r="G228" s="176">
        <f>Effort!I228+Aide!I228/Taux!C228+Effort!K228/Taux!C228</f>
        <v>11.575321093657365</v>
      </c>
      <c r="H228" s="82">
        <f t="shared" si="13"/>
        <v>73.322671356589524</v>
      </c>
      <c r="I228" s="161">
        <f t="shared" si="14"/>
        <v>0</v>
      </c>
      <c r="J228" s="42">
        <f t="shared" si="15"/>
        <v>0</v>
      </c>
      <c r="K228" s="5"/>
      <c r="L228" s="10"/>
      <c r="M228" s="11"/>
      <c r="R228" s="11"/>
    </row>
    <row r="229" spans="1:18" x14ac:dyDescent="0.25">
      <c r="A229" s="38">
        <f>Données!A229</f>
        <v>5790</v>
      </c>
      <c r="B229" s="144" t="str">
        <f>Données!B229</f>
        <v>Maracon</v>
      </c>
      <c r="C229" s="272">
        <f>VPI!R229</f>
        <v>16326.326308724832</v>
      </c>
      <c r="D229" s="414">
        <f>+Données!AP229</f>
        <v>11.177489468456628</v>
      </c>
      <c r="E229" s="320">
        <f>VPI!Q229</f>
        <v>74.5</v>
      </c>
      <c r="F229" s="179">
        <f t="shared" si="12"/>
        <v>63.322510531543372</v>
      </c>
      <c r="G229" s="176">
        <f>Effort!I229+Aide!I229/Taux!C229+Effort!K229/Taux!C229</f>
        <v>11.152367907069621</v>
      </c>
      <c r="H229" s="82">
        <f t="shared" si="13"/>
        <v>74.47487843861299</v>
      </c>
      <c r="I229" s="161">
        <f t="shared" si="14"/>
        <v>0</v>
      </c>
      <c r="J229" s="42">
        <f t="shared" si="15"/>
        <v>0</v>
      </c>
      <c r="K229" s="5"/>
      <c r="L229" s="10"/>
      <c r="M229" s="11"/>
      <c r="R229" s="11"/>
    </row>
    <row r="230" spans="1:18" x14ac:dyDescent="0.25">
      <c r="A230" s="38">
        <f>Données!A230</f>
        <v>5792</v>
      </c>
      <c r="B230" s="144" t="str">
        <f>Données!B230</f>
        <v>Montpreveyres</v>
      </c>
      <c r="C230" s="272">
        <f>VPI!R230</f>
        <v>19363.003178807943</v>
      </c>
      <c r="D230" s="414">
        <f>+Données!AP230</f>
        <v>14.671734237809218</v>
      </c>
      <c r="E230" s="320">
        <f>VPI!Q230</f>
        <v>75.5</v>
      </c>
      <c r="F230" s="179">
        <f t="shared" si="12"/>
        <v>60.828265762190782</v>
      </c>
      <c r="G230" s="176">
        <f>Effort!I230+Aide!I230/Taux!C230+Effort!K230/Taux!C230</f>
        <v>4.9243860738181517</v>
      </c>
      <c r="H230" s="82">
        <f t="shared" si="13"/>
        <v>65.752651836008937</v>
      </c>
      <c r="I230" s="161">
        <f t="shared" si="14"/>
        <v>0</v>
      </c>
      <c r="J230" s="42">
        <f t="shared" si="15"/>
        <v>0</v>
      </c>
      <c r="K230" s="5"/>
      <c r="L230" s="10"/>
      <c r="M230" s="11"/>
      <c r="R230" s="11"/>
    </row>
    <row r="231" spans="1:18" x14ac:dyDescent="0.25">
      <c r="A231" s="38">
        <f>Données!A231</f>
        <v>5798</v>
      </c>
      <c r="B231" s="144" t="str">
        <f>Données!B231</f>
        <v>Ropraz</v>
      </c>
      <c r="C231" s="272">
        <f>VPI!R231</f>
        <v>16208.095096774196</v>
      </c>
      <c r="D231" s="414">
        <f>+Données!AP231</f>
        <v>16.808351937122957</v>
      </c>
      <c r="E231" s="320">
        <f>VPI!Q231</f>
        <v>77.5</v>
      </c>
      <c r="F231" s="179">
        <f t="shared" si="12"/>
        <v>60.691648062877043</v>
      </c>
      <c r="G231" s="176">
        <f>Effort!I231+Aide!I231/Taux!C231+Effort!K231/Taux!C231</f>
        <v>8.9917359940087103</v>
      </c>
      <c r="H231" s="82">
        <f t="shared" si="13"/>
        <v>69.683384056885757</v>
      </c>
      <c r="I231" s="161">
        <f t="shared" si="14"/>
        <v>0</v>
      </c>
      <c r="J231" s="42">
        <f t="shared" si="15"/>
        <v>0</v>
      </c>
      <c r="K231" s="5"/>
      <c r="L231" s="10"/>
      <c r="M231" s="11"/>
      <c r="R231" s="11"/>
    </row>
    <row r="232" spans="1:18" x14ac:dyDescent="0.25">
      <c r="A232" s="38">
        <f>Données!A232</f>
        <v>5799</v>
      </c>
      <c r="B232" s="144" t="str">
        <f>Données!B232</f>
        <v>Servion</v>
      </c>
      <c r="C232" s="272">
        <f>VPI!R232</f>
        <v>73170.005797101461</v>
      </c>
      <c r="D232" s="414">
        <f>+Données!AP232</f>
        <v>16.846644613900104</v>
      </c>
      <c r="E232" s="320">
        <f>VPI!Q232</f>
        <v>69</v>
      </c>
      <c r="F232" s="179">
        <f t="shared" si="12"/>
        <v>52.153355386099896</v>
      </c>
      <c r="G232" s="176">
        <f>Effort!I232+Aide!I232/Taux!C232+Effort!K232/Taux!C232</f>
        <v>12.005396566989889</v>
      </c>
      <c r="H232" s="82">
        <f t="shared" si="13"/>
        <v>64.158751953089791</v>
      </c>
      <c r="I232" s="161">
        <f t="shared" si="14"/>
        <v>0</v>
      </c>
      <c r="J232" s="42">
        <f t="shared" si="15"/>
        <v>0</v>
      </c>
      <c r="K232" s="5"/>
      <c r="L232" s="10"/>
      <c r="M232" s="11"/>
      <c r="R232" s="11"/>
    </row>
    <row r="233" spans="1:18" x14ac:dyDescent="0.25">
      <c r="A233" s="38">
        <f>Données!A233</f>
        <v>5803</v>
      </c>
      <c r="B233" s="144" t="str">
        <f>Données!B233</f>
        <v>Vulliens</v>
      </c>
      <c r="C233" s="272">
        <f>VPI!R233</f>
        <v>16577.495675675673</v>
      </c>
      <c r="D233" s="414">
        <f>+Données!AP233</f>
        <v>11.744404206174849</v>
      </c>
      <c r="E233" s="320">
        <f>VPI!Q233</f>
        <v>74</v>
      </c>
      <c r="F233" s="179">
        <f t="shared" si="12"/>
        <v>62.255595793825151</v>
      </c>
      <c r="G233" s="176">
        <f>Effort!I233+Aide!I233/Taux!C233+Effort!K233/Taux!C233</f>
        <v>2.951918091949711</v>
      </c>
      <c r="H233" s="82">
        <f t="shared" si="13"/>
        <v>65.207513885774858</v>
      </c>
      <c r="I233" s="161">
        <f t="shared" si="14"/>
        <v>0</v>
      </c>
      <c r="J233" s="42">
        <f t="shared" si="15"/>
        <v>0</v>
      </c>
      <c r="K233" s="5"/>
      <c r="L233" s="10"/>
      <c r="M233" s="11"/>
      <c r="R233" s="11"/>
    </row>
    <row r="234" spans="1:18" x14ac:dyDescent="0.25">
      <c r="A234" s="38">
        <f>Données!A234</f>
        <v>5804</v>
      </c>
      <c r="B234" s="144" t="str">
        <f>Données!B234</f>
        <v>Jorat-Menthue</v>
      </c>
      <c r="C234" s="272">
        <f>VPI!R234</f>
        <v>45125.096170212761</v>
      </c>
      <c r="D234" s="414">
        <f>+Données!AP234</f>
        <v>11.865044255330577</v>
      </c>
      <c r="E234" s="320">
        <f>VPI!Q234</f>
        <v>70.5</v>
      </c>
      <c r="F234" s="179">
        <f t="shared" si="12"/>
        <v>58.634955744669426</v>
      </c>
      <c r="G234" s="176">
        <f>Effort!I234+Aide!I234/Taux!C234+Effort!K234/Taux!C234</f>
        <v>2.1689737671134495</v>
      </c>
      <c r="H234" s="82">
        <f t="shared" si="13"/>
        <v>60.803929511782876</v>
      </c>
      <c r="I234" s="161">
        <f t="shared" si="14"/>
        <v>0</v>
      </c>
      <c r="J234" s="42">
        <f t="shared" si="15"/>
        <v>0</v>
      </c>
      <c r="K234" s="5"/>
      <c r="L234" s="10"/>
      <c r="M234" s="11"/>
      <c r="R234" s="11"/>
    </row>
    <row r="235" spans="1:18" x14ac:dyDescent="0.25">
      <c r="A235" s="38">
        <f>Données!A235</f>
        <v>5805</v>
      </c>
      <c r="B235" s="144" t="str">
        <f>Données!B235</f>
        <v>Oron</v>
      </c>
      <c r="C235" s="272">
        <f>VPI!R235</f>
        <v>174503.6837022398</v>
      </c>
      <c r="D235" s="414">
        <f>+Données!AP235</f>
        <v>4.6068913062921002</v>
      </c>
      <c r="E235" s="320">
        <f>VPI!Q235</f>
        <v>69</v>
      </c>
      <c r="F235" s="179">
        <f t="shared" si="12"/>
        <v>64.393108693707902</v>
      </c>
      <c r="G235" s="176">
        <f>Effort!I235+Aide!I235/Taux!C235+Effort!K235/Taux!C235</f>
        <v>-2.7616223248627385</v>
      </c>
      <c r="H235" s="82">
        <f t="shared" si="13"/>
        <v>61.63148636884516</v>
      </c>
      <c r="I235" s="161">
        <f t="shared" si="14"/>
        <v>0</v>
      </c>
      <c r="J235" s="42">
        <f t="shared" si="15"/>
        <v>0</v>
      </c>
      <c r="K235" s="5"/>
      <c r="L235" s="10"/>
      <c r="M235" s="11"/>
      <c r="R235" s="11"/>
    </row>
    <row r="236" spans="1:18" x14ac:dyDescent="0.25">
      <c r="A236" s="38">
        <f>Données!A236</f>
        <v>5806</v>
      </c>
      <c r="B236" s="144" t="str">
        <f>Données!B236</f>
        <v>Jorat-Mézières</v>
      </c>
      <c r="C236" s="272">
        <f>VPI!R236</f>
        <v>102976.58753424657</v>
      </c>
      <c r="D236" s="414">
        <f>+Données!AP236</f>
        <v>13.49823780391392</v>
      </c>
      <c r="E236" s="320">
        <f>VPI!Q236</f>
        <v>73</v>
      </c>
      <c r="F236" s="179">
        <f t="shared" si="12"/>
        <v>59.501762196086077</v>
      </c>
      <c r="G236" s="176">
        <f>Effort!I236+Aide!I236/Taux!C236+Effort!K236/Taux!C236</f>
        <v>8.7335101273720372</v>
      </c>
      <c r="H236" s="82">
        <f t="shared" si="13"/>
        <v>68.235272323458119</v>
      </c>
      <c r="I236" s="161">
        <f t="shared" si="14"/>
        <v>0</v>
      </c>
      <c r="J236" s="42">
        <f t="shared" si="15"/>
        <v>0</v>
      </c>
      <c r="K236" s="5"/>
      <c r="L236" s="10"/>
      <c r="M236" s="11"/>
      <c r="R236" s="11"/>
    </row>
    <row r="237" spans="1:18" x14ac:dyDescent="0.25">
      <c r="A237" s="38">
        <f>Données!A237</f>
        <v>5812</v>
      </c>
      <c r="B237" s="144" t="str">
        <f>Données!B237</f>
        <v>Champtauroz</v>
      </c>
      <c r="C237" s="272">
        <f>VPI!R237</f>
        <v>3659.2728571428574</v>
      </c>
      <c r="D237" s="414">
        <f>+Données!AP237</f>
        <v>-8.0976665569442066</v>
      </c>
      <c r="E237" s="320">
        <f>VPI!Q237</f>
        <v>77</v>
      </c>
      <c r="F237" s="179">
        <f t="shared" si="12"/>
        <v>85.097666556944205</v>
      </c>
      <c r="G237" s="176">
        <f>Effort!I237+Aide!I237/Taux!C237+Effort!K237/Taux!C237</f>
        <v>-13.333089731647409</v>
      </c>
      <c r="H237" s="82">
        <f t="shared" si="13"/>
        <v>71.7645768252968</v>
      </c>
      <c r="I237" s="161">
        <f t="shared" si="14"/>
        <v>0</v>
      </c>
      <c r="J237" s="42">
        <f t="shared" si="15"/>
        <v>0</v>
      </c>
      <c r="K237" s="5"/>
      <c r="L237" s="10"/>
      <c r="M237" s="11"/>
      <c r="R237" s="11"/>
    </row>
    <row r="238" spans="1:18" x14ac:dyDescent="0.25">
      <c r="A238" s="38">
        <f>Données!A238</f>
        <v>5813</v>
      </c>
      <c r="B238" s="144" t="str">
        <f>Données!B238</f>
        <v>Chevroux</v>
      </c>
      <c r="C238" s="272">
        <f>VPI!R238</f>
        <v>17497.520778588809</v>
      </c>
      <c r="D238" s="414">
        <f>+Données!AP238</f>
        <v>16.682623865110251</v>
      </c>
      <c r="E238" s="320">
        <f>VPI!Q238</f>
        <v>68.5</v>
      </c>
      <c r="F238" s="179">
        <f t="shared" si="12"/>
        <v>51.817376134889749</v>
      </c>
      <c r="G238" s="176">
        <f>Effort!I238+Aide!I238/Taux!C238+Effort!K238/Taux!C238</f>
        <v>10.510129507742757</v>
      </c>
      <c r="H238" s="82">
        <f t="shared" si="13"/>
        <v>62.327505642632502</v>
      </c>
      <c r="I238" s="161">
        <f t="shared" si="14"/>
        <v>0</v>
      </c>
      <c r="J238" s="42">
        <f t="shared" si="15"/>
        <v>0</v>
      </c>
      <c r="K238" s="5"/>
      <c r="L238" s="10"/>
      <c r="M238" s="11"/>
      <c r="R238" s="11"/>
    </row>
    <row r="239" spans="1:18" x14ac:dyDescent="0.25">
      <c r="A239" s="38">
        <f>Données!A239</f>
        <v>5816</v>
      </c>
      <c r="B239" s="144" t="str">
        <f>Données!B239</f>
        <v>Corcelles-près-Payerne</v>
      </c>
      <c r="C239" s="272">
        <f>VPI!R239</f>
        <v>65699.549864442117</v>
      </c>
      <c r="D239" s="414">
        <f>+Données!AP239</f>
        <v>2.0177173688321739</v>
      </c>
      <c r="E239" s="320">
        <f>VPI!Q239</f>
        <v>68.5</v>
      </c>
      <c r="F239" s="179">
        <f t="shared" si="12"/>
        <v>66.48228263116782</v>
      </c>
      <c r="G239" s="176">
        <f>Effort!I239+Aide!I239/Taux!C239+Effort!K239/Taux!C239</f>
        <v>-5.6422491761927454</v>
      </c>
      <c r="H239" s="82">
        <f t="shared" si="13"/>
        <v>60.840033454975071</v>
      </c>
      <c r="I239" s="161">
        <f t="shared" si="14"/>
        <v>0</v>
      </c>
      <c r="J239" s="42">
        <f t="shared" si="15"/>
        <v>0</v>
      </c>
      <c r="K239" s="5"/>
      <c r="L239" s="10"/>
      <c r="M239" s="11"/>
      <c r="R239" s="11"/>
    </row>
    <row r="240" spans="1:18" x14ac:dyDescent="0.25">
      <c r="A240" s="38">
        <f>Données!A240</f>
        <v>5817</v>
      </c>
      <c r="B240" s="144" t="str">
        <f>Données!B240</f>
        <v>Grandcour</v>
      </c>
      <c r="C240" s="272">
        <f>VPI!R240</f>
        <v>25916.533605442175</v>
      </c>
      <c r="D240" s="414">
        <f>+Données!AP240</f>
        <v>6.915820658140488</v>
      </c>
      <c r="E240" s="320">
        <f>VPI!Q240</f>
        <v>73.5</v>
      </c>
      <c r="F240" s="179">
        <f t="shared" si="12"/>
        <v>66.58417934185951</v>
      </c>
      <c r="G240" s="176">
        <f>Effort!I240+Aide!I240/Taux!C240+Effort!K240/Taux!C240</f>
        <v>4.0977518225125422</v>
      </c>
      <c r="H240" s="82">
        <f t="shared" si="13"/>
        <v>70.68193116437206</v>
      </c>
      <c r="I240" s="161">
        <f t="shared" si="14"/>
        <v>0</v>
      </c>
      <c r="J240" s="42">
        <f t="shared" si="15"/>
        <v>0</v>
      </c>
      <c r="K240" s="5"/>
      <c r="L240" s="10"/>
      <c r="M240" s="11"/>
      <c r="R240" s="11"/>
    </row>
    <row r="241" spans="1:18" x14ac:dyDescent="0.25">
      <c r="A241" s="38">
        <f>Données!A241</f>
        <v>5819</v>
      </c>
      <c r="B241" s="144" t="str">
        <f>Données!B241</f>
        <v>Henniez</v>
      </c>
      <c r="C241" s="272">
        <f>VPI!R241</f>
        <v>10275.484492753623</v>
      </c>
      <c r="D241" s="414">
        <f>+Données!AP241</f>
        <v>9.0604880999575581</v>
      </c>
      <c r="E241" s="320">
        <f>VPI!Q241</f>
        <v>69</v>
      </c>
      <c r="F241" s="179">
        <f t="shared" si="12"/>
        <v>59.93951190004244</v>
      </c>
      <c r="G241" s="176">
        <f>Effort!I241+Aide!I241/Taux!C241+Effort!K241/Taux!C241</f>
        <v>-0.80731458347332463</v>
      </c>
      <c r="H241" s="82">
        <f t="shared" si="13"/>
        <v>59.132197316569119</v>
      </c>
      <c r="I241" s="161">
        <f t="shared" si="14"/>
        <v>0</v>
      </c>
      <c r="J241" s="42">
        <f t="shared" si="15"/>
        <v>0</v>
      </c>
      <c r="K241" s="5"/>
      <c r="L241" s="10"/>
      <c r="M241" s="11"/>
      <c r="R241" s="11"/>
    </row>
    <row r="242" spans="1:18" x14ac:dyDescent="0.25">
      <c r="A242" s="38">
        <f>Données!A242</f>
        <v>5821</v>
      </c>
      <c r="B242" s="144" t="str">
        <f>Données!B242</f>
        <v>Missy</v>
      </c>
      <c r="C242" s="272">
        <f>VPI!R242</f>
        <v>8375.9038888888899</v>
      </c>
      <c r="D242" s="414">
        <f>+Données!AP242</f>
        <v>1.6502021009414345</v>
      </c>
      <c r="E242" s="320">
        <f>VPI!Q242</f>
        <v>72</v>
      </c>
      <c r="F242" s="179">
        <f t="shared" si="12"/>
        <v>70.349797899058572</v>
      </c>
      <c r="G242" s="176">
        <f>Effort!I242+Aide!I242/Taux!C242+Effort!K242/Taux!C242</f>
        <v>-4.5348023668240209</v>
      </c>
      <c r="H242" s="82">
        <f t="shared" si="13"/>
        <v>65.814995532234548</v>
      </c>
      <c r="I242" s="161">
        <f t="shared" si="14"/>
        <v>0</v>
      </c>
      <c r="J242" s="42">
        <f t="shared" si="15"/>
        <v>0</v>
      </c>
      <c r="K242" s="5"/>
      <c r="L242" s="10"/>
      <c r="M242" s="11"/>
      <c r="R242" s="11"/>
    </row>
    <row r="243" spans="1:18" x14ac:dyDescent="0.25">
      <c r="A243" s="38">
        <f>Données!A243</f>
        <v>5822</v>
      </c>
      <c r="B243" s="144" t="str">
        <f>Données!B243</f>
        <v>Payerne</v>
      </c>
      <c r="C243" s="272">
        <f>VPI!R243</f>
        <v>226829.36520547947</v>
      </c>
      <c r="D243" s="414">
        <f>+Données!AP243</f>
        <v>-13.138684132345055</v>
      </c>
      <c r="E243" s="320">
        <f>VPI!Q243</f>
        <v>73</v>
      </c>
      <c r="F243" s="179">
        <f t="shared" si="12"/>
        <v>86.138684132345048</v>
      </c>
      <c r="G243" s="176">
        <f>Effort!I243+Aide!I243/Taux!C243+Effort!K243/Taux!C243</f>
        <v>-21.921967677439262</v>
      </c>
      <c r="H243" s="82">
        <f t="shared" si="13"/>
        <v>64.216716454905793</v>
      </c>
      <c r="I243" s="161">
        <f t="shared" si="14"/>
        <v>0</v>
      </c>
      <c r="J243" s="42">
        <f t="shared" si="15"/>
        <v>0</v>
      </c>
      <c r="K243" s="5"/>
      <c r="L243" s="10"/>
      <c r="M243" s="11"/>
      <c r="R243" s="11"/>
    </row>
    <row r="244" spans="1:18" x14ac:dyDescent="0.25">
      <c r="A244" s="38">
        <f>Données!A244</f>
        <v>5827</v>
      </c>
      <c r="B244" s="144" t="str">
        <f>Données!B244</f>
        <v>Trey</v>
      </c>
      <c r="C244" s="272">
        <f>VPI!R244</f>
        <v>7714.9719230769242</v>
      </c>
      <c r="D244" s="414">
        <f>+Données!AP244</f>
        <v>2.6619343155891322</v>
      </c>
      <c r="E244" s="320">
        <f>VPI!Q244</f>
        <v>78</v>
      </c>
      <c r="F244" s="179">
        <f t="shared" si="12"/>
        <v>75.338065684410864</v>
      </c>
      <c r="G244" s="176">
        <f>Effort!I244+Aide!I244/Taux!C244+Effort!K244/Taux!C244</f>
        <v>1.699454555689929</v>
      </c>
      <c r="H244" s="82">
        <f t="shared" si="13"/>
        <v>77.03752024010079</v>
      </c>
      <c r="I244" s="161">
        <f t="shared" si="14"/>
        <v>0</v>
      </c>
      <c r="J244" s="42">
        <f t="shared" si="15"/>
        <v>0</v>
      </c>
      <c r="K244" s="5"/>
      <c r="L244" s="10"/>
      <c r="M244" s="11"/>
      <c r="R244" s="11"/>
    </row>
    <row r="245" spans="1:18" x14ac:dyDescent="0.25">
      <c r="A245" s="38">
        <f>Données!A245</f>
        <v>5828</v>
      </c>
      <c r="B245" s="144" t="str">
        <f>Données!B245</f>
        <v>Treytorrens (Payerne)</v>
      </c>
      <c r="C245" s="272">
        <f>VPI!R245</f>
        <v>2864.8037627811859</v>
      </c>
      <c r="D245" s="414">
        <f>+Données!AP245</f>
        <v>4.82048343871584</v>
      </c>
      <c r="E245" s="320">
        <f>VPI!Q245</f>
        <v>81.5</v>
      </c>
      <c r="F245" s="179">
        <f t="shared" si="12"/>
        <v>76.67951656128416</v>
      </c>
      <c r="G245" s="176">
        <f>Effort!I245+Aide!I245/Taux!C245+Effort!K245/Taux!C245</f>
        <v>-6.6311975213806527</v>
      </c>
      <c r="H245" s="82">
        <f t="shared" si="13"/>
        <v>70.048319039903504</v>
      </c>
      <c r="I245" s="161">
        <f t="shared" si="14"/>
        <v>0</v>
      </c>
      <c r="J245" s="42">
        <f t="shared" si="15"/>
        <v>0</v>
      </c>
      <c r="K245" s="5"/>
      <c r="L245" s="10"/>
      <c r="M245" s="11"/>
      <c r="R245" s="11"/>
    </row>
    <row r="246" spans="1:18" x14ac:dyDescent="0.25">
      <c r="A246" s="38">
        <f>Données!A246</f>
        <v>5830</v>
      </c>
      <c r="B246" s="144" t="str">
        <f>Données!B246</f>
        <v>Villarzel</v>
      </c>
      <c r="C246" s="272">
        <f>VPI!R246</f>
        <v>12474.066133333334</v>
      </c>
      <c r="D246" s="414">
        <f>+Données!AP246</f>
        <v>5.8486691296572477</v>
      </c>
      <c r="E246" s="320">
        <f>VPI!Q246</f>
        <v>75</v>
      </c>
      <c r="F246" s="179">
        <f t="shared" si="12"/>
        <v>69.151330870342747</v>
      </c>
      <c r="G246" s="176">
        <f>Effort!I246+Aide!I246/Taux!C246+Effort!K246/Taux!C246</f>
        <v>-0.83807413985998025</v>
      </c>
      <c r="H246" s="82">
        <f t="shared" si="13"/>
        <v>68.313256730482763</v>
      </c>
      <c r="I246" s="161">
        <f t="shared" si="14"/>
        <v>0</v>
      </c>
      <c r="J246" s="42">
        <f t="shared" si="15"/>
        <v>0</v>
      </c>
      <c r="K246" s="5"/>
      <c r="L246" s="10"/>
      <c r="M246" s="11"/>
      <c r="R246" s="11"/>
    </row>
    <row r="247" spans="1:18" x14ac:dyDescent="0.25">
      <c r="A247" s="38">
        <f>Données!A247</f>
        <v>5831</v>
      </c>
      <c r="B247" s="144" t="str">
        <f>Données!B247</f>
        <v>Valbroye</v>
      </c>
      <c r="C247" s="272">
        <f>VPI!R247</f>
        <v>87465.086477541365</v>
      </c>
      <c r="D247" s="414">
        <f>+Données!AP247</f>
        <v>-0.21704705527438684</v>
      </c>
      <c r="E247" s="320">
        <f>VPI!Q247</f>
        <v>70.5</v>
      </c>
      <c r="F247" s="179">
        <f t="shared" si="12"/>
        <v>70.717047055274392</v>
      </c>
      <c r="G247" s="176">
        <f>Effort!I247+Aide!I247/Taux!C247+Effort!K247/Taux!C247</f>
        <v>-7.6254563654328855</v>
      </c>
      <c r="H247" s="82">
        <f t="shared" si="13"/>
        <v>63.09159068984151</v>
      </c>
      <c r="I247" s="161">
        <f t="shared" si="14"/>
        <v>0</v>
      </c>
      <c r="J247" s="42">
        <f t="shared" si="15"/>
        <v>0</v>
      </c>
      <c r="K247" s="5"/>
      <c r="L247" s="10"/>
      <c r="M247" s="11"/>
      <c r="R247" s="11"/>
    </row>
    <row r="248" spans="1:18" x14ac:dyDescent="0.25">
      <c r="A248" s="38">
        <f>Données!A248</f>
        <v>5841</v>
      </c>
      <c r="B248" s="144" t="str">
        <f>Données!B248</f>
        <v>Château-d'Oex</v>
      </c>
      <c r="C248" s="272">
        <f>VPI!R248</f>
        <v>123825.99529652353</v>
      </c>
      <c r="D248" s="414">
        <f>+Données!AP248</f>
        <v>7.550636748464953</v>
      </c>
      <c r="E248" s="320">
        <f>VPI!Q248</f>
        <v>81.5</v>
      </c>
      <c r="F248" s="179">
        <f t="shared" si="12"/>
        <v>73.949363251535047</v>
      </c>
      <c r="G248" s="176">
        <f>Effort!I248+Aide!I248/Taux!C248+Effort!K248/Taux!C248</f>
        <v>-4.4740300825766042</v>
      </c>
      <c r="H248" s="82">
        <f t="shared" si="13"/>
        <v>69.475333168958443</v>
      </c>
      <c r="I248" s="161">
        <f t="shared" si="14"/>
        <v>0</v>
      </c>
      <c r="J248" s="42">
        <f t="shared" si="15"/>
        <v>0</v>
      </c>
      <c r="K248" s="5"/>
      <c r="L248" s="10"/>
      <c r="M248" s="11"/>
      <c r="R248" s="11"/>
    </row>
    <row r="249" spans="1:18" x14ac:dyDescent="0.25">
      <c r="A249" s="38">
        <f>Données!A249</f>
        <v>5842</v>
      </c>
      <c r="B249" s="144" t="str">
        <f>Données!B249</f>
        <v>Rossinière</v>
      </c>
      <c r="C249" s="272">
        <f>VPI!R249</f>
        <v>16473.108683127575</v>
      </c>
      <c r="D249" s="414">
        <f>+Données!AP249</f>
        <v>8.673001194830313</v>
      </c>
      <c r="E249" s="320">
        <f>VPI!Q249</f>
        <v>81</v>
      </c>
      <c r="F249" s="179">
        <f t="shared" si="12"/>
        <v>72.326998805169694</v>
      </c>
      <c r="G249" s="176">
        <f>Effort!I249+Aide!I249/Taux!C249+Effort!K249/Taux!C249</f>
        <v>-5.8838249864552772</v>
      </c>
      <c r="H249" s="82">
        <f t="shared" si="13"/>
        <v>66.443173818714413</v>
      </c>
      <c r="I249" s="161">
        <f t="shared" si="14"/>
        <v>0</v>
      </c>
      <c r="J249" s="42">
        <f t="shared" si="15"/>
        <v>0</v>
      </c>
      <c r="K249" s="5"/>
      <c r="L249" s="10"/>
      <c r="M249" s="11"/>
      <c r="R249" s="11"/>
    </row>
    <row r="250" spans="1:18" x14ac:dyDescent="0.25">
      <c r="A250" s="38">
        <f>Données!A250</f>
        <v>5843</v>
      </c>
      <c r="B250" s="144" t="str">
        <f>Données!B250</f>
        <v>Rougemont</v>
      </c>
      <c r="C250" s="272">
        <f>VPI!R250</f>
        <v>89735.240928270054</v>
      </c>
      <c r="D250" s="414">
        <f>+Données!AP250</f>
        <v>46.728158900683106</v>
      </c>
      <c r="E250" s="320">
        <f>VPI!Q250</f>
        <v>79</v>
      </c>
      <c r="F250" s="179">
        <f t="shared" si="12"/>
        <v>32.271841099316894</v>
      </c>
      <c r="G250" s="176">
        <f>Effort!I250+Aide!I250/Taux!C250+Effort!K250/Taux!C250</f>
        <v>45.930761665527143</v>
      </c>
      <c r="H250" s="82">
        <f t="shared" si="13"/>
        <v>78.202602764844045</v>
      </c>
      <c r="I250" s="161">
        <f t="shared" si="14"/>
        <v>0</v>
      </c>
      <c r="J250" s="42">
        <f t="shared" si="15"/>
        <v>0</v>
      </c>
      <c r="K250" s="5"/>
      <c r="L250" s="10"/>
      <c r="M250" s="11"/>
      <c r="R250" s="11"/>
    </row>
    <row r="251" spans="1:18" x14ac:dyDescent="0.25">
      <c r="A251" s="38">
        <f>Données!A251</f>
        <v>5851</v>
      </c>
      <c r="B251" s="144" t="str">
        <f>Données!B251</f>
        <v>Allaman</v>
      </c>
      <c r="C251" s="272">
        <f>VPI!R251</f>
        <v>24650.249641025639</v>
      </c>
      <c r="D251" s="414">
        <f>+Données!AP251</f>
        <v>31.833081442992146</v>
      </c>
      <c r="E251" s="320">
        <f>VPI!Q251</f>
        <v>65</v>
      </c>
      <c r="F251" s="179">
        <f t="shared" si="12"/>
        <v>33.166918557007854</v>
      </c>
      <c r="G251" s="176">
        <f>Effort!I251+Aide!I251/Taux!C251+Effort!K251/Taux!C251</f>
        <v>32.087519002499718</v>
      </c>
      <c r="H251" s="82">
        <f t="shared" si="13"/>
        <v>65.254437559507579</v>
      </c>
      <c r="I251" s="161">
        <f t="shared" si="14"/>
        <v>0</v>
      </c>
      <c r="J251" s="42">
        <f t="shared" si="15"/>
        <v>0</v>
      </c>
      <c r="K251" s="5"/>
      <c r="L251" s="10"/>
      <c r="M251" s="11"/>
      <c r="R251" s="11"/>
    </row>
    <row r="252" spans="1:18" x14ac:dyDescent="0.25">
      <c r="A252" s="38">
        <f>Données!A252</f>
        <v>5852</v>
      </c>
      <c r="B252" s="144" t="str">
        <f>Données!B252</f>
        <v>Bursinel</v>
      </c>
      <c r="C252" s="272">
        <f>VPI!R252</f>
        <v>35648.966451612905</v>
      </c>
      <c r="D252" s="414">
        <f>+Données!AP252</f>
        <v>34.516322845836534</v>
      </c>
      <c r="E252" s="320">
        <f>VPI!Q252</f>
        <v>62</v>
      </c>
      <c r="F252" s="179">
        <f t="shared" si="12"/>
        <v>27.483677154163466</v>
      </c>
      <c r="G252" s="176">
        <f>Effort!I252+Aide!I252/Taux!C252+Effort!K252/Taux!C252</f>
        <v>35.439675722194423</v>
      </c>
      <c r="H252" s="82">
        <f t="shared" si="13"/>
        <v>62.923352876357889</v>
      </c>
      <c r="I252" s="161">
        <f t="shared" si="14"/>
        <v>0</v>
      </c>
      <c r="J252" s="42">
        <f t="shared" si="15"/>
        <v>0</v>
      </c>
      <c r="K252" s="5"/>
      <c r="L252" s="10"/>
      <c r="M252" s="11"/>
      <c r="R252" s="11"/>
    </row>
    <row r="253" spans="1:18" x14ac:dyDescent="0.25">
      <c r="A253" s="38">
        <f>Données!A253</f>
        <v>5853</v>
      </c>
      <c r="B253" s="144" t="str">
        <f>Données!B253</f>
        <v>Bursins</v>
      </c>
      <c r="C253" s="272">
        <f>VPI!R253</f>
        <v>47535.713943661962</v>
      </c>
      <c r="D253" s="414">
        <f>+Données!AP253</f>
        <v>32.108749562612942</v>
      </c>
      <c r="E253" s="320">
        <f>VPI!Q253</f>
        <v>71</v>
      </c>
      <c r="F253" s="179">
        <f t="shared" si="12"/>
        <v>38.891250437387058</v>
      </c>
      <c r="G253" s="176">
        <f>Effort!I253+Aide!I253/Taux!C253+Effort!K253/Taux!C253</f>
        <v>33.748167833733319</v>
      </c>
      <c r="H253" s="82">
        <f t="shared" si="13"/>
        <v>72.639418271120377</v>
      </c>
      <c r="I253" s="161">
        <f t="shared" si="14"/>
        <v>0</v>
      </c>
      <c r="J253" s="42">
        <f t="shared" si="15"/>
        <v>0</v>
      </c>
      <c r="K253" s="5"/>
      <c r="L253" s="10"/>
      <c r="M253" s="11"/>
      <c r="R253" s="11"/>
    </row>
    <row r="254" spans="1:18" x14ac:dyDescent="0.25">
      <c r="A254" s="38">
        <f>Données!A254</f>
        <v>5854</v>
      </c>
      <c r="B254" s="144" t="str">
        <f>Données!B254</f>
        <v>Burtigny</v>
      </c>
      <c r="C254" s="272">
        <f>VPI!R254</f>
        <v>15260.82696390658</v>
      </c>
      <c r="D254" s="414">
        <f>+Données!AP254</f>
        <v>20.605696547080942</v>
      </c>
      <c r="E254" s="320">
        <f>VPI!Q254</f>
        <v>78.5</v>
      </c>
      <c r="F254" s="179">
        <f t="shared" si="12"/>
        <v>57.894303452919061</v>
      </c>
      <c r="G254" s="176">
        <f>Effort!I254+Aide!I254/Taux!C254+Effort!K254/Taux!C254</f>
        <v>19.041710065346042</v>
      </c>
      <c r="H254" s="82">
        <f t="shared" si="13"/>
        <v>76.936013518265099</v>
      </c>
      <c r="I254" s="161">
        <f t="shared" si="14"/>
        <v>0</v>
      </c>
      <c r="J254" s="42">
        <f t="shared" si="15"/>
        <v>0</v>
      </c>
      <c r="K254" s="5"/>
      <c r="L254" s="10"/>
      <c r="M254" s="11"/>
      <c r="R254" s="11"/>
    </row>
    <row r="255" spans="1:18" x14ac:dyDescent="0.25">
      <c r="A255" s="38">
        <f>Données!A255</f>
        <v>5855</v>
      </c>
      <c r="B255" s="144" t="str">
        <f>Données!B255</f>
        <v>Dully</v>
      </c>
      <c r="C255" s="272">
        <f>VPI!R255</f>
        <v>82571.316415094334</v>
      </c>
      <c r="D255" s="414">
        <f>+Données!AP255</f>
        <v>45.0827404922738</v>
      </c>
      <c r="E255" s="320">
        <f>VPI!Q255</f>
        <v>53</v>
      </c>
      <c r="F255" s="179">
        <f t="shared" si="12"/>
        <v>7.9172595077262002</v>
      </c>
      <c r="G255" s="176">
        <f>Effort!I255+Aide!I255/Taux!C255+Effort!K255/Taux!C255</f>
        <v>44.598861941679075</v>
      </c>
      <c r="H255" s="82">
        <f t="shared" si="13"/>
        <v>52.516121449405276</v>
      </c>
      <c r="I255" s="161">
        <f t="shared" si="14"/>
        <v>0</v>
      </c>
      <c r="J255" s="42">
        <f t="shared" si="15"/>
        <v>0</v>
      </c>
      <c r="K255" s="5"/>
      <c r="L255" s="10"/>
      <c r="M255" s="11"/>
      <c r="R255" s="11"/>
    </row>
    <row r="256" spans="1:18" x14ac:dyDescent="0.25">
      <c r="A256" s="38">
        <f>Données!A256</f>
        <v>5856</v>
      </c>
      <c r="B256" s="144" t="str">
        <f>Données!B256</f>
        <v>Essertines-sur-Rolle</v>
      </c>
      <c r="C256" s="272">
        <f>VPI!R256</f>
        <v>36460.735639097751</v>
      </c>
      <c r="D256" s="414">
        <f>+Données!AP256</f>
        <v>31.551598793280832</v>
      </c>
      <c r="E256" s="320">
        <f>VPI!Q256</f>
        <v>66.5</v>
      </c>
      <c r="F256" s="179">
        <f t="shared" si="12"/>
        <v>34.948401206719168</v>
      </c>
      <c r="G256" s="176">
        <f>Effort!I256+Aide!I256/Taux!C256+Effort!K256/Taux!C256</f>
        <v>29.617944864061112</v>
      </c>
      <c r="H256" s="82">
        <f t="shared" si="13"/>
        <v>64.566346070780284</v>
      </c>
      <c r="I256" s="161">
        <f t="shared" si="14"/>
        <v>0</v>
      </c>
      <c r="J256" s="42">
        <f t="shared" si="15"/>
        <v>0</v>
      </c>
      <c r="K256" s="5"/>
      <c r="L256" s="10"/>
      <c r="M256" s="11"/>
      <c r="R256" s="11"/>
    </row>
    <row r="257" spans="1:18" x14ac:dyDescent="0.25">
      <c r="A257" s="38">
        <f>Données!A257</f>
        <v>5857</v>
      </c>
      <c r="B257" s="144" t="str">
        <f>Données!B257</f>
        <v>Gilly</v>
      </c>
      <c r="C257" s="272">
        <f>VPI!R257</f>
        <v>87016.843255813976</v>
      </c>
      <c r="D257" s="414">
        <f>+Données!AP257</f>
        <v>32.083074832273851</v>
      </c>
      <c r="E257" s="320">
        <f>VPI!Q257</f>
        <v>64.5</v>
      </c>
      <c r="F257" s="179">
        <f t="shared" si="12"/>
        <v>32.416925167726149</v>
      </c>
      <c r="G257" s="176">
        <f>Effort!I257+Aide!I257/Taux!C257+Effort!K257/Taux!C257</f>
        <v>31.630217718858582</v>
      </c>
      <c r="H257" s="82">
        <f t="shared" si="13"/>
        <v>64.047142886584737</v>
      </c>
      <c r="I257" s="161">
        <f t="shared" si="14"/>
        <v>0</v>
      </c>
      <c r="J257" s="42">
        <f t="shared" si="15"/>
        <v>0</v>
      </c>
      <c r="K257" s="5"/>
      <c r="L257" s="10"/>
      <c r="M257" s="11"/>
      <c r="R257" s="11"/>
    </row>
    <row r="258" spans="1:18" x14ac:dyDescent="0.25">
      <c r="A258" s="38">
        <f>Données!A258</f>
        <v>5858</v>
      </c>
      <c r="B258" s="144" t="str">
        <f>Données!B258</f>
        <v>Luins</v>
      </c>
      <c r="C258" s="272">
        <f>VPI!R258</f>
        <v>41161.497549857544</v>
      </c>
      <c r="D258" s="414">
        <f>+Données!AP258</f>
        <v>32.621769674610874</v>
      </c>
      <c r="E258" s="320">
        <f>VPI!Q258</f>
        <v>58.5</v>
      </c>
      <c r="F258" s="179">
        <f t="shared" si="12"/>
        <v>25.878230325389126</v>
      </c>
      <c r="G258" s="176">
        <f>Effort!I258+Aide!I258/Taux!C258+Effort!K258/Taux!C258</f>
        <v>34.217220843991434</v>
      </c>
      <c r="H258" s="82">
        <f t="shared" si="13"/>
        <v>60.09545116938056</v>
      </c>
      <c r="I258" s="161">
        <f t="shared" si="14"/>
        <v>0</v>
      </c>
      <c r="J258" s="42">
        <f t="shared" si="15"/>
        <v>0</v>
      </c>
      <c r="K258" s="5"/>
      <c r="L258" s="10"/>
      <c r="M258" s="11"/>
      <c r="R258" s="11"/>
    </row>
    <row r="259" spans="1:18" x14ac:dyDescent="0.25">
      <c r="A259" s="38">
        <f>Données!A259</f>
        <v>5859</v>
      </c>
      <c r="B259" s="144" t="str">
        <f>Données!B259</f>
        <v>Mont-sur-Rolle</v>
      </c>
      <c r="C259" s="272">
        <f>VPI!R259</f>
        <v>158432.4612598425</v>
      </c>
      <c r="D259" s="414">
        <f>+Données!AP259</f>
        <v>29.738680732115526</v>
      </c>
      <c r="E259" s="320">
        <f>VPI!Q259</f>
        <v>63.5</v>
      </c>
      <c r="F259" s="179">
        <f t="shared" si="12"/>
        <v>33.761319267884474</v>
      </c>
      <c r="G259" s="176">
        <f>Effort!I259+Aide!I259/Taux!C259+Effort!K259/Taux!C259</f>
        <v>27.860361407420136</v>
      </c>
      <c r="H259" s="82">
        <f t="shared" si="13"/>
        <v>61.62168067530461</v>
      </c>
      <c r="I259" s="161">
        <f t="shared" si="14"/>
        <v>0</v>
      </c>
      <c r="J259" s="42">
        <f t="shared" si="15"/>
        <v>0</v>
      </c>
      <c r="K259" s="5"/>
      <c r="L259" s="10"/>
      <c r="M259" s="11"/>
      <c r="R259" s="11"/>
    </row>
    <row r="260" spans="1:18" x14ac:dyDescent="0.25">
      <c r="A260" s="38">
        <f>Données!A260</f>
        <v>5860</v>
      </c>
      <c r="B260" s="144" t="str">
        <f>Données!B260</f>
        <v>Perroy</v>
      </c>
      <c r="C260" s="272">
        <f>VPI!R260</f>
        <v>132372.96084155163</v>
      </c>
      <c r="D260" s="414">
        <f>+Données!AP260</f>
        <v>36.781223717822627</v>
      </c>
      <c r="E260" s="320">
        <f>VPI!Q260</f>
        <v>58.5</v>
      </c>
      <c r="F260" s="179">
        <f t="shared" si="12"/>
        <v>21.718776282177373</v>
      </c>
      <c r="G260" s="176">
        <f>Effort!I260+Aide!I260/Taux!C260+Effort!K260/Taux!C260</f>
        <v>37.662742042012084</v>
      </c>
      <c r="H260" s="82">
        <f t="shared" si="13"/>
        <v>59.381518324189457</v>
      </c>
      <c r="I260" s="161">
        <f t="shared" si="14"/>
        <v>0</v>
      </c>
      <c r="J260" s="42">
        <f t="shared" si="15"/>
        <v>0</v>
      </c>
      <c r="K260" s="5"/>
      <c r="L260" s="10"/>
      <c r="M260" s="11"/>
      <c r="R260" s="11"/>
    </row>
    <row r="261" spans="1:18" x14ac:dyDescent="0.25">
      <c r="A261" s="38">
        <f>Données!A261</f>
        <v>5861</v>
      </c>
      <c r="B261" s="144" t="str">
        <f>Données!B261</f>
        <v>Rolle</v>
      </c>
      <c r="C261" s="272">
        <f>VPI!R261</f>
        <v>796252.79529411776</v>
      </c>
      <c r="D261" s="414">
        <f>+Données!AP261</f>
        <v>44.873634381568664</v>
      </c>
      <c r="E261" s="320">
        <f>VPI!Q261</f>
        <v>59.5</v>
      </c>
      <c r="F261" s="179">
        <f t="shared" si="12"/>
        <v>14.626365618431336</v>
      </c>
      <c r="G261" s="176">
        <f>Effort!I261+Aide!I261/Taux!C261+Effort!K261/Taux!C261</f>
        <v>43.240916244797063</v>
      </c>
      <c r="H261" s="82">
        <f t="shared" si="13"/>
        <v>57.867281863228399</v>
      </c>
      <c r="I261" s="161">
        <f t="shared" si="14"/>
        <v>0</v>
      </c>
      <c r="J261" s="42">
        <f t="shared" si="15"/>
        <v>0</v>
      </c>
      <c r="K261" s="5"/>
      <c r="L261" s="10"/>
      <c r="M261" s="11"/>
      <c r="R261" s="11"/>
    </row>
    <row r="262" spans="1:18" x14ac:dyDescent="0.25">
      <c r="A262" s="38">
        <f>Données!A262</f>
        <v>5862</v>
      </c>
      <c r="B262" s="144" t="str">
        <f>Données!B262</f>
        <v>Tartegnin</v>
      </c>
      <c r="C262" s="272">
        <f>VPI!R262</f>
        <v>10371.38594936709</v>
      </c>
      <c r="D262" s="414">
        <f>+Données!AP262</f>
        <v>16.467349770010834</v>
      </c>
      <c r="E262" s="320">
        <f>VPI!Q262</f>
        <v>79</v>
      </c>
      <c r="F262" s="179">
        <f t="shared" si="12"/>
        <v>62.532650229989166</v>
      </c>
      <c r="G262" s="176">
        <f>Effort!I262+Aide!I262/Taux!C262+Effort!K262/Taux!C262</f>
        <v>25.212557393118473</v>
      </c>
      <c r="H262" s="82">
        <f t="shared" si="13"/>
        <v>87.745207623107632</v>
      </c>
      <c r="I262" s="161">
        <f t="shared" si="14"/>
        <v>0</v>
      </c>
      <c r="J262" s="42">
        <f t="shared" si="15"/>
        <v>0</v>
      </c>
      <c r="K262" s="5"/>
      <c r="L262" s="10"/>
      <c r="M262" s="11"/>
      <c r="R262" s="11"/>
    </row>
    <row r="263" spans="1:18" x14ac:dyDescent="0.25">
      <c r="A263" s="38">
        <f>Données!A263</f>
        <v>5863</v>
      </c>
      <c r="B263" s="144" t="str">
        <f>Données!B263</f>
        <v>Vinzel</v>
      </c>
      <c r="C263" s="272">
        <f>VPI!R263</f>
        <v>23660.86104477612</v>
      </c>
      <c r="D263" s="414">
        <f>+Données!AP263</f>
        <v>32.15120373225465</v>
      </c>
      <c r="E263" s="320">
        <f>VPI!Q263</f>
        <v>67</v>
      </c>
      <c r="F263" s="179">
        <f t="shared" ref="F263:F305" si="16">E263-D263</f>
        <v>34.84879626774535</v>
      </c>
      <c r="G263" s="176">
        <f>Effort!I263+Aide!I263/Taux!C263+Effort!K263/Taux!C263</f>
        <v>33.696717712330866</v>
      </c>
      <c r="H263" s="82">
        <f t="shared" ref="H263:H305" si="17">F263+G263</f>
        <v>68.545513980076208</v>
      </c>
      <c r="I263" s="161">
        <f t="shared" ref="I263:I305" si="18">IF(H263&gt;$I$5,H263-$I$5,0)</f>
        <v>0</v>
      </c>
      <c r="J263" s="42">
        <f t="shared" ref="J263:J305" si="19">-I263*C263</f>
        <v>0</v>
      </c>
      <c r="K263" s="5"/>
      <c r="L263" s="10"/>
      <c r="M263" s="11"/>
      <c r="R263" s="11"/>
    </row>
    <row r="264" spans="1:18" x14ac:dyDescent="0.25">
      <c r="A264" s="38">
        <f>Données!A264</f>
        <v>5871</v>
      </c>
      <c r="B264" s="144" t="str">
        <f>Données!B264</f>
        <v>L'Abbaye</v>
      </c>
      <c r="C264" s="272">
        <f>VPI!R264</f>
        <v>50235.576326002578</v>
      </c>
      <c r="D264" s="414">
        <f>+Données!AP264</f>
        <v>16.29065917383457</v>
      </c>
      <c r="E264" s="320">
        <f>VPI!Q264</f>
        <v>77.3</v>
      </c>
      <c r="F264" s="179">
        <f t="shared" si="16"/>
        <v>61.009340826165428</v>
      </c>
      <c r="G264" s="176">
        <f>Effort!I264+Aide!I264/Taux!C264+Effort!K264/Taux!C264</f>
        <v>6.0688291948524018</v>
      </c>
      <c r="H264" s="82">
        <f t="shared" si="17"/>
        <v>67.078170021017826</v>
      </c>
      <c r="I264" s="161">
        <f t="shared" si="18"/>
        <v>0</v>
      </c>
      <c r="J264" s="42">
        <f t="shared" si="19"/>
        <v>0</v>
      </c>
      <c r="K264" s="5"/>
      <c r="L264" s="10"/>
      <c r="M264" s="11"/>
      <c r="R264" s="11"/>
    </row>
    <row r="265" spans="1:18" x14ac:dyDescent="0.25">
      <c r="A265" s="38">
        <f>Données!A265</f>
        <v>5872</v>
      </c>
      <c r="B265" s="144" t="str">
        <f>Données!B265</f>
        <v>Le Chenit</v>
      </c>
      <c r="C265" s="272">
        <f>VPI!R265</f>
        <v>316919.42630555143</v>
      </c>
      <c r="D265" s="414">
        <f>+Données!AP265</f>
        <v>21.815825606008143</v>
      </c>
      <c r="E265" s="320">
        <f>VPI!Q265</f>
        <v>66.83</v>
      </c>
      <c r="F265" s="179">
        <f t="shared" si="16"/>
        <v>45.014174393991851</v>
      </c>
      <c r="G265" s="176">
        <f>Effort!I265+Aide!I265/Taux!C265+Effort!K265/Taux!C265</f>
        <v>28.088130815942439</v>
      </c>
      <c r="H265" s="82">
        <f t="shared" si="17"/>
        <v>73.102305209934286</v>
      </c>
      <c r="I265" s="161">
        <f t="shared" si="18"/>
        <v>0</v>
      </c>
      <c r="J265" s="42">
        <f t="shared" si="19"/>
        <v>0</v>
      </c>
      <c r="K265" s="5"/>
      <c r="L265" s="10"/>
      <c r="M265" s="11"/>
      <c r="R265" s="11"/>
    </row>
    <row r="266" spans="1:18" x14ac:dyDescent="0.25">
      <c r="A266" s="38">
        <f>Données!A266</f>
        <v>5873</v>
      </c>
      <c r="B266" s="144" t="str">
        <f>Données!B266</f>
        <v>Le Lieu</v>
      </c>
      <c r="C266" s="272">
        <f>VPI!R266</f>
        <v>35203.466500000002</v>
      </c>
      <c r="D266" s="414">
        <f>+Données!AP266</f>
        <v>21.664162181124883</v>
      </c>
      <c r="E266" s="320">
        <f>VPI!Q266</f>
        <v>70</v>
      </c>
      <c r="F266" s="179">
        <f t="shared" si="16"/>
        <v>48.33583781887512</v>
      </c>
      <c r="G266" s="176">
        <f>Effort!I266+Aide!I266/Taux!C266+Effort!K266/Taux!C266</f>
        <v>6.0930406570306559</v>
      </c>
      <c r="H266" s="82">
        <f t="shared" si="17"/>
        <v>54.428878475905776</v>
      </c>
      <c r="I266" s="161">
        <f t="shared" si="18"/>
        <v>0</v>
      </c>
      <c r="J266" s="42">
        <f t="shared" si="19"/>
        <v>0</v>
      </c>
      <c r="K266" s="5"/>
      <c r="L266" s="10"/>
      <c r="M266" s="11"/>
      <c r="R266" s="11"/>
    </row>
    <row r="267" spans="1:18" x14ac:dyDescent="0.25">
      <c r="A267" s="38">
        <f>Données!A267</f>
        <v>5882</v>
      </c>
      <c r="B267" s="144" t="str">
        <f>Données!B267</f>
        <v>Chardonne</v>
      </c>
      <c r="C267" s="272">
        <f>VPI!R267</f>
        <v>201755.16911764705</v>
      </c>
      <c r="D267" s="414">
        <f>+Données!AP267</f>
        <v>30.430807007658885</v>
      </c>
      <c r="E267" s="320">
        <f>VPI!Q267</f>
        <v>68</v>
      </c>
      <c r="F267" s="179">
        <f t="shared" si="16"/>
        <v>37.569192992341115</v>
      </c>
      <c r="G267" s="176">
        <f>Effort!I267+Aide!I267/Taux!C267+Effort!K267/Taux!C267</f>
        <v>29.884075862459547</v>
      </c>
      <c r="H267" s="82">
        <f t="shared" si="17"/>
        <v>67.453268854800655</v>
      </c>
      <c r="I267" s="161">
        <f t="shared" si="18"/>
        <v>0</v>
      </c>
      <c r="J267" s="42">
        <f t="shared" si="19"/>
        <v>0</v>
      </c>
      <c r="K267" s="5"/>
      <c r="L267" s="10"/>
      <c r="M267" s="11"/>
      <c r="R267" s="11"/>
    </row>
    <row r="268" spans="1:18" x14ac:dyDescent="0.25">
      <c r="A268" s="38">
        <f>Données!A268</f>
        <v>5883</v>
      </c>
      <c r="B268" s="144" t="str">
        <f>Données!B268</f>
        <v>Corseaux</v>
      </c>
      <c r="C268" s="272">
        <f>VPI!R268</f>
        <v>180895.17037037041</v>
      </c>
      <c r="D268" s="414">
        <f>+Données!AP268</f>
        <v>37.468587232161568</v>
      </c>
      <c r="E268" s="320">
        <f>VPI!Q268</f>
        <v>67.5</v>
      </c>
      <c r="F268" s="179">
        <f t="shared" si="16"/>
        <v>30.031412767838432</v>
      </c>
      <c r="G268" s="176">
        <f>Effort!I268+Aide!I268/Taux!C268+Effort!K268/Taux!C268</f>
        <v>36.339560609284149</v>
      </c>
      <c r="H268" s="82">
        <f t="shared" si="17"/>
        <v>66.370973377122581</v>
      </c>
      <c r="I268" s="161">
        <f t="shared" si="18"/>
        <v>0</v>
      </c>
      <c r="J268" s="42">
        <f t="shared" si="19"/>
        <v>0</v>
      </c>
      <c r="K268" s="5"/>
      <c r="L268" s="10"/>
      <c r="M268" s="11"/>
      <c r="R268" s="11"/>
    </row>
    <row r="269" spans="1:18" x14ac:dyDescent="0.25">
      <c r="A269" s="38">
        <f>Données!A269</f>
        <v>5884</v>
      </c>
      <c r="B269" s="144" t="str">
        <f>Données!B269</f>
        <v>Corsier-sur-Vevey</v>
      </c>
      <c r="C269" s="272">
        <f>VPI!R269</f>
        <v>128040.06408268733</v>
      </c>
      <c r="D269" s="414">
        <f>+Données!AP269</f>
        <v>23.370703096497493</v>
      </c>
      <c r="E269" s="320">
        <f>VPI!Q269</f>
        <v>64.5</v>
      </c>
      <c r="F269" s="179">
        <f t="shared" si="16"/>
        <v>41.129296903502507</v>
      </c>
      <c r="G269" s="176">
        <f>Effort!I269+Aide!I269/Taux!C269+Effort!K269/Taux!C269</f>
        <v>8.5681656588257376</v>
      </c>
      <c r="H269" s="82">
        <f t="shared" si="17"/>
        <v>49.697462562328241</v>
      </c>
      <c r="I269" s="161">
        <f t="shared" si="18"/>
        <v>0</v>
      </c>
      <c r="J269" s="42">
        <f t="shared" si="19"/>
        <v>0</v>
      </c>
      <c r="K269" s="5"/>
      <c r="L269" s="10"/>
      <c r="M269" s="11"/>
      <c r="R269" s="11"/>
    </row>
    <row r="270" spans="1:18" x14ac:dyDescent="0.25">
      <c r="A270" s="38">
        <f>Données!A270</f>
        <v>5885</v>
      </c>
      <c r="B270" s="144" t="str">
        <f>Données!B270</f>
        <v>Jongny</v>
      </c>
      <c r="C270" s="272">
        <f>VPI!R270</f>
        <v>104088.6996882494</v>
      </c>
      <c r="D270" s="414">
        <f>+Données!AP270</f>
        <v>29.161373868196396</v>
      </c>
      <c r="E270" s="320">
        <f>VPI!Q270</f>
        <v>69.5</v>
      </c>
      <c r="F270" s="179">
        <f t="shared" si="16"/>
        <v>40.338626131803608</v>
      </c>
      <c r="G270" s="176">
        <f>Effort!I270+Aide!I270/Taux!C270+Effort!K270/Taux!C270</f>
        <v>29.39665510946158</v>
      </c>
      <c r="H270" s="82">
        <f t="shared" si="17"/>
        <v>69.735281241265184</v>
      </c>
      <c r="I270" s="161">
        <f t="shared" si="18"/>
        <v>0</v>
      </c>
      <c r="J270" s="42">
        <f t="shared" si="19"/>
        <v>0</v>
      </c>
      <c r="K270" s="5"/>
      <c r="L270" s="10"/>
      <c r="M270" s="11"/>
      <c r="R270" s="11"/>
    </row>
    <row r="271" spans="1:18" x14ac:dyDescent="0.25">
      <c r="A271" s="38">
        <f>Données!A271</f>
        <v>5886</v>
      </c>
      <c r="B271" s="144" t="str">
        <f>Données!B271</f>
        <v>Montreux</v>
      </c>
      <c r="C271" s="272">
        <f>VPI!R271</f>
        <v>1153058.3310769231</v>
      </c>
      <c r="D271" s="414">
        <f>+Données!AP271</f>
        <v>12.166533387916338</v>
      </c>
      <c r="E271" s="320">
        <f>VPI!Q271</f>
        <v>65</v>
      </c>
      <c r="F271" s="179">
        <f t="shared" si="16"/>
        <v>52.833466612083662</v>
      </c>
      <c r="G271" s="176">
        <f>Effort!I271+Aide!I271/Taux!C271+Effort!K271/Taux!C271</f>
        <v>5.5318446554073795</v>
      </c>
      <c r="H271" s="82">
        <f t="shared" si="17"/>
        <v>58.365311267491037</v>
      </c>
      <c r="I271" s="161">
        <f t="shared" si="18"/>
        <v>0</v>
      </c>
      <c r="J271" s="42">
        <f t="shared" si="19"/>
        <v>0</v>
      </c>
      <c r="K271" s="5"/>
      <c r="L271" s="10"/>
      <c r="M271" s="11"/>
      <c r="R271" s="11"/>
    </row>
    <row r="272" spans="1:18" x14ac:dyDescent="0.25">
      <c r="A272" s="38">
        <f>Données!A272</f>
        <v>5889</v>
      </c>
      <c r="B272" s="144" t="str">
        <f>Données!B272</f>
        <v>La Tour-de-Peilz</v>
      </c>
      <c r="C272" s="272">
        <f>VPI!R272</f>
        <v>709087.81846354157</v>
      </c>
      <c r="D272" s="414">
        <f>+Données!AP272</f>
        <v>25.204771791683349</v>
      </c>
      <c r="E272" s="320">
        <f>VPI!Q272</f>
        <v>64</v>
      </c>
      <c r="F272" s="179">
        <f t="shared" si="16"/>
        <v>38.795228208316651</v>
      </c>
      <c r="G272" s="176">
        <f>Effort!I272+Aide!I272/Taux!C272+Effort!K272/Taux!C272</f>
        <v>22.490160989608174</v>
      </c>
      <c r="H272" s="82">
        <f t="shared" si="17"/>
        <v>61.285389197924829</v>
      </c>
      <c r="I272" s="161">
        <f t="shared" si="18"/>
        <v>0</v>
      </c>
      <c r="J272" s="42">
        <f t="shared" si="19"/>
        <v>0</v>
      </c>
      <c r="K272" s="5"/>
      <c r="L272" s="10"/>
      <c r="M272" s="11"/>
      <c r="R272" s="11"/>
    </row>
    <row r="273" spans="1:18" x14ac:dyDescent="0.25">
      <c r="A273" s="38">
        <f>Données!A273</f>
        <v>5890</v>
      </c>
      <c r="B273" s="144" t="str">
        <f>Données!B273</f>
        <v>Vevey</v>
      </c>
      <c r="C273" s="272">
        <f>VPI!R273</f>
        <v>944872.98138702475</v>
      </c>
      <c r="D273" s="414">
        <f>+Données!AP273</f>
        <v>16.64338047201646</v>
      </c>
      <c r="E273" s="320">
        <f>VPI!Q273</f>
        <v>74.5</v>
      </c>
      <c r="F273" s="179">
        <f t="shared" si="16"/>
        <v>57.85661952798354</v>
      </c>
      <c r="G273" s="176">
        <f>Effort!I273+Aide!I273/Taux!C273+Effort!K273/Taux!C273</f>
        <v>11.821916919211487</v>
      </c>
      <c r="H273" s="82">
        <f t="shared" si="17"/>
        <v>69.678536447195029</v>
      </c>
      <c r="I273" s="161">
        <f t="shared" si="18"/>
        <v>0</v>
      </c>
      <c r="J273" s="42">
        <f t="shared" si="19"/>
        <v>0</v>
      </c>
      <c r="K273" s="5"/>
      <c r="L273" s="10"/>
      <c r="M273" s="11"/>
      <c r="R273" s="11"/>
    </row>
    <row r="274" spans="1:18" x14ac:dyDescent="0.25">
      <c r="A274" s="38">
        <f>Données!A274</f>
        <v>5891</v>
      </c>
      <c r="B274" s="144" t="str">
        <f>Données!B274</f>
        <v>Veytaux</v>
      </c>
      <c r="C274" s="272">
        <f>VPI!R274</f>
        <v>41112.713045563549</v>
      </c>
      <c r="D274" s="414">
        <f>+Données!AP274</f>
        <v>25.622072032201309</v>
      </c>
      <c r="E274" s="320">
        <f>VPI!Q274</f>
        <v>69.5</v>
      </c>
      <c r="F274" s="179">
        <f t="shared" si="16"/>
        <v>43.877927967798691</v>
      </c>
      <c r="G274" s="176">
        <f>Effort!I274+Aide!I274/Taux!C274+Effort!K274/Taux!C274</f>
        <v>9.5755130346007391</v>
      </c>
      <c r="H274" s="82">
        <f t="shared" si="17"/>
        <v>53.45344100239943</v>
      </c>
      <c r="I274" s="161">
        <f t="shared" si="18"/>
        <v>0</v>
      </c>
      <c r="J274" s="42">
        <f t="shared" si="19"/>
        <v>0</v>
      </c>
      <c r="K274" s="5"/>
      <c r="L274" s="10"/>
      <c r="M274" s="11"/>
      <c r="R274" s="11"/>
    </row>
    <row r="275" spans="1:18" x14ac:dyDescent="0.25">
      <c r="A275" s="38">
        <f>Données!A275</f>
        <v>5892</v>
      </c>
      <c r="B275" s="144" t="str">
        <f>Données!B275</f>
        <v>Blonay-St-Légier</v>
      </c>
      <c r="C275" s="272">
        <f>VPI!R275</f>
        <v>749721.2351824817</v>
      </c>
      <c r="D275" s="414">
        <f>+Données!AP275</f>
        <v>24.937874842328256</v>
      </c>
      <c r="E275" s="320">
        <f>VPI!Q275</f>
        <v>68.5</v>
      </c>
      <c r="F275" s="179">
        <f t="shared" si="16"/>
        <v>43.562125157671744</v>
      </c>
      <c r="G275" s="176">
        <f>Effort!I275+Aide!I275/Taux!C275+Effort!K275/Taux!C275</f>
        <v>23.296383970997397</v>
      </c>
      <c r="H275" s="82">
        <f t="shared" si="17"/>
        <v>66.858509128669141</v>
      </c>
      <c r="I275" s="161">
        <f t="shared" si="18"/>
        <v>0</v>
      </c>
      <c r="J275" s="42">
        <f t="shared" si="19"/>
        <v>0</v>
      </c>
      <c r="K275" s="5"/>
      <c r="L275" s="10"/>
      <c r="M275" s="11"/>
      <c r="R275" s="11"/>
    </row>
    <row r="276" spans="1:18" x14ac:dyDescent="0.25">
      <c r="A276" s="38">
        <f>Données!A276</f>
        <v>5902</v>
      </c>
      <c r="B276" s="144" t="str">
        <f>Données!B276</f>
        <v>Belmont-sur-Yverdon</v>
      </c>
      <c r="C276" s="272">
        <f>VPI!R276</f>
        <v>11917.701714285715</v>
      </c>
      <c r="D276" s="414">
        <f>+Données!AP276</f>
        <v>14.971104217348817</v>
      </c>
      <c r="E276" s="320">
        <f>VPI!Q276</f>
        <v>70</v>
      </c>
      <c r="F276" s="179">
        <f t="shared" si="16"/>
        <v>55.028895782651183</v>
      </c>
      <c r="G276" s="176">
        <f>Effort!I276+Aide!I276/Taux!C276+Effort!K276/Taux!C276</f>
        <v>12.238536536583426</v>
      </c>
      <c r="H276" s="82">
        <f t="shared" si="17"/>
        <v>67.267432319234615</v>
      </c>
      <c r="I276" s="161">
        <f t="shared" si="18"/>
        <v>0</v>
      </c>
      <c r="J276" s="42">
        <f t="shared" si="19"/>
        <v>0</v>
      </c>
      <c r="K276" s="5"/>
      <c r="L276" s="10"/>
      <c r="M276" s="11"/>
      <c r="R276" s="11"/>
    </row>
    <row r="277" spans="1:18" x14ac:dyDescent="0.25">
      <c r="A277" s="38">
        <f>Données!A277</f>
        <v>5903</v>
      </c>
      <c r="B277" s="144" t="str">
        <f>Données!B277</f>
        <v>Bioley-Magnoux</v>
      </c>
      <c r="C277" s="272">
        <f>VPI!R277</f>
        <v>6275.3681349206354</v>
      </c>
      <c r="D277" s="414">
        <f>+Données!AP277</f>
        <v>9.389600766360676</v>
      </c>
      <c r="E277" s="320">
        <f>VPI!Q277</f>
        <v>72</v>
      </c>
      <c r="F277" s="179">
        <f t="shared" si="16"/>
        <v>62.610399233639328</v>
      </c>
      <c r="G277" s="176">
        <f>Effort!I277+Aide!I277/Taux!C277+Effort!K277/Taux!C277</f>
        <v>-14.067749242838534</v>
      </c>
      <c r="H277" s="82">
        <f t="shared" si="17"/>
        <v>48.542649990800797</v>
      </c>
      <c r="I277" s="161">
        <f t="shared" si="18"/>
        <v>0</v>
      </c>
      <c r="J277" s="42">
        <f t="shared" si="19"/>
        <v>0</v>
      </c>
      <c r="K277" s="5"/>
      <c r="L277" s="10"/>
      <c r="M277" s="11"/>
      <c r="R277" s="11"/>
    </row>
    <row r="278" spans="1:18" x14ac:dyDescent="0.25">
      <c r="A278" s="38">
        <f>Données!A278</f>
        <v>5904</v>
      </c>
      <c r="B278" s="144" t="str">
        <f>Données!B278</f>
        <v>Chamblon</v>
      </c>
      <c r="C278" s="272">
        <f>VPI!R278</f>
        <v>18889.911515151514</v>
      </c>
      <c r="D278" s="414">
        <f>+Données!AP278</f>
        <v>25.01286553023311</v>
      </c>
      <c r="E278" s="320">
        <f>VPI!Q278</f>
        <v>66</v>
      </c>
      <c r="F278" s="179">
        <f t="shared" si="16"/>
        <v>40.987134469766886</v>
      </c>
      <c r="G278" s="176">
        <f>Effort!I278+Aide!I278/Taux!C278+Effort!K278/Taux!C278</f>
        <v>20.552182831860648</v>
      </c>
      <c r="H278" s="82">
        <f t="shared" si="17"/>
        <v>61.539317301627534</v>
      </c>
      <c r="I278" s="161">
        <f t="shared" si="18"/>
        <v>0</v>
      </c>
      <c r="J278" s="42">
        <f t="shared" si="19"/>
        <v>0</v>
      </c>
      <c r="K278" s="5"/>
      <c r="L278" s="10"/>
      <c r="M278" s="11"/>
      <c r="R278" s="11"/>
    </row>
    <row r="279" spans="1:18" x14ac:dyDescent="0.25">
      <c r="A279" s="38">
        <f>Données!A279</f>
        <v>5905</v>
      </c>
      <c r="B279" s="144" t="str">
        <f>Données!B279</f>
        <v>Champvent</v>
      </c>
      <c r="C279" s="272">
        <f>VPI!R279</f>
        <v>21532.633285714288</v>
      </c>
      <c r="D279" s="414">
        <f>+Données!AP279</f>
        <v>18.921572113312951</v>
      </c>
      <c r="E279" s="320">
        <f>VPI!Q279</f>
        <v>70</v>
      </c>
      <c r="F279" s="179">
        <f t="shared" si="16"/>
        <v>51.078427886687052</v>
      </c>
      <c r="G279" s="176">
        <f>Effort!I279+Aide!I279/Taux!C279+Effort!K279/Taux!C279</f>
        <v>11.446110448068778</v>
      </c>
      <c r="H279" s="82">
        <f t="shared" si="17"/>
        <v>62.524538334755832</v>
      </c>
      <c r="I279" s="161">
        <f t="shared" si="18"/>
        <v>0</v>
      </c>
      <c r="J279" s="42">
        <f t="shared" si="19"/>
        <v>0</v>
      </c>
      <c r="K279" s="5"/>
      <c r="L279" s="10"/>
      <c r="M279" s="11"/>
      <c r="R279" s="11"/>
    </row>
    <row r="280" spans="1:18" x14ac:dyDescent="0.25">
      <c r="A280" s="38">
        <f>Données!A280</f>
        <v>5907</v>
      </c>
      <c r="B280" s="144" t="str">
        <f>Données!B280</f>
        <v>Chavannes-le-Chêne</v>
      </c>
      <c r="C280" s="272">
        <f>VPI!R280</f>
        <v>8453.4518666666645</v>
      </c>
      <c r="D280" s="414">
        <f>+Données!AP280</f>
        <v>4.308090793295996</v>
      </c>
      <c r="E280" s="320">
        <f>VPI!Q280</f>
        <v>75</v>
      </c>
      <c r="F280" s="179">
        <f t="shared" si="16"/>
        <v>70.691909206703997</v>
      </c>
      <c r="G280" s="176">
        <f>Effort!I280+Aide!I280/Taux!C280+Effort!K280/Taux!C280</f>
        <v>4.0457989982812208</v>
      </c>
      <c r="H280" s="82">
        <f t="shared" si="17"/>
        <v>74.737708204985211</v>
      </c>
      <c r="I280" s="161">
        <f t="shared" si="18"/>
        <v>0</v>
      </c>
      <c r="J280" s="42">
        <f t="shared" si="19"/>
        <v>0</v>
      </c>
      <c r="K280" s="5"/>
      <c r="L280" s="10"/>
      <c r="M280" s="11"/>
      <c r="R280" s="11"/>
    </row>
    <row r="281" spans="1:18" x14ac:dyDescent="0.25">
      <c r="A281" s="38">
        <f>Données!A281</f>
        <v>5908</v>
      </c>
      <c r="B281" s="144" t="str">
        <f>Données!B281</f>
        <v>Chêne-Pâquier</v>
      </c>
      <c r="C281" s="272">
        <f>VPI!R281</f>
        <v>4917.7774666666683</v>
      </c>
      <c r="D281" s="414">
        <f>+Données!AP281</f>
        <v>11.004726615370672</v>
      </c>
      <c r="E281" s="320">
        <f>VPI!Q281</f>
        <v>75</v>
      </c>
      <c r="F281" s="179">
        <f t="shared" si="16"/>
        <v>63.995273384629328</v>
      </c>
      <c r="G281" s="176">
        <f>Effort!I281+Aide!I281/Taux!C281+Effort!K281/Taux!C281</f>
        <v>6.5707515196580886</v>
      </c>
      <c r="H281" s="82">
        <f t="shared" si="17"/>
        <v>70.566024904287417</v>
      </c>
      <c r="I281" s="161">
        <f t="shared" si="18"/>
        <v>0</v>
      </c>
      <c r="J281" s="42">
        <f t="shared" si="19"/>
        <v>0</v>
      </c>
      <c r="K281" s="5"/>
      <c r="L281" s="10"/>
      <c r="M281" s="11"/>
      <c r="R281" s="11"/>
    </row>
    <row r="282" spans="1:18" x14ac:dyDescent="0.25">
      <c r="A282" s="38">
        <f>Données!A282</f>
        <v>5909</v>
      </c>
      <c r="B282" s="144" t="str">
        <f>Données!B282</f>
        <v>Cheseaux-Noréaz</v>
      </c>
      <c r="C282" s="272">
        <f>VPI!R282</f>
        <v>34184.486119402987</v>
      </c>
      <c r="D282" s="414">
        <f>+Données!AP282</f>
        <v>30.162713122376843</v>
      </c>
      <c r="E282" s="320">
        <f>VPI!Q282</f>
        <v>67</v>
      </c>
      <c r="F282" s="179">
        <f t="shared" si="16"/>
        <v>36.837286877623157</v>
      </c>
      <c r="G282" s="176">
        <f>Effort!I282+Aide!I282/Taux!C282+Effort!K282/Taux!C282</f>
        <v>27.275994088549282</v>
      </c>
      <c r="H282" s="82">
        <f t="shared" si="17"/>
        <v>64.113280966172439</v>
      </c>
      <c r="I282" s="161">
        <f t="shared" si="18"/>
        <v>0</v>
      </c>
      <c r="J282" s="42">
        <f t="shared" si="19"/>
        <v>0</v>
      </c>
      <c r="K282" s="5"/>
      <c r="L282" s="10"/>
      <c r="M282" s="11"/>
      <c r="R282" s="11"/>
    </row>
    <row r="283" spans="1:18" x14ac:dyDescent="0.25">
      <c r="A283" s="38">
        <f>Données!A283</f>
        <v>5910</v>
      </c>
      <c r="B283" s="144" t="str">
        <f>Données!B283</f>
        <v>Cronay</v>
      </c>
      <c r="C283" s="272">
        <f>VPI!R283</f>
        <v>10619.844545454544</v>
      </c>
      <c r="D283" s="414">
        <f>+Données!AP283</f>
        <v>7.5913239229245271</v>
      </c>
      <c r="E283" s="320">
        <f>VPI!Q283</f>
        <v>77</v>
      </c>
      <c r="F283" s="179">
        <f t="shared" si="16"/>
        <v>69.408676077075469</v>
      </c>
      <c r="G283" s="176">
        <f>Effort!I283+Aide!I283/Taux!C283+Effort!K283/Taux!C283</f>
        <v>1.7580889287339119</v>
      </c>
      <c r="H283" s="82">
        <f t="shared" si="17"/>
        <v>71.166765005809381</v>
      </c>
      <c r="I283" s="161">
        <f t="shared" si="18"/>
        <v>0</v>
      </c>
      <c r="J283" s="42">
        <f t="shared" si="19"/>
        <v>0</v>
      </c>
      <c r="K283" s="5"/>
      <c r="L283" s="10"/>
      <c r="M283" s="11"/>
      <c r="R283" s="11"/>
    </row>
    <row r="284" spans="1:18" x14ac:dyDescent="0.25">
      <c r="A284" s="38">
        <f>Données!A284</f>
        <v>5911</v>
      </c>
      <c r="B284" s="144" t="str">
        <f>Données!B284</f>
        <v>Cuarny</v>
      </c>
      <c r="C284" s="272">
        <f>VPI!R284</f>
        <v>7630.6846753246737</v>
      </c>
      <c r="D284" s="414">
        <f>+Données!AP284</f>
        <v>14.378580174331724</v>
      </c>
      <c r="E284" s="320">
        <f>VPI!Q284</f>
        <v>77</v>
      </c>
      <c r="F284" s="179">
        <f t="shared" si="16"/>
        <v>62.621419825668276</v>
      </c>
      <c r="G284" s="176">
        <f>Effort!I284+Aide!I284/Taux!C284+Effort!K284/Taux!C284</f>
        <v>15.578876813317716</v>
      </c>
      <c r="H284" s="82">
        <f t="shared" si="17"/>
        <v>78.200296638985989</v>
      </c>
      <c r="I284" s="161">
        <f t="shared" si="18"/>
        <v>0</v>
      </c>
      <c r="J284" s="42">
        <f t="shared" si="19"/>
        <v>0</v>
      </c>
      <c r="K284" s="5"/>
      <c r="L284" s="10"/>
      <c r="M284" s="11"/>
      <c r="R284" s="11"/>
    </row>
    <row r="285" spans="1:18" s="158" customFormat="1" x14ac:dyDescent="0.25">
      <c r="A285" s="38">
        <f>Données!A285</f>
        <v>5912</v>
      </c>
      <c r="B285" s="144" t="str">
        <f>Données!B285</f>
        <v>Démoret</v>
      </c>
      <c r="C285" s="272">
        <f>VPI!R285</f>
        <v>3035.5676923076921</v>
      </c>
      <c r="D285" s="414">
        <f>+Données!AP285</f>
        <v>10.073983302751071</v>
      </c>
      <c r="E285" s="320">
        <f>VPI!Q285</f>
        <v>78</v>
      </c>
      <c r="F285" s="179">
        <f t="shared" si="16"/>
        <v>67.926016697248926</v>
      </c>
      <c r="G285" s="176">
        <f>Effort!I285+Aide!I285/Taux!C285+Effort!K285/Taux!C285</f>
        <v>-19.781197783917921</v>
      </c>
      <c r="H285" s="82">
        <f t="shared" si="17"/>
        <v>48.144818913331008</v>
      </c>
      <c r="I285" s="161">
        <f t="shared" si="18"/>
        <v>0</v>
      </c>
      <c r="J285" s="42">
        <f t="shared" si="19"/>
        <v>0</v>
      </c>
      <c r="K285" s="5"/>
      <c r="L285" s="10"/>
    </row>
    <row r="286" spans="1:18" s="158" customFormat="1" x14ac:dyDescent="0.25">
      <c r="A286" s="38">
        <f>Données!A286</f>
        <v>5913</v>
      </c>
      <c r="B286" s="144" t="str">
        <f>Données!B286</f>
        <v>Donneloye</v>
      </c>
      <c r="C286" s="272">
        <f>VPI!R286</f>
        <v>21868.154383561647</v>
      </c>
      <c r="D286" s="414">
        <f>+Données!AP286</f>
        <v>10.399213257852093</v>
      </c>
      <c r="E286" s="320">
        <f>VPI!Q286</f>
        <v>73</v>
      </c>
      <c r="F286" s="179">
        <f t="shared" si="16"/>
        <v>62.600786742147903</v>
      </c>
      <c r="G286" s="176">
        <f>Effort!I286+Aide!I286/Taux!C286+Effort!K286/Taux!C286</f>
        <v>1.5184503869941608</v>
      </c>
      <c r="H286" s="82">
        <f t="shared" si="17"/>
        <v>64.119237129142064</v>
      </c>
      <c r="I286" s="161">
        <f t="shared" si="18"/>
        <v>0</v>
      </c>
      <c r="J286" s="42">
        <f t="shared" si="19"/>
        <v>0</v>
      </c>
      <c r="K286" s="5"/>
      <c r="L286" s="10"/>
    </row>
    <row r="287" spans="1:18" s="158" customFormat="1" x14ac:dyDescent="0.25">
      <c r="A287" s="38">
        <f>Données!A287</f>
        <v>5914</v>
      </c>
      <c r="B287" s="144" t="str">
        <f>Données!B287</f>
        <v>Ependes</v>
      </c>
      <c r="C287" s="272">
        <f>VPI!R287</f>
        <v>9825.9911564625836</v>
      </c>
      <c r="D287" s="414">
        <f>+Données!AP287</f>
        <v>8.4541997483589491</v>
      </c>
      <c r="E287" s="320">
        <f>VPI!Q287</f>
        <v>73.5</v>
      </c>
      <c r="F287" s="179">
        <f t="shared" si="16"/>
        <v>65.045800251641055</v>
      </c>
      <c r="G287" s="176">
        <f>Effort!I287+Aide!I287/Taux!C287+Effort!K287/Taux!C287</f>
        <v>2.167274101343228</v>
      </c>
      <c r="H287" s="82">
        <f t="shared" si="17"/>
        <v>67.213074352984279</v>
      </c>
      <c r="I287" s="161">
        <f t="shared" si="18"/>
        <v>0</v>
      </c>
      <c r="J287" s="42">
        <f t="shared" si="19"/>
        <v>0</v>
      </c>
      <c r="K287" s="5"/>
      <c r="L287" s="10"/>
    </row>
    <row r="288" spans="1:18" s="158" customFormat="1" x14ac:dyDescent="0.25">
      <c r="A288" s="38">
        <f>Données!A288</f>
        <v>5919</v>
      </c>
      <c r="B288" s="144" t="str">
        <f>Données!B288</f>
        <v>Mathod</v>
      </c>
      <c r="C288" s="272">
        <f>VPI!R288</f>
        <v>20853.913634259261</v>
      </c>
      <c r="D288" s="414">
        <f>+Données!AP288</f>
        <v>13.362018355780283</v>
      </c>
      <c r="E288" s="320">
        <f>VPI!Q288</f>
        <v>72</v>
      </c>
      <c r="F288" s="179">
        <f t="shared" si="16"/>
        <v>58.637981644219721</v>
      </c>
      <c r="G288" s="176">
        <f>Effort!I288+Aide!I288/Taux!C288+Effort!K288/Taux!C288</f>
        <v>11.276062023873141</v>
      </c>
      <c r="H288" s="82">
        <f t="shared" si="17"/>
        <v>69.914043668092859</v>
      </c>
      <c r="I288" s="161">
        <f t="shared" si="18"/>
        <v>0</v>
      </c>
      <c r="J288" s="42">
        <f t="shared" si="19"/>
        <v>0</v>
      </c>
      <c r="K288" s="5"/>
      <c r="L288" s="10"/>
    </row>
    <row r="289" spans="1:18" s="158" customFormat="1" x14ac:dyDescent="0.25">
      <c r="A289" s="38">
        <f>Données!A289</f>
        <v>5921</v>
      </c>
      <c r="B289" s="144" t="str">
        <f>Données!B289</f>
        <v>Molondin</v>
      </c>
      <c r="C289" s="272">
        <f>VPI!R289</f>
        <v>5090.9581481481491</v>
      </c>
      <c r="D289" s="414">
        <f>+Données!AP289</f>
        <v>1.8227543284857486</v>
      </c>
      <c r="E289" s="320">
        <f>VPI!Q289</f>
        <v>81</v>
      </c>
      <c r="F289" s="179">
        <f t="shared" si="16"/>
        <v>79.177245671514257</v>
      </c>
      <c r="G289" s="176">
        <f>Effort!I289+Aide!I289/Taux!C289+Effort!K289/Taux!C289</f>
        <v>-13.49834588935472</v>
      </c>
      <c r="H289" s="82">
        <f t="shared" si="17"/>
        <v>65.678899782159533</v>
      </c>
      <c r="I289" s="161">
        <f t="shared" si="18"/>
        <v>0</v>
      </c>
      <c r="J289" s="42">
        <f t="shared" si="19"/>
        <v>0</v>
      </c>
      <c r="K289" s="5"/>
      <c r="L289" s="10"/>
    </row>
    <row r="290" spans="1:18" s="158" customFormat="1" x14ac:dyDescent="0.25">
      <c r="A290" s="38">
        <f>Données!A290</f>
        <v>5922</v>
      </c>
      <c r="B290" s="144" t="str">
        <f>Données!B290</f>
        <v>Montagny-près-Yverdon</v>
      </c>
      <c r="C290" s="272">
        <f>VPI!R290</f>
        <v>39793.407325581393</v>
      </c>
      <c r="D290" s="414">
        <f>+Données!AP290</f>
        <v>30.245261626868384</v>
      </c>
      <c r="E290" s="320">
        <f>VPI!Q290</f>
        <v>64.5</v>
      </c>
      <c r="F290" s="179">
        <f t="shared" si="16"/>
        <v>34.254738373131616</v>
      </c>
      <c r="G290" s="176">
        <f>Effort!I290+Aide!I290/Taux!C290+Effort!K290/Taux!C290</f>
        <v>26.492005938318744</v>
      </c>
      <c r="H290" s="82">
        <f t="shared" si="17"/>
        <v>60.746744311450357</v>
      </c>
      <c r="I290" s="161">
        <f t="shared" si="18"/>
        <v>0</v>
      </c>
      <c r="J290" s="42">
        <f t="shared" si="19"/>
        <v>0</v>
      </c>
      <c r="K290" s="5"/>
      <c r="L290" s="10"/>
    </row>
    <row r="291" spans="1:18" s="158" customFormat="1" x14ac:dyDescent="0.25">
      <c r="A291" s="38">
        <f>Données!A291</f>
        <v>5923</v>
      </c>
      <c r="B291" s="144" t="str">
        <f>Données!B291</f>
        <v>Oppens</v>
      </c>
      <c r="C291" s="272">
        <f>VPI!R291</f>
        <v>4459.1672839506173</v>
      </c>
      <c r="D291" s="414">
        <f>+Données!AP291</f>
        <v>3.5429525749974893</v>
      </c>
      <c r="E291" s="320">
        <f>VPI!Q291</f>
        <v>81</v>
      </c>
      <c r="F291" s="179">
        <f t="shared" si="16"/>
        <v>77.457047425002514</v>
      </c>
      <c r="G291" s="176">
        <f>Effort!I291+Aide!I291/Taux!C291+Effort!K291/Taux!C291</f>
        <v>-13.48372495192773</v>
      </c>
      <c r="H291" s="82">
        <f t="shared" si="17"/>
        <v>63.973322473074788</v>
      </c>
      <c r="I291" s="161">
        <f t="shared" si="18"/>
        <v>0</v>
      </c>
      <c r="J291" s="42">
        <f t="shared" si="19"/>
        <v>0</v>
      </c>
      <c r="K291" s="5"/>
      <c r="L291" s="10"/>
    </row>
    <row r="292" spans="1:18" s="158" customFormat="1" x14ac:dyDescent="0.25">
      <c r="A292" s="38">
        <f>Données!A292</f>
        <v>5924</v>
      </c>
      <c r="B292" s="144" t="str">
        <f>Données!B292</f>
        <v>Orges</v>
      </c>
      <c r="C292" s="272">
        <f>VPI!R292</f>
        <v>11637.444864864863</v>
      </c>
      <c r="D292" s="414">
        <f>+Données!AP292</f>
        <v>20.88330513948868</v>
      </c>
      <c r="E292" s="320">
        <f>VPI!Q292</f>
        <v>74</v>
      </c>
      <c r="F292" s="179">
        <f t="shared" si="16"/>
        <v>53.116694860511316</v>
      </c>
      <c r="G292" s="176">
        <f>Effort!I292+Aide!I292/Taux!C292+Effort!K292/Taux!C292</f>
        <v>9.89193931339309</v>
      </c>
      <c r="H292" s="82">
        <f t="shared" si="17"/>
        <v>63.008634173904404</v>
      </c>
      <c r="I292" s="161">
        <f t="shared" si="18"/>
        <v>0</v>
      </c>
      <c r="J292" s="42">
        <f t="shared" si="19"/>
        <v>0</v>
      </c>
      <c r="K292" s="5"/>
      <c r="L292" s="10"/>
    </row>
    <row r="293" spans="1:18" x14ac:dyDescent="0.25">
      <c r="A293" s="38">
        <f>Données!A293</f>
        <v>5925</v>
      </c>
      <c r="B293" s="144" t="str">
        <f>Données!B293</f>
        <v>Orzens</v>
      </c>
      <c r="C293" s="272">
        <f>VPI!R293</f>
        <v>5255.7039240506319</v>
      </c>
      <c r="D293" s="414">
        <f>+Données!AP293</f>
        <v>5.7699202638357008</v>
      </c>
      <c r="E293" s="320">
        <f>VPI!Q293</f>
        <v>79</v>
      </c>
      <c r="F293" s="179">
        <f t="shared" si="16"/>
        <v>73.230079736164299</v>
      </c>
      <c r="G293" s="176">
        <f>Effort!I293+Aide!I293/Taux!C293+Effort!K293/Taux!C293</f>
        <v>-6.2170189552168118</v>
      </c>
      <c r="H293" s="82">
        <f t="shared" si="17"/>
        <v>67.013060780947484</v>
      </c>
      <c r="I293" s="161">
        <f t="shared" si="18"/>
        <v>0</v>
      </c>
      <c r="J293" s="42">
        <f t="shared" si="19"/>
        <v>0</v>
      </c>
      <c r="K293" s="5"/>
      <c r="L293" s="10"/>
      <c r="M293" s="11"/>
      <c r="R293" s="11"/>
    </row>
    <row r="294" spans="1:18" x14ac:dyDescent="0.25">
      <c r="A294" s="38">
        <f>Données!A294</f>
        <v>5926</v>
      </c>
      <c r="B294" s="144" t="str">
        <f>Données!B294</f>
        <v>Pomy</v>
      </c>
      <c r="C294" s="272">
        <f>VPI!R294</f>
        <v>26782.091549295772</v>
      </c>
      <c r="D294" s="414">
        <f>+Données!AP294</f>
        <v>19.214131136459109</v>
      </c>
      <c r="E294" s="320">
        <f>VPI!Q294</f>
        <v>71</v>
      </c>
      <c r="F294" s="179">
        <f t="shared" si="16"/>
        <v>51.785868863540891</v>
      </c>
      <c r="G294" s="176">
        <f>Effort!I294+Aide!I294/Taux!C294+Effort!K294/Taux!C294</f>
        <v>14.737133723976662</v>
      </c>
      <c r="H294" s="82">
        <f t="shared" si="17"/>
        <v>66.523002587517553</v>
      </c>
      <c r="I294" s="161">
        <f t="shared" si="18"/>
        <v>0</v>
      </c>
      <c r="J294" s="42">
        <f t="shared" si="19"/>
        <v>0</v>
      </c>
      <c r="K294" s="5"/>
      <c r="L294" s="10"/>
      <c r="M294" s="11"/>
      <c r="R294" s="11"/>
    </row>
    <row r="295" spans="1:18" x14ac:dyDescent="0.25">
      <c r="A295" s="38">
        <f>Données!A295</f>
        <v>5928</v>
      </c>
      <c r="B295" s="144" t="str">
        <f>Données!B295</f>
        <v>Rovray</v>
      </c>
      <c r="C295" s="272">
        <f>VPI!R295</f>
        <v>5095.4959440559442</v>
      </c>
      <c r="D295" s="414">
        <f>+Données!AP295</f>
        <v>10.591627862588812</v>
      </c>
      <c r="E295" s="320">
        <f>VPI!Q295</f>
        <v>71.5</v>
      </c>
      <c r="F295" s="179">
        <f t="shared" si="16"/>
        <v>60.908372137411192</v>
      </c>
      <c r="G295" s="176">
        <f>Effort!I295+Aide!I295/Taux!C295+Effort!K295/Taux!C295</f>
        <v>8.5434540515229074</v>
      </c>
      <c r="H295" s="82">
        <f t="shared" si="17"/>
        <v>69.451826188934092</v>
      </c>
      <c r="I295" s="161">
        <f t="shared" si="18"/>
        <v>0</v>
      </c>
      <c r="J295" s="42">
        <f t="shared" si="19"/>
        <v>0</v>
      </c>
      <c r="K295" s="5"/>
      <c r="L295" s="10"/>
      <c r="M295" s="11"/>
      <c r="R295" s="11"/>
    </row>
    <row r="296" spans="1:18" x14ac:dyDescent="0.25">
      <c r="A296" s="38">
        <f>Données!A296</f>
        <v>5929</v>
      </c>
      <c r="B296" s="144" t="str">
        <f>Données!B296</f>
        <v>Suchy</v>
      </c>
      <c r="C296" s="272">
        <f>VPI!R296</f>
        <v>21602.649857142853</v>
      </c>
      <c r="D296" s="414">
        <f>+Données!AP296</f>
        <v>16.999253808897294</v>
      </c>
      <c r="E296" s="320">
        <f>VPI!Q296</f>
        <v>70</v>
      </c>
      <c r="F296" s="179">
        <f t="shared" si="16"/>
        <v>53.000746191102706</v>
      </c>
      <c r="G296" s="176">
        <f>Effort!I296+Aide!I296/Taux!C296+Effort!K296/Taux!C296</f>
        <v>17.930718605192226</v>
      </c>
      <c r="H296" s="82">
        <f t="shared" si="17"/>
        <v>70.931464796294932</v>
      </c>
      <c r="I296" s="161">
        <f t="shared" si="18"/>
        <v>0</v>
      </c>
      <c r="J296" s="42">
        <f t="shared" si="19"/>
        <v>0</v>
      </c>
      <c r="K296" s="5"/>
      <c r="L296" s="10"/>
      <c r="M296" s="11"/>
      <c r="R296" s="11"/>
    </row>
    <row r="297" spans="1:18" x14ac:dyDescent="0.25">
      <c r="A297" s="38">
        <f>Données!A297</f>
        <v>5930</v>
      </c>
      <c r="B297" s="144" t="str">
        <f>Données!B297</f>
        <v>Suscévaz</v>
      </c>
      <c r="C297" s="272">
        <f>VPI!R297</f>
        <v>5749.1573611111107</v>
      </c>
      <c r="D297" s="414">
        <f>+Données!AP297</f>
        <v>16.483117582120638</v>
      </c>
      <c r="E297" s="320">
        <f>VPI!Q297</f>
        <v>72</v>
      </c>
      <c r="F297" s="179">
        <f t="shared" si="16"/>
        <v>55.516882417879359</v>
      </c>
      <c r="G297" s="176">
        <f>Effort!I297+Aide!I297/Taux!C297+Effort!K297/Taux!C297</f>
        <v>3.3870798472493675</v>
      </c>
      <c r="H297" s="82">
        <f t="shared" si="17"/>
        <v>58.903962265128726</v>
      </c>
      <c r="I297" s="161">
        <f t="shared" si="18"/>
        <v>0</v>
      </c>
      <c r="J297" s="42">
        <f t="shared" si="19"/>
        <v>0</v>
      </c>
      <c r="K297" s="5"/>
      <c r="L297" s="10"/>
      <c r="M297" s="11"/>
      <c r="R297" s="11"/>
    </row>
    <row r="298" spans="1:18" x14ac:dyDescent="0.25">
      <c r="A298" s="38">
        <f>Données!A298</f>
        <v>5931</v>
      </c>
      <c r="B298" s="144" t="str">
        <f>Données!B298</f>
        <v>Treycovagnes</v>
      </c>
      <c r="C298" s="272">
        <f>VPI!R298</f>
        <v>16306.589199999997</v>
      </c>
      <c r="D298" s="414">
        <f>+Données!AP298</f>
        <v>15.741232604257206</v>
      </c>
      <c r="E298" s="320">
        <f>VPI!Q298</f>
        <v>75</v>
      </c>
      <c r="F298" s="179">
        <f t="shared" si="16"/>
        <v>59.258767395742794</v>
      </c>
      <c r="G298" s="176">
        <f>Effort!I298+Aide!I298/Taux!C298+Effort!K298/Taux!C298</f>
        <v>12.90647792521475</v>
      </c>
      <c r="H298" s="82">
        <f t="shared" si="17"/>
        <v>72.165245320957538</v>
      </c>
      <c r="I298" s="161">
        <f t="shared" si="18"/>
        <v>0</v>
      </c>
      <c r="J298" s="42">
        <f t="shared" si="19"/>
        <v>0</v>
      </c>
      <c r="K298" s="5"/>
      <c r="L298" s="10"/>
      <c r="M298" s="11"/>
      <c r="R298" s="11"/>
    </row>
    <row r="299" spans="1:18" x14ac:dyDescent="0.25">
      <c r="A299" s="38">
        <f>Données!A299</f>
        <v>5932</v>
      </c>
      <c r="B299" s="144" t="str">
        <f>Données!B299</f>
        <v>Ursins</v>
      </c>
      <c r="C299" s="272">
        <f>VPI!R299</f>
        <v>7945.6270666666669</v>
      </c>
      <c r="D299" s="414">
        <f>+Données!AP299</f>
        <v>18.747217124727811</v>
      </c>
      <c r="E299" s="320">
        <f>VPI!Q299</f>
        <v>75</v>
      </c>
      <c r="F299" s="179">
        <f t="shared" si="16"/>
        <v>56.252782875272189</v>
      </c>
      <c r="G299" s="176">
        <f>Effort!I299+Aide!I299/Taux!C299+Effort!K299/Taux!C299</f>
        <v>18.596531357766914</v>
      </c>
      <c r="H299" s="82">
        <f t="shared" si="17"/>
        <v>74.849314233039109</v>
      </c>
      <c r="I299" s="161">
        <f t="shared" si="18"/>
        <v>0</v>
      </c>
      <c r="J299" s="42">
        <f t="shared" si="19"/>
        <v>0</v>
      </c>
      <c r="K299" s="5"/>
      <c r="L299" s="10"/>
      <c r="M299" s="11"/>
      <c r="R299" s="11"/>
    </row>
    <row r="300" spans="1:18" x14ac:dyDescent="0.25">
      <c r="A300" s="38">
        <f>Données!A300</f>
        <v>5933</v>
      </c>
      <c r="B300" s="144" t="str">
        <f>Données!B300</f>
        <v>Valeyres-sous-Montagny</v>
      </c>
      <c r="C300" s="272">
        <f>VPI!R300</f>
        <v>23478.000425531918</v>
      </c>
      <c r="D300" s="414">
        <f>+Données!AP300</f>
        <v>13.409926884569668</v>
      </c>
      <c r="E300" s="320">
        <f>VPI!Q300</f>
        <v>70.5</v>
      </c>
      <c r="F300" s="179">
        <f t="shared" si="16"/>
        <v>57.090073115430329</v>
      </c>
      <c r="G300" s="176">
        <f>Effort!I300+Aide!I300/Taux!C300+Effort!K300/Taux!C300</f>
        <v>5.1950916845354804</v>
      </c>
      <c r="H300" s="82">
        <f t="shared" si="17"/>
        <v>62.285164799965813</v>
      </c>
      <c r="I300" s="161">
        <f t="shared" si="18"/>
        <v>0</v>
      </c>
      <c r="J300" s="42">
        <f t="shared" si="19"/>
        <v>0</v>
      </c>
      <c r="K300" s="5"/>
      <c r="L300" s="10"/>
      <c r="M300" s="11"/>
      <c r="R300" s="11"/>
    </row>
    <row r="301" spans="1:18" x14ac:dyDescent="0.25">
      <c r="A301" s="38">
        <f>Données!A301</f>
        <v>5934</v>
      </c>
      <c r="B301" s="144" t="str">
        <f>Données!B301</f>
        <v>Valeyres-sous-Ursins</v>
      </c>
      <c r="C301" s="272">
        <f>VPI!R301</f>
        <v>6917.5551948051934</v>
      </c>
      <c r="D301" s="414">
        <f>+Données!AP301</f>
        <v>11.163284867869308</v>
      </c>
      <c r="E301" s="320">
        <f>VPI!Q301</f>
        <v>77</v>
      </c>
      <c r="F301" s="179">
        <f t="shared" si="16"/>
        <v>65.836715132130692</v>
      </c>
      <c r="G301" s="176">
        <f>Effort!I301+Aide!I301/Taux!C301+Effort!K301/Taux!C301</f>
        <v>11.104166750106508</v>
      </c>
      <c r="H301" s="82">
        <f t="shared" si="17"/>
        <v>76.940881882237193</v>
      </c>
      <c r="I301" s="161">
        <f t="shared" si="18"/>
        <v>0</v>
      </c>
      <c r="J301" s="42">
        <f t="shared" si="19"/>
        <v>0</v>
      </c>
      <c r="K301" s="5"/>
      <c r="L301" s="10"/>
      <c r="M301" s="11"/>
      <c r="R301" s="11"/>
    </row>
    <row r="302" spans="1:18" x14ac:dyDescent="0.25">
      <c r="A302" s="38">
        <f>Données!A302</f>
        <v>5935</v>
      </c>
      <c r="B302" s="144" t="str">
        <f>Données!B302</f>
        <v>Villars-Epeney</v>
      </c>
      <c r="C302" s="272">
        <f>VPI!R302</f>
        <v>6724.3836764705884</v>
      </c>
      <c r="D302" s="414">
        <f>+Données!AP302</f>
        <v>23.809739836492223</v>
      </c>
      <c r="E302" s="320">
        <f>VPI!Q302</f>
        <v>68</v>
      </c>
      <c r="F302" s="179">
        <f t="shared" si="16"/>
        <v>44.190260163507773</v>
      </c>
      <c r="G302" s="176">
        <f>Effort!I302+Aide!I302/Taux!C302+Effort!K302/Taux!C302</f>
        <v>36.072095160772918</v>
      </c>
      <c r="H302" s="82">
        <f t="shared" si="17"/>
        <v>80.262355324280691</v>
      </c>
      <c r="I302" s="161">
        <f t="shared" si="18"/>
        <v>0</v>
      </c>
      <c r="J302" s="42">
        <f t="shared" si="19"/>
        <v>0</v>
      </c>
      <c r="K302" s="5"/>
      <c r="L302" s="10"/>
      <c r="M302" s="11"/>
      <c r="R302" s="11"/>
    </row>
    <row r="303" spans="1:18" x14ac:dyDescent="0.25">
      <c r="A303" s="38">
        <f>Données!A303</f>
        <v>5937</v>
      </c>
      <c r="B303" s="144" t="str">
        <f>Données!B303</f>
        <v>Vugelles-La Mothe</v>
      </c>
      <c r="C303" s="272">
        <f>VPI!R303</f>
        <v>3343.8780000000002</v>
      </c>
      <c r="D303" s="414">
        <f>+Données!AP303</f>
        <v>8.6058530046831514</v>
      </c>
      <c r="E303" s="320">
        <f>VPI!Q303</f>
        <v>70</v>
      </c>
      <c r="F303" s="179">
        <f t="shared" si="16"/>
        <v>61.394146995316845</v>
      </c>
      <c r="G303" s="176">
        <f>Effort!I303+Aide!I303/Taux!C303+Effort!K303/Taux!C303</f>
        <v>1.0023948472955411</v>
      </c>
      <c r="H303" s="82">
        <f t="shared" si="17"/>
        <v>62.396541842612386</v>
      </c>
      <c r="I303" s="161">
        <f t="shared" si="18"/>
        <v>0</v>
      </c>
      <c r="J303" s="42">
        <f t="shared" si="19"/>
        <v>0</v>
      </c>
      <c r="K303" s="5"/>
      <c r="L303" s="10"/>
      <c r="M303" s="11"/>
      <c r="R303" s="11"/>
    </row>
    <row r="304" spans="1:18" x14ac:dyDescent="0.25">
      <c r="A304" s="38">
        <f>Données!A304</f>
        <v>5938</v>
      </c>
      <c r="B304" s="144" t="str">
        <f>Données!B304</f>
        <v>Yverdon-les-Bains</v>
      </c>
      <c r="C304" s="272">
        <f>VPI!R304</f>
        <v>780545.69493333355</v>
      </c>
      <c r="D304" s="414">
        <f>+Données!AP304</f>
        <v>-21.653944514880806</v>
      </c>
      <c r="E304" s="320">
        <f>VPI!Q304</f>
        <v>75</v>
      </c>
      <c r="F304" s="179">
        <f t="shared" si="16"/>
        <v>96.653944514880806</v>
      </c>
      <c r="G304" s="176">
        <f>Effort!I304+Aide!I304/Taux!C304+Effort!K304/Taux!C304</f>
        <v>-28.366113236554838</v>
      </c>
      <c r="H304" s="82">
        <f t="shared" si="17"/>
        <v>68.287831278325967</v>
      </c>
      <c r="I304" s="161">
        <f t="shared" si="18"/>
        <v>0</v>
      </c>
      <c r="J304" s="42">
        <f t="shared" si="19"/>
        <v>0</v>
      </c>
      <c r="K304" s="5"/>
      <c r="L304" s="10"/>
      <c r="M304" s="11"/>
      <c r="R304" s="11"/>
    </row>
    <row r="305" spans="1:18" x14ac:dyDescent="0.25">
      <c r="A305" s="39">
        <f>Données!A305</f>
        <v>5939</v>
      </c>
      <c r="B305" s="145" t="str">
        <f>Données!B305</f>
        <v>Yvonand</v>
      </c>
      <c r="C305" s="318">
        <f>VPI!R305</f>
        <v>97389.711048951052</v>
      </c>
      <c r="D305" s="415">
        <f>+Données!AP305</f>
        <v>9.1621430878082464</v>
      </c>
      <c r="E305" s="321">
        <f>VPI!Q305</f>
        <v>71.5</v>
      </c>
      <c r="F305" s="181">
        <f t="shared" si="16"/>
        <v>62.337856912191754</v>
      </c>
      <c r="G305" s="177">
        <f>Effort!I305+Aide!I305/Taux!C305+Effort!K305/Taux!C305</f>
        <v>-0.32736482081429941</v>
      </c>
      <c r="H305" s="83">
        <f t="shared" si="17"/>
        <v>62.010492091377458</v>
      </c>
      <c r="I305" s="161">
        <f t="shared" si="18"/>
        <v>0</v>
      </c>
      <c r="J305" s="64">
        <f t="shared" si="19"/>
        <v>0</v>
      </c>
      <c r="K305" s="5"/>
      <c r="L305" s="10"/>
      <c r="M305" s="11"/>
      <c r="R305" s="11"/>
    </row>
    <row r="306" spans="1:18" x14ac:dyDescent="0.25">
      <c r="A306" s="25"/>
      <c r="B306" s="73">
        <f>COUNTA(B6:B305)</f>
        <v>300</v>
      </c>
      <c r="C306" s="318">
        <f>SUM(C6:C305)</f>
        <v>39802348.273186527</v>
      </c>
      <c r="D306" s="415"/>
      <c r="E306" s="322">
        <f>VPI!Q306</f>
        <v>67.673642186656622</v>
      </c>
      <c r="F306" s="181">
        <f t="shared" ref="F306" si="20">E306-D306</f>
        <v>67.673642186656622</v>
      </c>
      <c r="G306" s="177">
        <f>Effort!I306+Aide!I306/Taux!C306+Effort!K306/Taux!C306</f>
        <v>15.668153536436368</v>
      </c>
      <c r="H306" s="83">
        <f t="shared" ref="H306" si="21">F306+G306</f>
        <v>83.341795723092986</v>
      </c>
      <c r="I306" s="273"/>
      <c r="J306" s="64">
        <f>SUM(J6:J305)</f>
        <v>0</v>
      </c>
      <c r="K306" s="5"/>
      <c r="L306" s="11"/>
      <c r="M306" s="11"/>
      <c r="R306" s="11"/>
    </row>
    <row r="307" spans="1:18" x14ac:dyDescent="0.25">
      <c r="Q307" s="18"/>
    </row>
    <row r="308" spans="1:18" s="5" customFormat="1" x14ac:dyDescent="0.25">
      <c r="M308" s="13"/>
    </row>
    <row r="311" spans="1:18" s="5" customFormat="1" x14ac:dyDescent="0.25">
      <c r="L311" s="126"/>
      <c r="M311" s="13"/>
      <c r="N311" s="126"/>
      <c r="O311" s="126"/>
    </row>
  </sheetData>
  <sheetProtection sheet="1" objects="1" scenarios="1"/>
  <mergeCells count="7">
    <mergeCell ref="B4:B5"/>
    <mergeCell ref="A4:A5"/>
    <mergeCell ref="C4:C5"/>
    <mergeCell ref="J4:J5"/>
    <mergeCell ref="H4:H5"/>
    <mergeCell ref="F4:F5"/>
    <mergeCell ref="E4:E5"/>
  </mergeCells>
  <phoneticPr fontId="0" type="noConversion"/>
  <hyperlinks>
    <hyperlink ref="C1" location="Aide!A1" display="← Précédent" xr:uid="{00D85FBE-C9A1-4DAD-8388-6665A16184A7}"/>
    <hyperlink ref="E1" location="'Facture policière'!A1" display="Suivant →" xr:uid="{1A29BF59-48EA-4027-B528-0BD68DA04860}"/>
    <hyperlink ref="D1" location="'Table des matières'!A1" display="Table des             matières" xr:uid="{BAADEC0A-8BF6-4BD9-A62A-9F972EA7EC07}"/>
  </hyperlinks>
  <printOptions horizontalCentered="1"/>
  <pageMargins left="0" right="0" top="0" bottom="0" header="0.51181102362204722" footer="0.51181102362204722"/>
  <pageSetup paperSize="9" scale="63" orientation="landscape" horizontalDpi="4294967292" verticalDpi="4294967292"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theme="7" tint="-0.249977111117893"/>
    <pageSetUpPr fitToPage="1"/>
  </sheetPr>
  <dimension ref="A1:T308"/>
  <sheetViews>
    <sheetView workbookViewId="0">
      <pane ySplit="5" topLeftCell="A6" activePane="bottomLeft" state="frozen"/>
      <selection pane="bottomLeft" activeCell="A6" sqref="A6"/>
    </sheetView>
  </sheetViews>
  <sheetFormatPr baseColWidth="10" defaultColWidth="9.375" defaultRowHeight="15" x14ac:dyDescent="0.25"/>
  <cols>
    <col min="1" max="1" width="8.125" style="98" customWidth="1"/>
    <col min="2" max="2" width="22" style="98" customWidth="1"/>
    <col min="3" max="3" width="11.625" style="98" customWidth="1"/>
    <col min="4" max="4" width="11.375" style="98" customWidth="1"/>
    <col min="5" max="5" width="6.625" style="98" customWidth="1"/>
    <col min="6" max="6" width="12" style="98" bestFit="1" customWidth="1"/>
    <col min="7" max="7" width="19.625" style="98" customWidth="1"/>
    <col min="8" max="8" width="14.25" style="98" customWidth="1"/>
    <col min="9" max="9" width="20" style="98" customWidth="1"/>
    <col min="10" max="10" width="16.625" style="98" customWidth="1"/>
    <col min="11" max="11" width="14.5" style="98" customWidth="1"/>
    <col min="12" max="12" width="13" style="98" customWidth="1"/>
    <col min="13" max="13" width="10.75" style="98" bestFit="1" customWidth="1"/>
    <col min="14" max="14" width="13.125" style="100" customWidth="1"/>
    <col min="15" max="15" width="9.375" style="99"/>
    <col min="16" max="16" width="9.875" style="100" customWidth="1"/>
    <col min="17" max="17" width="11.75" style="100" bestFit="1" customWidth="1"/>
    <col min="18" max="20" width="9.375" style="99"/>
    <col min="21" max="247" width="9.375" style="98"/>
    <col min="248" max="248" width="5" style="98" customWidth="1"/>
    <col min="249" max="249" width="17.875" style="98" bestFit="1" customWidth="1"/>
    <col min="250" max="250" width="9.875" style="98" customWidth="1"/>
    <col min="251" max="251" width="8.875" style="98" customWidth="1"/>
    <col min="252" max="252" width="7.375" style="98" bestFit="1" customWidth="1"/>
    <col min="253" max="253" width="10.125" style="98" bestFit="1" customWidth="1"/>
    <col min="254" max="254" width="9.375" style="98"/>
    <col min="255" max="255" width="10.125" style="98" bestFit="1" customWidth="1"/>
    <col min="256" max="256" width="10.75" style="98" customWidth="1"/>
    <col min="257" max="259" width="9.375" style="98"/>
    <col min="260" max="261" width="10.75" style="98" customWidth="1"/>
    <col min="262" max="266" width="9.375" style="98"/>
    <col min="267" max="267" width="1.625" style="98" bestFit="1" customWidth="1"/>
    <col min="268" max="268" width="9.375" style="98"/>
    <col min="269" max="269" width="8.875" style="98" customWidth="1"/>
    <col min="270" max="270" width="13.125" style="98" customWidth="1"/>
    <col min="271" max="271" width="9.375" style="98"/>
    <col min="272" max="272" width="9.875" style="98" customWidth="1"/>
    <col min="273" max="273" width="11.75" style="98" bestFit="1" customWidth="1"/>
    <col min="274" max="503" width="9.375" style="98"/>
    <col min="504" max="504" width="5" style="98" customWidth="1"/>
    <col min="505" max="505" width="17.875" style="98" bestFit="1" customWidth="1"/>
    <col min="506" max="506" width="9.875" style="98" customWidth="1"/>
    <col min="507" max="507" width="8.875" style="98" customWidth="1"/>
    <col min="508" max="508" width="7.375" style="98" bestFit="1" customWidth="1"/>
    <col min="509" max="509" width="10.125" style="98" bestFit="1" customWidth="1"/>
    <col min="510" max="510" width="9.375" style="98"/>
    <col min="511" max="511" width="10.125" style="98" bestFit="1" customWidth="1"/>
    <col min="512" max="512" width="10.75" style="98" customWidth="1"/>
    <col min="513" max="515" width="9.375" style="98"/>
    <col min="516" max="517" width="10.75" style="98" customWidth="1"/>
    <col min="518" max="522" width="9.375" style="98"/>
    <col min="523" max="523" width="1.625" style="98" bestFit="1" customWidth="1"/>
    <col min="524" max="524" width="9.375" style="98"/>
    <col min="525" max="525" width="8.875" style="98" customWidth="1"/>
    <col min="526" max="526" width="13.125" style="98" customWidth="1"/>
    <col min="527" max="527" width="9.375" style="98"/>
    <col min="528" max="528" width="9.875" style="98" customWidth="1"/>
    <col min="529" max="529" width="11.75" style="98" bestFit="1" customWidth="1"/>
    <col min="530" max="759" width="9.375" style="98"/>
    <col min="760" max="760" width="5" style="98" customWidth="1"/>
    <col min="761" max="761" width="17.875" style="98" bestFit="1" customWidth="1"/>
    <col min="762" max="762" width="9.875" style="98" customWidth="1"/>
    <col min="763" max="763" width="8.875" style="98" customWidth="1"/>
    <col min="764" max="764" width="7.375" style="98" bestFit="1" customWidth="1"/>
    <col min="765" max="765" width="10.125" style="98" bestFit="1" customWidth="1"/>
    <col min="766" max="766" width="9.375" style="98"/>
    <col min="767" max="767" width="10.125" style="98" bestFit="1" customWidth="1"/>
    <col min="768" max="768" width="10.75" style="98" customWidth="1"/>
    <col min="769" max="771" width="9.375" style="98"/>
    <col min="772" max="773" width="10.75" style="98" customWidth="1"/>
    <col min="774" max="778" width="9.375" style="98"/>
    <col min="779" max="779" width="1.625" style="98" bestFit="1" customWidth="1"/>
    <col min="780" max="780" width="9.375" style="98"/>
    <col min="781" max="781" width="8.875" style="98" customWidth="1"/>
    <col min="782" max="782" width="13.125" style="98" customWidth="1"/>
    <col min="783" max="783" width="9.375" style="98"/>
    <col min="784" max="784" width="9.875" style="98" customWidth="1"/>
    <col min="785" max="785" width="11.75" style="98" bestFit="1" customWidth="1"/>
    <col min="786" max="1015" width="9.375" style="98"/>
    <col min="1016" max="1016" width="5" style="98" customWidth="1"/>
    <col min="1017" max="1017" width="17.875" style="98" bestFit="1" customWidth="1"/>
    <col min="1018" max="1018" width="9.875" style="98" customWidth="1"/>
    <col min="1019" max="1019" width="8.875" style="98" customWidth="1"/>
    <col min="1020" max="1020" width="7.375" style="98" bestFit="1" customWidth="1"/>
    <col min="1021" max="1021" width="10.125" style="98" bestFit="1" customWidth="1"/>
    <col min="1022" max="1022" width="9.375" style="98"/>
    <col min="1023" max="1023" width="10.125" style="98" bestFit="1" customWidth="1"/>
    <col min="1024" max="1024" width="10.75" style="98" customWidth="1"/>
    <col min="1025" max="1027" width="9.375" style="98"/>
    <col min="1028" max="1029" width="10.75" style="98" customWidth="1"/>
    <col min="1030" max="1034" width="9.375" style="98"/>
    <col min="1035" max="1035" width="1.625" style="98" bestFit="1" customWidth="1"/>
    <col min="1036" max="1036" width="9.375" style="98"/>
    <col min="1037" max="1037" width="8.875" style="98" customWidth="1"/>
    <col min="1038" max="1038" width="13.125" style="98" customWidth="1"/>
    <col min="1039" max="1039" width="9.375" style="98"/>
    <col min="1040" max="1040" width="9.875" style="98" customWidth="1"/>
    <col min="1041" max="1041" width="11.75" style="98" bestFit="1" customWidth="1"/>
    <col min="1042" max="1271" width="9.375" style="98"/>
    <col min="1272" max="1272" width="5" style="98" customWidth="1"/>
    <col min="1273" max="1273" width="17.875" style="98" bestFit="1" customWidth="1"/>
    <col min="1274" max="1274" width="9.875" style="98" customWidth="1"/>
    <col min="1275" max="1275" width="8.875" style="98" customWidth="1"/>
    <col min="1276" max="1276" width="7.375" style="98" bestFit="1" customWidth="1"/>
    <col min="1277" max="1277" width="10.125" style="98" bestFit="1" customWidth="1"/>
    <col min="1278" max="1278" width="9.375" style="98"/>
    <col min="1279" max="1279" width="10.125" style="98" bestFit="1" customWidth="1"/>
    <col min="1280" max="1280" width="10.75" style="98" customWidth="1"/>
    <col min="1281" max="1283" width="9.375" style="98"/>
    <col min="1284" max="1285" width="10.75" style="98" customWidth="1"/>
    <col min="1286" max="1290" width="9.375" style="98"/>
    <col min="1291" max="1291" width="1.625" style="98" bestFit="1" customWidth="1"/>
    <col min="1292" max="1292" width="9.375" style="98"/>
    <col min="1293" max="1293" width="8.875" style="98" customWidth="1"/>
    <col min="1294" max="1294" width="13.125" style="98" customWidth="1"/>
    <col min="1295" max="1295" width="9.375" style="98"/>
    <col min="1296" max="1296" width="9.875" style="98" customWidth="1"/>
    <col min="1297" max="1297" width="11.75" style="98" bestFit="1" customWidth="1"/>
    <col min="1298" max="1527" width="9.375" style="98"/>
    <col min="1528" max="1528" width="5" style="98" customWidth="1"/>
    <col min="1529" max="1529" width="17.875" style="98" bestFit="1" customWidth="1"/>
    <col min="1530" max="1530" width="9.875" style="98" customWidth="1"/>
    <col min="1531" max="1531" width="8.875" style="98" customWidth="1"/>
    <col min="1532" max="1532" width="7.375" style="98" bestFit="1" customWidth="1"/>
    <col min="1533" max="1533" width="10.125" style="98" bestFit="1" customWidth="1"/>
    <col min="1534" max="1534" width="9.375" style="98"/>
    <col min="1535" max="1535" width="10.125" style="98" bestFit="1" customWidth="1"/>
    <col min="1536" max="1536" width="10.75" style="98" customWidth="1"/>
    <col min="1537" max="1539" width="9.375" style="98"/>
    <col min="1540" max="1541" width="10.75" style="98" customWidth="1"/>
    <col min="1542" max="1546" width="9.375" style="98"/>
    <col min="1547" max="1547" width="1.625" style="98" bestFit="1" customWidth="1"/>
    <col min="1548" max="1548" width="9.375" style="98"/>
    <col min="1549" max="1549" width="8.875" style="98" customWidth="1"/>
    <col min="1550" max="1550" width="13.125" style="98" customWidth="1"/>
    <col min="1551" max="1551" width="9.375" style="98"/>
    <col min="1552" max="1552" width="9.875" style="98" customWidth="1"/>
    <col min="1553" max="1553" width="11.75" style="98" bestFit="1" customWidth="1"/>
    <col min="1554" max="1783" width="9.375" style="98"/>
    <col min="1784" max="1784" width="5" style="98" customWidth="1"/>
    <col min="1785" max="1785" width="17.875" style="98" bestFit="1" customWidth="1"/>
    <col min="1786" max="1786" width="9.875" style="98" customWidth="1"/>
    <col min="1787" max="1787" width="8.875" style="98" customWidth="1"/>
    <col min="1788" max="1788" width="7.375" style="98" bestFit="1" customWidth="1"/>
    <col min="1789" max="1789" width="10.125" style="98" bestFit="1" customWidth="1"/>
    <col min="1790" max="1790" width="9.375" style="98"/>
    <col min="1791" max="1791" width="10.125" style="98" bestFit="1" customWidth="1"/>
    <col min="1792" max="1792" width="10.75" style="98" customWidth="1"/>
    <col min="1793" max="1795" width="9.375" style="98"/>
    <col min="1796" max="1797" width="10.75" style="98" customWidth="1"/>
    <col min="1798" max="1802" width="9.375" style="98"/>
    <col min="1803" max="1803" width="1.625" style="98" bestFit="1" customWidth="1"/>
    <col min="1804" max="1804" width="9.375" style="98"/>
    <col min="1805" max="1805" width="8.875" style="98" customWidth="1"/>
    <col min="1806" max="1806" width="13.125" style="98" customWidth="1"/>
    <col min="1807" max="1807" width="9.375" style="98"/>
    <col min="1808" max="1808" width="9.875" style="98" customWidth="1"/>
    <col min="1809" max="1809" width="11.75" style="98" bestFit="1" customWidth="1"/>
    <col min="1810" max="2039" width="9.375" style="98"/>
    <col min="2040" max="2040" width="5" style="98" customWidth="1"/>
    <col min="2041" max="2041" width="17.875" style="98" bestFit="1" customWidth="1"/>
    <col min="2042" max="2042" width="9.875" style="98" customWidth="1"/>
    <col min="2043" max="2043" width="8.875" style="98" customWidth="1"/>
    <col min="2044" max="2044" width="7.375" style="98" bestFit="1" customWidth="1"/>
    <col min="2045" max="2045" width="10.125" style="98" bestFit="1" customWidth="1"/>
    <col min="2046" max="2046" width="9.375" style="98"/>
    <col min="2047" max="2047" width="10.125" style="98" bestFit="1" customWidth="1"/>
    <col min="2048" max="2048" width="10.75" style="98" customWidth="1"/>
    <col min="2049" max="2051" width="9.375" style="98"/>
    <col min="2052" max="2053" width="10.75" style="98" customWidth="1"/>
    <col min="2054" max="2058" width="9.375" style="98"/>
    <col min="2059" max="2059" width="1.625" style="98" bestFit="1" customWidth="1"/>
    <col min="2060" max="2060" width="9.375" style="98"/>
    <col min="2061" max="2061" width="8.875" style="98" customWidth="1"/>
    <col min="2062" max="2062" width="13.125" style="98" customWidth="1"/>
    <col min="2063" max="2063" width="9.375" style="98"/>
    <col min="2064" max="2064" width="9.875" style="98" customWidth="1"/>
    <col min="2065" max="2065" width="11.75" style="98" bestFit="1" customWidth="1"/>
    <col min="2066" max="2295" width="9.375" style="98"/>
    <col min="2296" max="2296" width="5" style="98" customWidth="1"/>
    <col min="2297" max="2297" width="17.875" style="98" bestFit="1" customWidth="1"/>
    <col min="2298" max="2298" width="9.875" style="98" customWidth="1"/>
    <col min="2299" max="2299" width="8.875" style="98" customWidth="1"/>
    <col min="2300" max="2300" width="7.375" style="98" bestFit="1" customWidth="1"/>
    <col min="2301" max="2301" width="10.125" style="98" bestFit="1" customWidth="1"/>
    <col min="2302" max="2302" width="9.375" style="98"/>
    <col min="2303" max="2303" width="10.125" style="98" bestFit="1" customWidth="1"/>
    <col min="2304" max="2304" width="10.75" style="98" customWidth="1"/>
    <col min="2305" max="2307" width="9.375" style="98"/>
    <col min="2308" max="2309" width="10.75" style="98" customWidth="1"/>
    <col min="2310" max="2314" width="9.375" style="98"/>
    <col min="2315" max="2315" width="1.625" style="98" bestFit="1" customWidth="1"/>
    <col min="2316" max="2316" width="9.375" style="98"/>
    <col min="2317" max="2317" width="8.875" style="98" customWidth="1"/>
    <col min="2318" max="2318" width="13.125" style="98" customWidth="1"/>
    <col min="2319" max="2319" width="9.375" style="98"/>
    <col min="2320" max="2320" width="9.875" style="98" customWidth="1"/>
    <col min="2321" max="2321" width="11.75" style="98" bestFit="1" customWidth="1"/>
    <col min="2322" max="2551" width="9.375" style="98"/>
    <col min="2552" max="2552" width="5" style="98" customWidth="1"/>
    <col min="2553" max="2553" width="17.875" style="98" bestFit="1" customWidth="1"/>
    <col min="2554" max="2554" width="9.875" style="98" customWidth="1"/>
    <col min="2555" max="2555" width="8.875" style="98" customWidth="1"/>
    <col min="2556" max="2556" width="7.375" style="98" bestFit="1" customWidth="1"/>
    <col min="2557" max="2557" width="10.125" style="98" bestFit="1" customWidth="1"/>
    <col min="2558" max="2558" width="9.375" style="98"/>
    <col min="2559" max="2559" width="10.125" style="98" bestFit="1" customWidth="1"/>
    <col min="2560" max="2560" width="10.75" style="98" customWidth="1"/>
    <col min="2561" max="2563" width="9.375" style="98"/>
    <col min="2564" max="2565" width="10.75" style="98" customWidth="1"/>
    <col min="2566" max="2570" width="9.375" style="98"/>
    <col min="2571" max="2571" width="1.625" style="98" bestFit="1" customWidth="1"/>
    <col min="2572" max="2572" width="9.375" style="98"/>
    <col min="2573" max="2573" width="8.875" style="98" customWidth="1"/>
    <col min="2574" max="2574" width="13.125" style="98" customWidth="1"/>
    <col min="2575" max="2575" width="9.375" style="98"/>
    <col min="2576" max="2576" width="9.875" style="98" customWidth="1"/>
    <col min="2577" max="2577" width="11.75" style="98" bestFit="1" customWidth="1"/>
    <col min="2578" max="2807" width="9.375" style="98"/>
    <col min="2808" max="2808" width="5" style="98" customWidth="1"/>
    <col min="2809" max="2809" width="17.875" style="98" bestFit="1" customWidth="1"/>
    <col min="2810" max="2810" width="9.875" style="98" customWidth="1"/>
    <col min="2811" max="2811" width="8.875" style="98" customWidth="1"/>
    <col min="2812" max="2812" width="7.375" style="98" bestFit="1" customWidth="1"/>
    <col min="2813" max="2813" width="10.125" style="98" bestFit="1" customWidth="1"/>
    <col min="2814" max="2814" width="9.375" style="98"/>
    <col min="2815" max="2815" width="10.125" style="98" bestFit="1" customWidth="1"/>
    <col min="2816" max="2816" width="10.75" style="98" customWidth="1"/>
    <col min="2817" max="2819" width="9.375" style="98"/>
    <col min="2820" max="2821" width="10.75" style="98" customWidth="1"/>
    <col min="2822" max="2826" width="9.375" style="98"/>
    <col min="2827" max="2827" width="1.625" style="98" bestFit="1" customWidth="1"/>
    <col min="2828" max="2828" width="9.375" style="98"/>
    <col min="2829" max="2829" width="8.875" style="98" customWidth="1"/>
    <col min="2830" max="2830" width="13.125" style="98" customWidth="1"/>
    <col min="2831" max="2831" width="9.375" style="98"/>
    <col min="2832" max="2832" width="9.875" style="98" customWidth="1"/>
    <col min="2833" max="2833" width="11.75" style="98" bestFit="1" customWidth="1"/>
    <col min="2834" max="3063" width="9.375" style="98"/>
    <col min="3064" max="3064" width="5" style="98" customWidth="1"/>
    <col min="3065" max="3065" width="17.875" style="98" bestFit="1" customWidth="1"/>
    <col min="3066" max="3066" width="9.875" style="98" customWidth="1"/>
    <col min="3067" max="3067" width="8.875" style="98" customWidth="1"/>
    <col min="3068" max="3068" width="7.375" style="98" bestFit="1" customWidth="1"/>
    <col min="3069" max="3069" width="10.125" style="98" bestFit="1" customWidth="1"/>
    <col min="3070" max="3070" width="9.375" style="98"/>
    <col min="3071" max="3071" width="10.125" style="98" bestFit="1" customWidth="1"/>
    <col min="3072" max="3072" width="10.75" style="98" customWidth="1"/>
    <col min="3073" max="3075" width="9.375" style="98"/>
    <col min="3076" max="3077" width="10.75" style="98" customWidth="1"/>
    <col min="3078" max="3082" width="9.375" style="98"/>
    <col min="3083" max="3083" width="1.625" style="98" bestFit="1" customWidth="1"/>
    <col min="3084" max="3084" width="9.375" style="98"/>
    <col min="3085" max="3085" width="8.875" style="98" customWidth="1"/>
    <col min="3086" max="3086" width="13.125" style="98" customWidth="1"/>
    <col min="3087" max="3087" width="9.375" style="98"/>
    <col min="3088" max="3088" width="9.875" style="98" customWidth="1"/>
    <col min="3089" max="3089" width="11.75" style="98" bestFit="1" customWidth="1"/>
    <col min="3090" max="3319" width="9.375" style="98"/>
    <col min="3320" max="3320" width="5" style="98" customWidth="1"/>
    <col min="3321" max="3321" width="17.875" style="98" bestFit="1" customWidth="1"/>
    <col min="3322" max="3322" width="9.875" style="98" customWidth="1"/>
    <col min="3323" max="3323" width="8.875" style="98" customWidth="1"/>
    <col min="3324" max="3324" width="7.375" style="98" bestFit="1" customWidth="1"/>
    <col min="3325" max="3325" width="10.125" style="98" bestFit="1" customWidth="1"/>
    <col min="3326" max="3326" width="9.375" style="98"/>
    <col min="3327" max="3327" width="10.125" style="98" bestFit="1" customWidth="1"/>
    <col min="3328" max="3328" width="10.75" style="98" customWidth="1"/>
    <col min="3329" max="3331" width="9.375" style="98"/>
    <col min="3332" max="3333" width="10.75" style="98" customWidth="1"/>
    <col min="3334" max="3338" width="9.375" style="98"/>
    <col min="3339" max="3339" width="1.625" style="98" bestFit="1" customWidth="1"/>
    <col min="3340" max="3340" width="9.375" style="98"/>
    <col min="3341" max="3341" width="8.875" style="98" customWidth="1"/>
    <col min="3342" max="3342" width="13.125" style="98" customWidth="1"/>
    <col min="3343" max="3343" width="9.375" style="98"/>
    <col min="3344" max="3344" width="9.875" style="98" customWidth="1"/>
    <col min="3345" max="3345" width="11.75" style="98" bestFit="1" customWidth="1"/>
    <col min="3346" max="3575" width="9.375" style="98"/>
    <col min="3576" max="3576" width="5" style="98" customWidth="1"/>
    <col min="3577" max="3577" width="17.875" style="98" bestFit="1" customWidth="1"/>
    <col min="3578" max="3578" width="9.875" style="98" customWidth="1"/>
    <col min="3579" max="3579" width="8.875" style="98" customWidth="1"/>
    <col min="3580" max="3580" width="7.375" style="98" bestFit="1" customWidth="1"/>
    <col min="3581" max="3581" width="10.125" style="98" bestFit="1" customWidth="1"/>
    <col min="3582" max="3582" width="9.375" style="98"/>
    <col min="3583" max="3583" width="10.125" style="98" bestFit="1" customWidth="1"/>
    <col min="3584" max="3584" width="10.75" style="98" customWidth="1"/>
    <col min="3585" max="3587" width="9.375" style="98"/>
    <col min="3588" max="3589" width="10.75" style="98" customWidth="1"/>
    <col min="3590" max="3594" width="9.375" style="98"/>
    <col min="3595" max="3595" width="1.625" style="98" bestFit="1" customWidth="1"/>
    <col min="3596" max="3596" width="9.375" style="98"/>
    <col min="3597" max="3597" width="8.875" style="98" customWidth="1"/>
    <col min="3598" max="3598" width="13.125" style="98" customWidth="1"/>
    <col min="3599" max="3599" width="9.375" style="98"/>
    <col min="3600" max="3600" width="9.875" style="98" customWidth="1"/>
    <col min="3601" max="3601" width="11.75" style="98" bestFit="1" customWidth="1"/>
    <col min="3602" max="3831" width="9.375" style="98"/>
    <col min="3832" max="3832" width="5" style="98" customWidth="1"/>
    <col min="3833" max="3833" width="17.875" style="98" bestFit="1" customWidth="1"/>
    <col min="3834" max="3834" width="9.875" style="98" customWidth="1"/>
    <col min="3835" max="3835" width="8.875" style="98" customWidth="1"/>
    <col min="3836" max="3836" width="7.375" style="98" bestFit="1" customWidth="1"/>
    <col min="3837" max="3837" width="10.125" style="98" bestFit="1" customWidth="1"/>
    <col min="3838" max="3838" width="9.375" style="98"/>
    <col min="3839" max="3839" width="10.125" style="98" bestFit="1" customWidth="1"/>
    <col min="3840" max="3840" width="10.75" style="98" customWidth="1"/>
    <col min="3841" max="3843" width="9.375" style="98"/>
    <col min="3844" max="3845" width="10.75" style="98" customWidth="1"/>
    <col min="3846" max="3850" width="9.375" style="98"/>
    <col min="3851" max="3851" width="1.625" style="98" bestFit="1" customWidth="1"/>
    <col min="3852" max="3852" width="9.375" style="98"/>
    <col min="3853" max="3853" width="8.875" style="98" customWidth="1"/>
    <col min="3854" max="3854" width="13.125" style="98" customWidth="1"/>
    <col min="3855" max="3855" width="9.375" style="98"/>
    <col min="3856" max="3856" width="9.875" style="98" customWidth="1"/>
    <col min="3857" max="3857" width="11.75" style="98" bestFit="1" customWidth="1"/>
    <col min="3858" max="4087" width="9.375" style="98"/>
    <col min="4088" max="4088" width="5" style="98" customWidth="1"/>
    <col min="4089" max="4089" width="17.875" style="98" bestFit="1" customWidth="1"/>
    <col min="4090" max="4090" width="9.875" style="98" customWidth="1"/>
    <col min="4091" max="4091" width="8.875" style="98" customWidth="1"/>
    <col min="4092" max="4092" width="7.375" style="98" bestFit="1" customWidth="1"/>
    <col min="4093" max="4093" width="10.125" style="98" bestFit="1" customWidth="1"/>
    <col min="4094" max="4094" width="9.375" style="98"/>
    <col min="4095" max="4095" width="10.125" style="98" bestFit="1" customWidth="1"/>
    <col min="4096" max="4096" width="10.75" style="98" customWidth="1"/>
    <col min="4097" max="4099" width="9.375" style="98"/>
    <col min="4100" max="4101" width="10.75" style="98" customWidth="1"/>
    <col min="4102" max="4106" width="9.375" style="98"/>
    <col min="4107" max="4107" width="1.625" style="98" bestFit="1" customWidth="1"/>
    <col min="4108" max="4108" width="9.375" style="98"/>
    <col min="4109" max="4109" width="8.875" style="98" customWidth="1"/>
    <col min="4110" max="4110" width="13.125" style="98" customWidth="1"/>
    <col min="4111" max="4111" width="9.375" style="98"/>
    <col min="4112" max="4112" width="9.875" style="98" customWidth="1"/>
    <col min="4113" max="4113" width="11.75" style="98" bestFit="1" customWidth="1"/>
    <col min="4114" max="4343" width="9.375" style="98"/>
    <col min="4344" max="4344" width="5" style="98" customWidth="1"/>
    <col min="4345" max="4345" width="17.875" style="98" bestFit="1" customWidth="1"/>
    <col min="4346" max="4346" width="9.875" style="98" customWidth="1"/>
    <col min="4347" max="4347" width="8.875" style="98" customWidth="1"/>
    <col min="4348" max="4348" width="7.375" style="98" bestFit="1" customWidth="1"/>
    <col min="4349" max="4349" width="10.125" style="98" bestFit="1" customWidth="1"/>
    <col min="4350" max="4350" width="9.375" style="98"/>
    <col min="4351" max="4351" width="10.125" style="98" bestFit="1" customWidth="1"/>
    <col min="4352" max="4352" width="10.75" style="98" customWidth="1"/>
    <col min="4353" max="4355" width="9.375" style="98"/>
    <col min="4356" max="4357" width="10.75" style="98" customWidth="1"/>
    <col min="4358" max="4362" width="9.375" style="98"/>
    <col min="4363" max="4363" width="1.625" style="98" bestFit="1" customWidth="1"/>
    <col min="4364" max="4364" width="9.375" style="98"/>
    <col min="4365" max="4365" width="8.875" style="98" customWidth="1"/>
    <col min="4366" max="4366" width="13.125" style="98" customWidth="1"/>
    <col min="4367" max="4367" width="9.375" style="98"/>
    <col min="4368" max="4368" width="9.875" style="98" customWidth="1"/>
    <col min="4369" max="4369" width="11.75" style="98" bestFit="1" customWidth="1"/>
    <col min="4370" max="4599" width="9.375" style="98"/>
    <col min="4600" max="4600" width="5" style="98" customWidth="1"/>
    <col min="4601" max="4601" width="17.875" style="98" bestFit="1" customWidth="1"/>
    <col min="4602" max="4602" width="9.875" style="98" customWidth="1"/>
    <col min="4603" max="4603" width="8.875" style="98" customWidth="1"/>
    <col min="4604" max="4604" width="7.375" style="98" bestFit="1" customWidth="1"/>
    <col min="4605" max="4605" width="10.125" style="98" bestFit="1" customWidth="1"/>
    <col min="4606" max="4606" width="9.375" style="98"/>
    <col min="4607" max="4607" width="10.125" style="98" bestFit="1" customWidth="1"/>
    <col min="4608" max="4608" width="10.75" style="98" customWidth="1"/>
    <col min="4609" max="4611" width="9.375" style="98"/>
    <col min="4612" max="4613" width="10.75" style="98" customWidth="1"/>
    <col min="4614" max="4618" width="9.375" style="98"/>
    <col min="4619" max="4619" width="1.625" style="98" bestFit="1" customWidth="1"/>
    <col min="4620" max="4620" width="9.375" style="98"/>
    <col min="4621" max="4621" width="8.875" style="98" customWidth="1"/>
    <col min="4622" max="4622" width="13.125" style="98" customWidth="1"/>
    <col min="4623" max="4623" width="9.375" style="98"/>
    <col min="4624" max="4624" width="9.875" style="98" customWidth="1"/>
    <col min="4625" max="4625" width="11.75" style="98" bestFit="1" customWidth="1"/>
    <col min="4626" max="4855" width="9.375" style="98"/>
    <col min="4856" max="4856" width="5" style="98" customWidth="1"/>
    <col min="4857" max="4857" width="17.875" style="98" bestFit="1" customWidth="1"/>
    <col min="4858" max="4858" width="9.875" style="98" customWidth="1"/>
    <col min="4859" max="4859" width="8.875" style="98" customWidth="1"/>
    <col min="4860" max="4860" width="7.375" style="98" bestFit="1" customWidth="1"/>
    <col min="4861" max="4861" width="10.125" style="98" bestFit="1" customWidth="1"/>
    <col min="4862" max="4862" width="9.375" style="98"/>
    <col min="4863" max="4863" width="10.125" style="98" bestFit="1" customWidth="1"/>
    <col min="4864" max="4864" width="10.75" style="98" customWidth="1"/>
    <col min="4865" max="4867" width="9.375" style="98"/>
    <col min="4868" max="4869" width="10.75" style="98" customWidth="1"/>
    <col min="4870" max="4874" width="9.375" style="98"/>
    <col min="4875" max="4875" width="1.625" style="98" bestFit="1" customWidth="1"/>
    <col min="4876" max="4876" width="9.375" style="98"/>
    <col min="4877" max="4877" width="8.875" style="98" customWidth="1"/>
    <col min="4878" max="4878" width="13.125" style="98" customWidth="1"/>
    <col min="4879" max="4879" width="9.375" style="98"/>
    <col min="4880" max="4880" width="9.875" style="98" customWidth="1"/>
    <col min="4881" max="4881" width="11.75" style="98" bestFit="1" customWidth="1"/>
    <col min="4882" max="5111" width="9.375" style="98"/>
    <col min="5112" max="5112" width="5" style="98" customWidth="1"/>
    <col min="5113" max="5113" width="17.875" style="98" bestFit="1" customWidth="1"/>
    <col min="5114" max="5114" width="9.875" style="98" customWidth="1"/>
    <col min="5115" max="5115" width="8.875" style="98" customWidth="1"/>
    <col min="5116" max="5116" width="7.375" style="98" bestFit="1" customWidth="1"/>
    <col min="5117" max="5117" width="10.125" style="98" bestFit="1" customWidth="1"/>
    <col min="5118" max="5118" width="9.375" style="98"/>
    <col min="5119" max="5119" width="10.125" style="98" bestFit="1" customWidth="1"/>
    <col min="5120" max="5120" width="10.75" style="98" customWidth="1"/>
    <col min="5121" max="5123" width="9.375" style="98"/>
    <col min="5124" max="5125" width="10.75" style="98" customWidth="1"/>
    <col min="5126" max="5130" width="9.375" style="98"/>
    <col min="5131" max="5131" width="1.625" style="98" bestFit="1" customWidth="1"/>
    <col min="5132" max="5132" width="9.375" style="98"/>
    <col min="5133" max="5133" width="8.875" style="98" customWidth="1"/>
    <col min="5134" max="5134" width="13.125" style="98" customWidth="1"/>
    <col min="5135" max="5135" width="9.375" style="98"/>
    <col min="5136" max="5136" width="9.875" style="98" customWidth="1"/>
    <col min="5137" max="5137" width="11.75" style="98" bestFit="1" customWidth="1"/>
    <col min="5138" max="5367" width="9.375" style="98"/>
    <col min="5368" max="5368" width="5" style="98" customWidth="1"/>
    <col min="5369" max="5369" width="17.875" style="98" bestFit="1" customWidth="1"/>
    <col min="5370" max="5370" width="9.875" style="98" customWidth="1"/>
    <col min="5371" max="5371" width="8.875" style="98" customWidth="1"/>
    <col min="5372" max="5372" width="7.375" style="98" bestFit="1" customWidth="1"/>
    <col min="5373" max="5373" width="10.125" style="98" bestFit="1" customWidth="1"/>
    <col min="5374" max="5374" width="9.375" style="98"/>
    <col min="5375" max="5375" width="10.125" style="98" bestFit="1" customWidth="1"/>
    <col min="5376" max="5376" width="10.75" style="98" customWidth="1"/>
    <col min="5377" max="5379" width="9.375" style="98"/>
    <col min="5380" max="5381" width="10.75" style="98" customWidth="1"/>
    <col min="5382" max="5386" width="9.375" style="98"/>
    <col min="5387" max="5387" width="1.625" style="98" bestFit="1" customWidth="1"/>
    <col min="5388" max="5388" width="9.375" style="98"/>
    <col min="5389" max="5389" width="8.875" style="98" customWidth="1"/>
    <col min="5390" max="5390" width="13.125" style="98" customWidth="1"/>
    <col min="5391" max="5391" width="9.375" style="98"/>
    <col min="5392" max="5392" width="9.875" style="98" customWidth="1"/>
    <col min="5393" max="5393" width="11.75" style="98" bestFit="1" customWidth="1"/>
    <col min="5394" max="5623" width="9.375" style="98"/>
    <col min="5624" max="5624" width="5" style="98" customWidth="1"/>
    <col min="5625" max="5625" width="17.875" style="98" bestFit="1" customWidth="1"/>
    <col min="5626" max="5626" width="9.875" style="98" customWidth="1"/>
    <col min="5627" max="5627" width="8.875" style="98" customWidth="1"/>
    <col min="5628" max="5628" width="7.375" style="98" bestFit="1" customWidth="1"/>
    <col min="5629" max="5629" width="10.125" style="98" bestFit="1" customWidth="1"/>
    <col min="5630" max="5630" width="9.375" style="98"/>
    <col min="5631" max="5631" width="10.125" style="98" bestFit="1" customWidth="1"/>
    <col min="5632" max="5632" width="10.75" style="98" customWidth="1"/>
    <col min="5633" max="5635" width="9.375" style="98"/>
    <col min="5636" max="5637" width="10.75" style="98" customWidth="1"/>
    <col min="5638" max="5642" width="9.375" style="98"/>
    <col min="5643" max="5643" width="1.625" style="98" bestFit="1" customWidth="1"/>
    <col min="5644" max="5644" width="9.375" style="98"/>
    <col min="5645" max="5645" width="8.875" style="98" customWidth="1"/>
    <col min="5646" max="5646" width="13.125" style="98" customWidth="1"/>
    <col min="5647" max="5647" width="9.375" style="98"/>
    <col min="5648" max="5648" width="9.875" style="98" customWidth="1"/>
    <col min="5649" max="5649" width="11.75" style="98" bestFit="1" customWidth="1"/>
    <col min="5650" max="5879" width="9.375" style="98"/>
    <col min="5880" max="5880" width="5" style="98" customWidth="1"/>
    <col min="5881" max="5881" width="17.875" style="98" bestFit="1" customWidth="1"/>
    <col min="5882" max="5882" width="9.875" style="98" customWidth="1"/>
    <col min="5883" max="5883" width="8.875" style="98" customWidth="1"/>
    <col min="5884" max="5884" width="7.375" style="98" bestFit="1" customWidth="1"/>
    <col min="5885" max="5885" width="10.125" style="98" bestFit="1" customWidth="1"/>
    <col min="5886" max="5886" width="9.375" style="98"/>
    <col min="5887" max="5887" width="10.125" style="98" bestFit="1" customWidth="1"/>
    <col min="5888" max="5888" width="10.75" style="98" customWidth="1"/>
    <col min="5889" max="5891" width="9.375" style="98"/>
    <col min="5892" max="5893" width="10.75" style="98" customWidth="1"/>
    <col min="5894" max="5898" width="9.375" style="98"/>
    <col min="5899" max="5899" width="1.625" style="98" bestFit="1" customWidth="1"/>
    <col min="5900" max="5900" width="9.375" style="98"/>
    <col min="5901" max="5901" width="8.875" style="98" customWidth="1"/>
    <col min="5902" max="5902" width="13.125" style="98" customWidth="1"/>
    <col min="5903" max="5903" width="9.375" style="98"/>
    <col min="5904" max="5904" width="9.875" style="98" customWidth="1"/>
    <col min="5905" max="5905" width="11.75" style="98" bestFit="1" customWidth="1"/>
    <col min="5906" max="6135" width="9.375" style="98"/>
    <col min="6136" max="6136" width="5" style="98" customWidth="1"/>
    <col min="6137" max="6137" width="17.875" style="98" bestFit="1" customWidth="1"/>
    <col min="6138" max="6138" width="9.875" style="98" customWidth="1"/>
    <col min="6139" max="6139" width="8.875" style="98" customWidth="1"/>
    <col min="6140" max="6140" width="7.375" style="98" bestFit="1" customWidth="1"/>
    <col min="6141" max="6141" width="10.125" style="98" bestFit="1" customWidth="1"/>
    <col min="6142" max="6142" width="9.375" style="98"/>
    <col min="6143" max="6143" width="10.125" style="98" bestFit="1" customWidth="1"/>
    <col min="6144" max="6144" width="10.75" style="98" customWidth="1"/>
    <col min="6145" max="6147" width="9.375" style="98"/>
    <col min="6148" max="6149" width="10.75" style="98" customWidth="1"/>
    <col min="6150" max="6154" width="9.375" style="98"/>
    <col min="6155" max="6155" width="1.625" style="98" bestFit="1" customWidth="1"/>
    <col min="6156" max="6156" width="9.375" style="98"/>
    <col min="6157" max="6157" width="8.875" style="98" customWidth="1"/>
    <col min="6158" max="6158" width="13.125" style="98" customWidth="1"/>
    <col min="6159" max="6159" width="9.375" style="98"/>
    <col min="6160" max="6160" width="9.875" style="98" customWidth="1"/>
    <col min="6161" max="6161" width="11.75" style="98" bestFit="1" customWidth="1"/>
    <col min="6162" max="6391" width="9.375" style="98"/>
    <col min="6392" max="6392" width="5" style="98" customWidth="1"/>
    <col min="6393" max="6393" width="17.875" style="98" bestFit="1" customWidth="1"/>
    <col min="6394" max="6394" width="9.875" style="98" customWidth="1"/>
    <col min="6395" max="6395" width="8.875" style="98" customWidth="1"/>
    <col min="6396" max="6396" width="7.375" style="98" bestFit="1" customWidth="1"/>
    <col min="6397" max="6397" width="10.125" style="98" bestFit="1" customWidth="1"/>
    <col min="6398" max="6398" width="9.375" style="98"/>
    <col min="6399" max="6399" width="10.125" style="98" bestFit="1" customWidth="1"/>
    <col min="6400" max="6400" width="10.75" style="98" customWidth="1"/>
    <col min="6401" max="6403" width="9.375" style="98"/>
    <col min="6404" max="6405" width="10.75" style="98" customWidth="1"/>
    <col min="6406" max="6410" width="9.375" style="98"/>
    <col min="6411" max="6411" width="1.625" style="98" bestFit="1" customWidth="1"/>
    <col min="6412" max="6412" width="9.375" style="98"/>
    <col min="6413" max="6413" width="8.875" style="98" customWidth="1"/>
    <col min="6414" max="6414" width="13.125" style="98" customWidth="1"/>
    <col min="6415" max="6415" width="9.375" style="98"/>
    <col min="6416" max="6416" width="9.875" style="98" customWidth="1"/>
    <col min="6417" max="6417" width="11.75" style="98" bestFit="1" customWidth="1"/>
    <col min="6418" max="6647" width="9.375" style="98"/>
    <col min="6648" max="6648" width="5" style="98" customWidth="1"/>
    <col min="6649" max="6649" width="17.875" style="98" bestFit="1" customWidth="1"/>
    <col min="6650" max="6650" width="9.875" style="98" customWidth="1"/>
    <col min="6651" max="6651" width="8.875" style="98" customWidth="1"/>
    <col min="6652" max="6652" width="7.375" style="98" bestFit="1" customWidth="1"/>
    <col min="6653" max="6653" width="10.125" style="98" bestFit="1" customWidth="1"/>
    <col min="6654" max="6654" width="9.375" style="98"/>
    <col min="6655" max="6655" width="10.125" style="98" bestFit="1" customWidth="1"/>
    <col min="6656" max="6656" width="10.75" style="98" customWidth="1"/>
    <col min="6657" max="6659" width="9.375" style="98"/>
    <col min="6660" max="6661" width="10.75" style="98" customWidth="1"/>
    <col min="6662" max="6666" width="9.375" style="98"/>
    <col min="6667" max="6667" width="1.625" style="98" bestFit="1" customWidth="1"/>
    <col min="6668" max="6668" width="9.375" style="98"/>
    <col min="6669" max="6669" width="8.875" style="98" customWidth="1"/>
    <col min="6670" max="6670" width="13.125" style="98" customWidth="1"/>
    <col min="6671" max="6671" width="9.375" style="98"/>
    <col min="6672" max="6672" width="9.875" style="98" customWidth="1"/>
    <col min="6673" max="6673" width="11.75" style="98" bestFit="1" customWidth="1"/>
    <col min="6674" max="6903" width="9.375" style="98"/>
    <col min="6904" max="6904" width="5" style="98" customWidth="1"/>
    <col min="6905" max="6905" width="17.875" style="98" bestFit="1" customWidth="1"/>
    <col min="6906" max="6906" width="9.875" style="98" customWidth="1"/>
    <col min="6907" max="6907" width="8.875" style="98" customWidth="1"/>
    <col min="6908" max="6908" width="7.375" style="98" bestFit="1" customWidth="1"/>
    <col min="6909" max="6909" width="10.125" style="98" bestFit="1" customWidth="1"/>
    <col min="6910" max="6910" width="9.375" style="98"/>
    <col min="6911" max="6911" width="10.125" style="98" bestFit="1" customWidth="1"/>
    <col min="6912" max="6912" width="10.75" style="98" customWidth="1"/>
    <col min="6913" max="6915" width="9.375" style="98"/>
    <col min="6916" max="6917" width="10.75" style="98" customWidth="1"/>
    <col min="6918" max="6922" width="9.375" style="98"/>
    <col min="6923" max="6923" width="1.625" style="98" bestFit="1" customWidth="1"/>
    <col min="6924" max="6924" width="9.375" style="98"/>
    <col min="6925" max="6925" width="8.875" style="98" customWidth="1"/>
    <col min="6926" max="6926" width="13.125" style="98" customWidth="1"/>
    <col min="6927" max="6927" width="9.375" style="98"/>
    <col min="6928" max="6928" width="9.875" style="98" customWidth="1"/>
    <col min="6929" max="6929" width="11.75" style="98" bestFit="1" customWidth="1"/>
    <col min="6930" max="7159" width="9.375" style="98"/>
    <col min="7160" max="7160" width="5" style="98" customWidth="1"/>
    <col min="7161" max="7161" width="17.875" style="98" bestFit="1" customWidth="1"/>
    <col min="7162" max="7162" width="9.875" style="98" customWidth="1"/>
    <col min="7163" max="7163" width="8.875" style="98" customWidth="1"/>
    <col min="7164" max="7164" width="7.375" style="98" bestFit="1" customWidth="1"/>
    <col min="7165" max="7165" width="10.125" style="98" bestFit="1" customWidth="1"/>
    <col min="7166" max="7166" width="9.375" style="98"/>
    <col min="7167" max="7167" width="10.125" style="98" bestFit="1" customWidth="1"/>
    <col min="7168" max="7168" width="10.75" style="98" customWidth="1"/>
    <col min="7169" max="7171" width="9.375" style="98"/>
    <col min="7172" max="7173" width="10.75" style="98" customWidth="1"/>
    <col min="7174" max="7178" width="9.375" style="98"/>
    <col min="7179" max="7179" width="1.625" style="98" bestFit="1" customWidth="1"/>
    <col min="7180" max="7180" width="9.375" style="98"/>
    <col min="7181" max="7181" width="8.875" style="98" customWidth="1"/>
    <col min="7182" max="7182" width="13.125" style="98" customWidth="1"/>
    <col min="7183" max="7183" width="9.375" style="98"/>
    <col min="7184" max="7184" width="9.875" style="98" customWidth="1"/>
    <col min="7185" max="7185" width="11.75" style="98" bestFit="1" customWidth="1"/>
    <col min="7186" max="7415" width="9.375" style="98"/>
    <col min="7416" max="7416" width="5" style="98" customWidth="1"/>
    <col min="7417" max="7417" width="17.875" style="98" bestFit="1" customWidth="1"/>
    <col min="7418" max="7418" width="9.875" style="98" customWidth="1"/>
    <col min="7419" max="7419" width="8.875" style="98" customWidth="1"/>
    <col min="7420" max="7420" width="7.375" style="98" bestFit="1" customWidth="1"/>
    <col min="7421" max="7421" width="10.125" style="98" bestFit="1" customWidth="1"/>
    <col min="7422" max="7422" width="9.375" style="98"/>
    <col min="7423" max="7423" width="10.125" style="98" bestFit="1" customWidth="1"/>
    <col min="7424" max="7424" width="10.75" style="98" customWidth="1"/>
    <col min="7425" max="7427" width="9.375" style="98"/>
    <col min="7428" max="7429" width="10.75" style="98" customWidth="1"/>
    <col min="7430" max="7434" width="9.375" style="98"/>
    <col min="7435" max="7435" width="1.625" style="98" bestFit="1" customWidth="1"/>
    <col min="7436" max="7436" width="9.375" style="98"/>
    <col min="7437" max="7437" width="8.875" style="98" customWidth="1"/>
    <col min="7438" max="7438" width="13.125" style="98" customWidth="1"/>
    <col min="7439" max="7439" width="9.375" style="98"/>
    <col min="7440" max="7440" width="9.875" style="98" customWidth="1"/>
    <col min="7441" max="7441" width="11.75" style="98" bestFit="1" customWidth="1"/>
    <col min="7442" max="7671" width="9.375" style="98"/>
    <col min="7672" max="7672" width="5" style="98" customWidth="1"/>
    <col min="7673" max="7673" width="17.875" style="98" bestFit="1" customWidth="1"/>
    <col min="7674" max="7674" width="9.875" style="98" customWidth="1"/>
    <col min="7675" max="7675" width="8.875" style="98" customWidth="1"/>
    <col min="7676" max="7676" width="7.375" style="98" bestFit="1" customWidth="1"/>
    <col min="7677" max="7677" width="10.125" style="98" bestFit="1" customWidth="1"/>
    <col min="7678" max="7678" width="9.375" style="98"/>
    <col min="7679" max="7679" width="10.125" style="98" bestFit="1" customWidth="1"/>
    <col min="7680" max="7680" width="10.75" style="98" customWidth="1"/>
    <col min="7681" max="7683" width="9.375" style="98"/>
    <col min="7684" max="7685" width="10.75" style="98" customWidth="1"/>
    <col min="7686" max="7690" width="9.375" style="98"/>
    <col min="7691" max="7691" width="1.625" style="98" bestFit="1" customWidth="1"/>
    <col min="7692" max="7692" width="9.375" style="98"/>
    <col min="7693" max="7693" width="8.875" style="98" customWidth="1"/>
    <col min="7694" max="7694" width="13.125" style="98" customWidth="1"/>
    <col min="7695" max="7695" width="9.375" style="98"/>
    <col min="7696" max="7696" width="9.875" style="98" customWidth="1"/>
    <col min="7697" max="7697" width="11.75" style="98" bestFit="1" customWidth="1"/>
    <col min="7698" max="7927" width="9.375" style="98"/>
    <col min="7928" max="7928" width="5" style="98" customWidth="1"/>
    <col min="7929" max="7929" width="17.875" style="98" bestFit="1" customWidth="1"/>
    <col min="7930" max="7930" width="9.875" style="98" customWidth="1"/>
    <col min="7931" max="7931" width="8.875" style="98" customWidth="1"/>
    <col min="7932" max="7932" width="7.375" style="98" bestFit="1" customWidth="1"/>
    <col min="7933" max="7933" width="10.125" style="98" bestFit="1" customWidth="1"/>
    <col min="7934" max="7934" width="9.375" style="98"/>
    <col min="7935" max="7935" width="10.125" style="98" bestFit="1" customWidth="1"/>
    <col min="7936" max="7936" width="10.75" style="98" customWidth="1"/>
    <col min="7937" max="7939" width="9.375" style="98"/>
    <col min="7940" max="7941" width="10.75" style="98" customWidth="1"/>
    <col min="7942" max="7946" width="9.375" style="98"/>
    <col min="7947" max="7947" width="1.625" style="98" bestFit="1" customWidth="1"/>
    <col min="7948" max="7948" width="9.375" style="98"/>
    <col min="7949" max="7949" width="8.875" style="98" customWidth="1"/>
    <col min="7950" max="7950" width="13.125" style="98" customWidth="1"/>
    <col min="7951" max="7951" width="9.375" style="98"/>
    <col min="7952" max="7952" width="9.875" style="98" customWidth="1"/>
    <col min="7953" max="7953" width="11.75" style="98" bestFit="1" customWidth="1"/>
    <col min="7954" max="8183" width="9.375" style="98"/>
    <col min="8184" max="8184" width="5" style="98" customWidth="1"/>
    <col min="8185" max="8185" width="17.875" style="98" bestFit="1" customWidth="1"/>
    <col min="8186" max="8186" width="9.875" style="98" customWidth="1"/>
    <col min="8187" max="8187" width="8.875" style="98" customWidth="1"/>
    <col min="8188" max="8188" width="7.375" style="98" bestFit="1" customWidth="1"/>
    <col min="8189" max="8189" width="10.125" style="98" bestFit="1" customWidth="1"/>
    <col min="8190" max="8190" width="9.375" style="98"/>
    <col min="8191" max="8191" width="10.125" style="98" bestFit="1" customWidth="1"/>
    <col min="8192" max="8192" width="10.75" style="98" customWidth="1"/>
    <col min="8193" max="8195" width="9.375" style="98"/>
    <col min="8196" max="8197" width="10.75" style="98" customWidth="1"/>
    <col min="8198" max="8202" width="9.375" style="98"/>
    <col min="8203" max="8203" width="1.625" style="98" bestFit="1" customWidth="1"/>
    <col min="8204" max="8204" width="9.375" style="98"/>
    <col min="8205" max="8205" width="8.875" style="98" customWidth="1"/>
    <col min="8206" max="8206" width="13.125" style="98" customWidth="1"/>
    <col min="8207" max="8207" width="9.375" style="98"/>
    <col min="8208" max="8208" width="9.875" style="98" customWidth="1"/>
    <col min="8209" max="8209" width="11.75" style="98" bestFit="1" customWidth="1"/>
    <col min="8210" max="8439" width="9.375" style="98"/>
    <col min="8440" max="8440" width="5" style="98" customWidth="1"/>
    <col min="8441" max="8441" width="17.875" style="98" bestFit="1" customWidth="1"/>
    <col min="8442" max="8442" width="9.875" style="98" customWidth="1"/>
    <col min="8443" max="8443" width="8.875" style="98" customWidth="1"/>
    <col min="8444" max="8444" width="7.375" style="98" bestFit="1" customWidth="1"/>
    <col min="8445" max="8445" width="10.125" style="98" bestFit="1" customWidth="1"/>
    <col min="8446" max="8446" width="9.375" style="98"/>
    <col min="8447" max="8447" width="10.125" style="98" bestFit="1" customWidth="1"/>
    <col min="8448" max="8448" width="10.75" style="98" customWidth="1"/>
    <col min="8449" max="8451" width="9.375" style="98"/>
    <col min="8452" max="8453" width="10.75" style="98" customWidth="1"/>
    <col min="8454" max="8458" width="9.375" style="98"/>
    <col min="8459" max="8459" width="1.625" style="98" bestFit="1" customWidth="1"/>
    <col min="8460" max="8460" width="9.375" style="98"/>
    <col min="8461" max="8461" width="8.875" style="98" customWidth="1"/>
    <col min="8462" max="8462" width="13.125" style="98" customWidth="1"/>
    <col min="8463" max="8463" width="9.375" style="98"/>
    <col min="8464" max="8464" width="9.875" style="98" customWidth="1"/>
    <col min="8465" max="8465" width="11.75" style="98" bestFit="1" customWidth="1"/>
    <col min="8466" max="8695" width="9.375" style="98"/>
    <col min="8696" max="8696" width="5" style="98" customWidth="1"/>
    <col min="8697" max="8697" width="17.875" style="98" bestFit="1" customWidth="1"/>
    <col min="8698" max="8698" width="9.875" style="98" customWidth="1"/>
    <col min="8699" max="8699" width="8.875" style="98" customWidth="1"/>
    <col min="8700" max="8700" width="7.375" style="98" bestFit="1" customWidth="1"/>
    <col min="8701" max="8701" width="10.125" style="98" bestFit="1" customWidth="1"/>
    <col min="8702" max="8702" width="9.375" style="98"/>
    <col min="8703" max="8703" width="10.125" style="98" bestFit="1" customWidth="1"/>
    <col min="8704" max="8704" width="10.75" style="98" customWidth="1"/>
    <col min="8705" max="8707" width="9.375" style="98"/>
    <col min="8708" max="8709" width="10.75" style="98" customWidth="1"/>
    <col min="8710" max="8714" width="9.375" style="98"/>
    <col min="8715" max="8715" width="1.625" style="98" bestFit="1" customWidth="1"/>
    <col min="8716" max="8716" width="9.375" style="98"/>
    <col min="8717" max="8717" width="8.875" style="98" customWidth="1"/>
    <col min="8718" max="8718" width="13.125" style="98" customWidth="1"/>
    <col min="8719" max="8719" width="9.375" style="98"/>
    <col min="8720" max="8720" width="9.875" style="98" customWidth="1"/>
    <col min="8721" max="8721" width="11.75" style="98" bestFit="1" customWidth="1"/>
    <col min="8722" max="8951" width="9.375" style="98"/>
    <col min="8952" max="8952" width="5" style="98" customWidth="1"/>
    <col min="8953" max="8953" width="17.875" style="98" bestFit="1" customWidth="1"/>
    <col min="8954" max="8954" width="9.875" style="98" customWidth="1"/>
    <col min="8955" max="8955" width="8.875" style="98" customWidth="1"/>
    <col min="8956" max="8956" width="7.375" style="98" bestFit="1" customWidth="1"/>
    <col min="8957" max="8957" width="10.125" style="98" bestFit="1" customWidth="1"/>
    <col min="8958" max="8958" width="9.375" style="98"/>
    <col min="8959" max="8959" width="10.125" style="98" bestFit="1" customWidth="1"/>
    <col min="8960" max="8960" width="10.75" style="98" customWidth="1"/>
    <col min="8961" max="8963" width="9.375" style="98"/>
    <col min="8964" max="8965" width="10.75" style="98" customWidth="1"/>
    <col min="8966" max="8970" width="9.375" style="98"/>
    <col min="8971" max="8971" width="1.625" style="98" bestFit="1" customWidth="1"/>
    <col min="8972" max="8972" width="9.375" style="98"/>
    <col min="8973" max="8973" width="8.875" style="98" customWidth="1"/>
    <col min="8974" max="8974" width="13.125" style="98" customWidth="1"/>
    <col min="8975" max="8975" width="9.375" style="98"/>
    <col min="8976" max="8976" width="9.875" style="98" customWidth="1"/>
    <col min="8977" max="8977" width="11.75" style="98" bestFit="1" customWidth="1"/>
    <col min="8978" max="9207" width="9.375" style="98"/>
    <col min="9208" max="9208" width="5" style="98" customWidth="1"/>
    <col min="9209" max="9209" width="17.875" style="98" bestFit="1" customWidth="1"/>
    <col min="9210" max="9210" width="9.875" style="98" customWidth="1"/>
    <col min="9211" max="9211" width="8.875" style="98" customWidth="1"/>
    <col min="9212" max="9212" width="7.375" style="98" bestFit="1" customWidth="1"/>
    <col min="9213" max="9213" width="10.125" style="98" bestFit="1" customWidth="1"/>
    <col min="9214" max="9214" width="9.375" style="98"/>
    <col min="9215" max="9215" width="10.125" style="98" bestFit="1" customWidth="1"/>
    <col min="9216" max="9216" width="10.75" style="98" customWidth="1"/>
    <col min="9217" max="9219" width="9.375" style="98"/>
    <col min="9220" max="9221" width="10.75" style="98" customWidth="1"/>
    <col min="9222" max="9226" width="9.375" style="98"/>
    <col min="9227" max="9227" width="1.625" style="98" bestFit="1" customWidth="1"/>
    <col min="9228" max="9228" width="9.375" style="98"/>
    <col min="9229" max="9229" width="8.875" style="98" customWidth="1"/>
    <col min="9230" max="9230" width="13.125" style="98" customWidth="1"/>
    <col min="9231" max="9231" width="9.375" style="98"/>
    <col min="9232" max="9232" width="9.875" style="98" customWidth="1"/>
    <col min="9233" max="9233" width="11.75" style="98" bestFit="1" customWidth="1"/>
    <col min="9234" max="9463" width="9.375" style="98"/>
    <col min="9464" max="9464" width="5" style="98" customWidth="1"/>
    <col min="9465" max="9465" width="17.875" style="98" bestFit="1" customWidth="1"/>
    <col min="9466" max="9466" width="9.875" style="98" customWidth="1"/>
    <col min="9467" max="9467" width="8.875" style="98" customWidth="1"/>
    <col min="9468" max="9468" width="7.375" style="98" bestFit="1" customWidth="1"/>
    <col min="9469" max="9469" width="10.125" style="98" bestFit="1" customWidth="1"/>
    <col min="9470" max="9470" width="9.375" style="98"/>
    <col min="9471" max="9471" width="10.125" style="98" bestFit="1" customWidth="1"/>
    <col min="9472" max="9472" width="10.75" style="98" customWidth="1"/>
    <col min="9473" max="9475" width="9.375" style="98"/>
    <col min="9476" max="9477" width="10.75" style="98" customWidth="1"/>
    <col min="9478" max="9482" width="9.375" style="98"/>
    <col min="9483" max="9483" width="1.625" style="98" bestFit="1" customWidth="1"/>
    <col min="9484" max="9484" width="9.375" style="98"/>
    <col min="9485" max="9485" width="8.875" style="98" customWidth="1"/>
    <col min="9486" max="9486" width="13.125" style="98" customWidth="1"/>
    <col min="9487" max="9487" width="9.375" style="98"/>
    <col min="9488" max="9488" width="9.875" style="98" customWidth="1"/>
    <col min="9489" max="9489" width="11.75" style="98" bestFit="1" customWidth="1"/>
    <col min="9490" max="9719" width="9.375" style="98"/>
    <col min="9720" max="9720" width="5" style="98" customWidth="1"/>
    <col min="9721" max="9721" width="17.875" style="98" bestFit="1" customWidth="1"/>
    <col min="9722" max="9722" width="9.875" style="98" customWidth="1"/>
    <col min="9723" max="9723" width="8.875" style="98" customWidth="1"/>
    <col min="9724" max="9724" width="7.375" style="98" bestFit="1" customWidth="1"/>
    <col min="9725" max="9725" width="10.125" style="98" bestFit="1" customWidth="1"/>
    <col min="9726" max="9726" width="9.375" style="98"/>
    <col min="9727" max="9727" width="10.125" style="98" bestFit="1" customWidth="1"/>
    <col min="9728" max="9728" width="10.75" style="98" customWidth="1"/>
    <col min="9729" max="9731" width="9.375" style="98"/>
    <col min="9732" max="9733" width="10.75" style="98" customWidth="1"/>
    <col min="9734" max="9738" width="9.375" style="98"/>
    <col min="9739" max="9739" width="1.625" style="98" bestFit="1" customWidth="1"/>
    <col min="9740" max="9740" width="9.375" style="98"/>
    <col min="9741" max="9741" width="8.875" style="98" customWidth="1"/>
    <col min="9742" max="9742" width="13.125" style="98" customWidth="1"/>
    <col min="9743" max="9743" width="9.375" style="98"/>
    <col min="9744" max="9744" width="9.875" style="98" customWidth="1"/>
    <col min="9745" max="9745" width="11.75" style="98" bestFit="1" customWidth="1"/>
    <col min="9746" max="9975" width="9.375" style="98"/>
    <col min="9976" max="9976" width="5" style="98" customWidth="1"/>
    <col min="9977" max="9977" width="17.875" style="98" bestFit="1" customWidth="1"/>
    <col min="9978" max="9978" width="9.875" style="98" customWidth="1"/>
    <col min="9979" max="9979" width="8.875" style="98" customWidth="1"/>
    <col min="9980" max="9980" width="7.375" style="98" bestFit="1" customWidth="1"/>
    <col min="9981" max="9981" width="10.125" style="98" bestFit="1" customWidth="1"/>
    <col min="9982" max="9982" width="9.375" style="98"/>
    <col min="9983" max="9983" width="10.125" style="98" bestFit="1" customWidth="1"/>
    <col min="9984" max="9984" width="10.75" style="98" customWidth="1"/>
    <col min="9985" max="9987" width="9.375" style="98"/>
    <col min="9988" max="9989" width="10.75" style="98" customWidth="1"/>
    <col min="9990" max="9994" width="9.375" style="98"/>
    <col min="9995" max="9995" width="1.625" style="98" bestFit="1" customWidth="1"/>
    <col min="9996" max="9996" width="9.375" style="98"/>
    <col min="9997" max="9997" width="8.875" style="98" customWidth="1"/>
    <col min="9998" max="9998" width="13.125" style="98" customWidth="1"/>
    <col min="9999" max="9999" width="9.375" style="98"/>
    <col min="10000" max="10000" width="9.875" style="98" customWidth="1"/>
    <col min="10001" max="10001" width="11.75" style="98" bestFit="1" customWidth="1"/>
    <col min="10002" max="10231" width="9.375" style="98"/>
    <col min="10232" max="10232" width="5" style="98" customWidth="1"/>
    <col min="10233" max="10233" width="17.875" style="98" bestFit="1" customWidth="1"/>
    <col min="10234" max="10234" width="9.875" style="98" customWidth="1"/>
    <col min="10235" max="10235" width="8.875" style="98" customWidth="1"/>
    <col min="10236" max="10236" width="7.375" style="98" bestFit="1" customWidth="1"/>
    <col min="10237" max="10237" width="10.125" style="98" bestFit="1" customWidth="1"/>
    <col min="10238" max="10238" width="9.375" style="98"/>
    <col min="10239" max="10239" width="10.125" style="98" bestFit="1" customWidth="1"/>
    <col min="10240" max="10240" width="10.75" style="98" customWidth="1"/>
    <col min="10241" max="10243" width="9.375" style="98"/>
    <col min="10244" max="10245" width="10.75" style="98" customWidth="1"/>
    <col min="10246" max="10250" width="9.375" style="98"/>
    <col min="10251" max="10251" width="1.625" style="98" bestFit="1" customWidth="1"/>
    <col min="10252" max="10252" width="9.375" style="98"/>
    <col min="10253" max="10253" width="8.875" style="98" customWidth="1"/>
    <col min="10254" max="10254" width="13.125" style="98" customWidth="1"/>
    <col min="10255" max="10255" width="9.375" style="98"/>
    <col min="10256" max="10256" width="9.875" style="98" customWidth="1"/>
    <col min="10257" max="10257" width="11.75" style="98" bestFit="1" customWidth="1"/>
    <col min="10258" max="10487" width="9.375" style="98"/>
    <col min="10488" max="10488" width="5" style="98" customWidth="1"/>
    <col min="10489" max="10489" width="17.875" style="98" bestFit="1" customWidth="1"/>
    <col min="10490" max="10490" width="9.875" style="98" customWidth="1"/>
    <col min="10491" max="10491" width="8.875" style="98" customWidth="1"/>
    <col min="10492" max="10492" width="7.375" style="98" bestFit="1" customWidth="1"/>
    <col min="10493" max="10493" width="10.125" style="98" bestFit="1" customWidth="1"/>
    <col min="10494" max="10494" width="9.375" style="98"/>
    <col min="10495" max="10495" width="10.125" style="98" bestFit="1" customWidth="1"/>
    <col min="10496" max="10496" width="10.75" style="98" customWidth="1"/>
    <col min="10497" max="10499" width="9.375" style="98"/>
    <col min="10500" max="10501" width="10.75" style="98" customWidth="1"/>
    <col min="10502" max="10506" width="9.375" style="98"/>
    <col min="10507" max="10507" width="1.625" style="98" bestFit="1" customWidth="1"/>
    <col min="10508" max="10508" width="9.375" style="98"/>
    <col min="10509" max="10509" width="8.875" style="98" customWidth="1"/>
    <col min="10510" max="10510" width="13.125" style="98" customWidth="1"/>
    <col min="10511" max="10511" width="9.375" style="98"/>
    <col min="10512" max="10512" width="9.875" style="98" customWidth="1"/>
    <col min="10513" max="10513" width="11.75" style="98" bestFit="1" customWidth="1"/>
    <col min="10514" max="10743" width="9.375" style="98"/>
    <col min="10744" max="10744" width="5" style="98" customWidth="1"/>
    <col min="10745" max="10745" width="17.875" style="98" bestFit="1" customWidth="1"/>
    <col min="10746" max="10746" width="9.875" style="98" customWidth="1"/>
    <col min="10747" max="10747" width="8.875" style="98" customWidth="1"/>
    <col min="10748" max="10748" width="7.375" style="98" bestFit="1" customWidth="1"/>
    <col min="10749" max="10749" width="10.125" style="98" bestFit="1" customWidth="1"/>
    <col min="10750" max="10750" width="9.375" style="98"/>
    <col min="10751" max="10751" width="10.125" style="98" bestFit="1" customWidth="1"/>
    <col min="10752" max="10752" width="10.75" style="98" customWidth="1"/>
    <col min="10753" max="10755" width="9.375" style="98"/>
    <col min="10756" max="10757" width="10.75" style="98" customWidth="1"/>
    <col min="10758" max="10762" width="9.375" style="98"/>
    <col min="10763" max="10763" width="1.625" style="98" bestFit="1" customWidth="1"/>
    <col min="10764" max="10764" width="9.375" style="98"/>
    <col min="10765" max="10765" width="8.875" style="98" customWidth="1"/>
    <col min="10766" max="10766" width="13.125" style="98" customWidth="1"/>
    <col min="10767" max="10767" width="9.375" style="98"/>
    <col min="10768" max="10768" width="9.875" style="98" customWidth="1"/>
    <col min="10769" max="10769" width="11.75" style="98" bestFit="1" customWidth="1"/>
    <col min="10770" max="10999" width="9.375" style="98"/>
    <col min="11000" max="11000" width="5" style="98" customWidth="1"/>
    <col min="11001" max="11001" width="17.875" style="98" bestFit="1" customWidth="1"/>
    <col min="11002" max="11002" width="9.875" style="98" customWidth="1"/>
    <col min="11003" max="11003" width="8.875" style="98" customWidth="1"/>
    <col min="11004" max="11004" width="7.375" style="98" bestFit="1" customWidth="1"/>
    <col min="11005" max="11005" width="10.125" style="98" bestFit="1" customWidth="1"/>
    <col min="11006" max="11006" width="9.375" style="98"/>
    <col min="11007" max="11007" width="10.125" style="98" bestFit="1" customWidth="1"/>
    <col min="11008" max="11008" width="10.75" style="98" customWidth="1"/>
    <col min="11009" max="11011" width="9.375" style="98"/>
    <col min="11012" max="11013" width="10.75" style="98" customWidth="1"/>
    <col min="11014" max="11018" width="9.375" style="98"/>
    <col min="11019" max="11019" width="1.625" style="98" bestFit="1" customWidth="1"/>
    <col min="11020" max="11020" width="9.375" style="98"/>
    <col min="11021" max="11021" width="8.875" style="98" customWidth="1"/>
    <col min="11022" max="11022" width="13.125" style="98" customWidth="1"/>
    <col min="11023" max="11023" width="9.375" style="98"/>
    <col min="11024" max="11024" width="9.875" style="98" customWidth="1"/>
    <col min="11025" max="11025" width="11.75" style="98" bestFit="1" customWidth="1"/>
    <col min="11026" max="11255" width="9.375" style="98"/>
    <col min="11256" max="11256" width="5" style="98" customWidth="1"/>
    <col min="11257" max="11257" width="17.875" style="98" bestFit="1" customWidth="1"/>
    <col min="11258" max="11258" width="9.875" style="98" customWidth="1"/>
    <col min="11259" max="11259" width="8.875" style="98" customWidth="1"/>
    <col min="11260" max="11260" width="7.375" style="98" bestFit="1" customWidth="1"/>
    <col min="11261" max="11261" width="10.125" style="98" bestFit="1" customWidth="1"/>
    <col min="11262" max="11262" width="9.375" style="98"/>
    <col min="11263" max="11263" width="10.125" style="98" bestFit="1" customWidth="1"/>
    <col min="11264" max="11264" width="10.75" style="98" customWidth="1"/>
    <col min="11265" max="11267" width="9.375" style="98"/>
    <col min="11268" max="11269" width="10.75" style="98" customWidth="1"/>
    <col min="11270" max="11274" width="9.375" style="98"/>
    <col min="11275" max="11275" width="1.625" style="98" bestFit="1" customWidth="1"/>
    <col min="11276" max="11276" width="9.375" style="98"/>
    <col min="11277" max="11277" width="8.875" style="98" customWidth="1"/>
    <col min="11278" max="11278" width="13.125" style="98" customWidth="1"/>
    <col min="11279" max="11279" width="9.375" style="98"/>
    <col min="11280" max="11280" width="9.875" style="98" customWidth="1"/>
    <col min="11281" max="11281" width="11.75" style="98" bestFit="1" customWidth="1"/>
    <col min="11282" max="11511" width="9.375" style="98"/>
    <col min="11512" max="11512" width="5" style="98" customWidth="1"/>
    <col min="11513" max="11513" width="17.875" style="98" bestFit="1" customWidth="1"/>
    <col min="11514" max="11514" width="9.875" style="98" customWidth="1"/>
    <col min="11515" max="11515" width="8.875" style="98" customWidth="1"/>
    <col min="11516" max="11516" width="7.375" style="98" bestFit="1" customWidth="1"/>
    <col min="11517" max="11517" width="10.125" style="98" bestFit="1" customWidth="1"/>
    <col min="11518" max="11518" width="9.375" style="98"/>
    <col min="11519" max="11519" width="10.125" style="98" bestFit="1" customWidth="1"/>
    <col min="11520" max="11520" width="10.75" style="98" customWidth="1"/>
    <col min="11521" max="11523" width="9.375" style="98"/>
    <col min="11524" max="11525" width="10.75" style="98" customWidth="1"/>
    <col min="11526" max="11530" width="9.375" style="98"/>
    <col min="11531" max="11531" width="1.625" style="98" bestFit="1" customWidth="1"/>
    <col min="11532" max="11532" width="9.375" style="98"/>
    <col min="11533" max="11533" width="8.875" style="98" customWidth="1"/>
    <col min="11534" max="11534" width="13.125" style="98" customWidth="1"/>
    <col min="11535" max="11535" width="9.375" style="98"/>
    <col min="11536" max="11536" width="9.875" style="98" customWidth="1"/>
    <col min="11537" max="11537" width="11.75" style="98" bestFit="1" customWidth="1"/>
    <col min="11538" max="11767" width="9.375" style="98"/>
    <col min="11768" max="11768" width="5" style="98" customWidth="1"/>
    <col min="11769" max="11769" width="17.875" style="98" bestFit="1" customWidth="1"/>
    <col min="11770" max="11770" width="9.875" style="98" customWidth="1"/>
    <col min="11771" max="11771" width="8.875" style="98" customWidth="1"/>
    <col min="11772" max="11772" width="7.375" style="98" bestFit="1" customWidth="1"/>
    <col min="11773" max="11773" width="10.125" style="98" bestFit="1" customWidth="1"/>
    <col min="11774" max="11774" width="9.375" style="98"/>
    <col min="11775" max="11775" width="10.125" style="98" bestFit="1" customWidth="1"/>
    <col min="11776" max="11776" width="10.75" style="98" customWidth="1"/>
    <col min="11777" max="11779" width="9.375" style="98"/>
    <col min="11780" max="11781" width="10.75" style="98" customWidth="1"/>
    <col min="11782" max="11786" width="9.375" style="98"/>
    <col min="11787" max="11787" width="1.625" style="98" bestFit="1" customWidth="1"/>
    <col min="11788" max="11788" width="9.375" style="98"/>
    <col min="11789" max="11789" width="8.875" style="98" customWidth="1"/>
    <col min="11790" max="11790" width="13.125" style="98" customWidth="1"/>
    <col min="11791" max="11791" width="9.375" style="98"/>
    <col min="11792" max="11792" width="9.875" style="98" customWidth="1"/>
    <col min="11793" max="11793" width="11.75" style="98" bestFit="1" customWidth="1"/>
    <col min="11794" max="12023" width="9.375" style="98"/>
    <col min="12024" max="12024" width="5" style="98" customWidth="1"/>
    <col min="12025" max="12025" width="17.875" style="98" bestFit="1" customWidth="1"/>
    <col min="12026" max="12026" width="9.875" style="98" customWidth="1"/>
    <col min="12027" max="12027" width="8.875" style="98" customWidth="1"/>
    <col min="12028" max="12028" width="7.375" style="98" bestFit="1" customWidth="1"/>
    <col min="12029" max="12029" width="10.125" style="98" bestFit="1" customWidth="1"/>
    <col min="12030" max="12030" width="9.375" style="98"/>
    <col min="12031" max="12031" width="10.125" style="98" bestFit="1" customWidth="1"/>
    <col min="12032" max="12032" width="10.75" style="98" customWidth="1"/>
    <col min="12033" max="12035" width="9.375" style="98"/>
    <col min="12036" max="12037" width="10.75" style="98" customWidth="1"/>
    <col min="12038" max="12042" width="9.375" style="98"/>
    <col min="12043" max="12043" width="1.625" style="98" bestFit="1" customWidth="1"/>
    <col min="12044" max="12044" width="9.375" style="98"/>
    <col min="12045" max="12045" width="8.875" style="98" customWidth="1"/>
    <col min="12046" max="12046" width="13.125" style="98" customWidth="1"/>
    <col min="12047" max="12047" width="9.375" style="98"/>
    <col min="12048" max="12048" width="9.875" style="98" customWidth="1"/>
    <col min="12049" max="12049" width="11.75" style="98" bestFit="1" customWidth="1"/>
    <col min="12050" max="12279" width="9.375" style="98"/>
    <col min="12280" max="12280" width="5" style="98" customWidth="1"/>
    <col min="12281" max="12281" width="17.875" style="98" bestFit="1" customWidth="1"/>
    <col min="12282" max="12282" width="9.875" style="98" customWidth="1"/>
    <col min="12283" max="12283" width="8.875" style="98" customWidth="1"/>
    <col min="12284" max="12284" width="7.375" style="98" bestFit="1" customWidth="1"/>
    <col min="12285" max="12285" width="10.125" style="98" bestFit="1" customWidth="1"/>
    <col min="12286" max="12286" width="9.375" style="98"/>
    <col min="12287" max="12287" width="10.125" style="98" bestFit="1" customWidth="1"/>
    <col min="12288" max="12288" width="10.75" style="98" customWidth="1"/>
    <col min="12289" max="12291" width="9.375" style="98"/>
    <col min="12292" max="12293" width="10.75" style="98" customWidth="1"/>
    <col min="12294" max="12298" width="9.375" style="98"/>
    <col min="12299" max="12299" width="1.625" style="98" bestFit="1" customWidth="1"/>
    <col min="12300" max="12300" width="9.375" style="98"/>
    <col min="12301" max="12301" width="8.875" style="98" customWidth="1"/>
    <col min="12302" max="12302" width="13.125" style="98" customWidth="1"/>
    <col min="12303" max="12303" width="9.375" style="98"/>
    <col min="12304" max="12304" width="9.875" style="98" customWidth="1"/>
    <col min="12305" max="12305" width="11.75" style="98" bestFit="1" customWidth="1"/>
    <col min="12306" max="12535" width="9.375" style="98"/>
    <col min="12536" max="12536" width="5" style="98" customWidth="1"/>
    <col min="12537" max="12537" width="17.875" style="98" bestFit="1" customWidth="1"/>
    <col min="12538" max="12538" width="9.875" style="98" customWidth="1"/>
    <col min="12539" max="12539" width="8.875" style="98" customWidth="1"/>
    <col min="12540" max="12540" width="7.375" style="98" bestFit="1" customWidth="1"/>
    <col min="12541" max="12541" width="10.125" style="98" bestFit="1" customWidth="1"/>
    <col min="12542" max="12542" width="9.375" style="98"/>
    <col min="12543" max="12543" width="10.125" style="98" bestFit="1" customWidth="1"/>
    <col min="12544" max="12544" width="10.75" style="98" customWidth="1"/>
    <col min="12545" max="12547" width="9.375" style="98"/>
    <col min="12548" max="12549" width="10.75" style="98" customWidth="1"/>
    <col min="12550" max="12554" width="9.375" style="98"/>
    <col min="12555" max="12555" width="1.625" style="98" bestFit="1" customWidth="1"/>
    <col min="12556" max="12556" width="9.375" style="98"/>
    <col min="12557" max="12557" width="8.875" style="98" customWidth="1"/>
    <col min="12558" max="12558" width="13.125" style="98" customWidth="1"/>
    <col min="12559" max="12559" width="9.375" style="98"/>
    <col min="12560" max="12560" width="9.875" style="98" customWidth="1"/>
    <col min="12561" max="12561" width="11.75" style="98" bestFit="1" customWidth="1"/>
    <col min="12562" max="12791" width="9.375" style="98"/>
    <col min="12792" max="12792" width="5" style="98" customWidth="1"/>
    <col min="12793" max="12793" width="17.875" style="98" bestFit="1" customWidth="1"/>
    <col min="12794" max="12794" width="9.875" style="98" customWidth="1"/>
    <col min="12795" max="12795" width="8.875" style="98" customWidth="1"/>
    <col min="12796" max="12796" width="7.375" style="98" bestFit="1" customWidth="1"/>
    <col min="12797" max="12797" width="10.125" style="98" bestFit="1" customWidth="1"/>
    <col min="12798" max="12798" width="9.375" style="98"/>
    <col min="12799" max="12799" width="10.125" style="98" bestFit="1" customWidth="1"/>
    <col min="12800" max="12800" width="10.75" style="98" customWidth="1"/>
    <col min="12801" max="12803" width="9.375" style="98"/>
    <col min="12804" max="12805" width="10.75" style="98" customWidth="1"/>
    <col min="12806" max="12810" width="9.375" style="98"/>
    <col min="12811" max="12811" width="1.625" style="98" bestFit="1" customWidth="1"/>
    <col min="12812" max="12812" width="9.375" style="98"/>
    <col min="12813" max="12813" width="8.875" style="98" customWidth="1"/>
    <col min="12814" max="12814" width="13.125" style="98" customWidth="1"/>
    <col min="12815" max="12815" width="9.375" style="98"/>
    <col min="12816" max="12816" width="9.875" style="98" customWidth="1"/>
    <col min="12817" max="12817" width="11.75" style="98" bestFit="1" customWidth="1"/>
    <col min="12818" max="13047" width="9.375" style="98"/>
    <col min="13048" max="13048" width="5" style="98" customWidth="1"/>
    <col min="13049" max="13049" width="17.875" style="98" bestFit="1" customWidth="1"/>
    <col min="13050" max="13050" width="9.875" style="98" customWidth="1"/>
    <col min="13051" max="13051" width="8.875" style="98" customWidth="1"/>
    <col min="13052" max="13052" width="7.375" style="98" bestFit="1" customWidth="1"/>
    <col min="13053" max="13053" width="10.125" style="98" bestFit="1" customWidth="1"/>
    <col min="13054" max="13054" width="9.375" style="98"/>
    <col min="13055" max="13055" width="10.125" style="98" bestFit="1" customWidth="1"/>
    <col min="13056" max="13056" width="10.75" style="98" customWidth="1"/>
    <col min="13057" max="13059" width="9.375" style="98"/>
    <col min="13060" max="13061" width="10.75" style="98" customWidth="1"/>
    <col min="13062" max="13066" width="9.375" style="98"/>
    <col min="13067" max="13067" width="1.625" style="98" bestFit="1" customWidth="1"/>
    <col min="13068" max="13068" width="9.375" style="98"/>
    <col min="13069" max="13069" width="8.875" style="98" customWidth="1"/>
    <col min="13070" max="13070" width="13.125" style="98" customWidth="1"/>
    <col min="13071" max="13071" width="9.375" style="98"/>
    <col min="13072" max="13072" width="9.875" style="98" customWidth="1"/>
    <col min="13073" max="13073" width="11.75" style="98" bestFit="1" customWidth="1"/>
    <col min="13074" max="13303" width="9.375" style="98"/>
    <col min="13304" max="13304" width="5" style="98" customWidth="1"/>
    <col min="13305" max="13305" width="17.875" style="98" bestFit="1" customWidth="1"/>
    <col min="13306" max="13306" width="9.875" style="98" customWidth="1"/>
    <col min="13307" max="13307" width="8.875" style="98" customWidth="1"/>
    <col min="13308" max="13308" width="7.375" style="98" bestFit="1" customWidth="1"/>
    <col min="13309" max="13309" width="10.125" style="98" bestFit="1" customWidth="1"/>
    <col min="13310" max="13310" width="9.375" style="98"/>
    <col min="13311" max="13311" width="10.125" style="98" bestFit="1" customWidth="1"/>
    <col min="13312" max="13312" width="10.75" style="98" customWidth="1"/>
    <col min="13313" max="13315" width="9.375" style="98"/>
    <col min="13316" max="13317" width="10.75" style="98" customWidth="1"/>
    <col min="13318" max="13322" width="9.375" style="98"/>
    <col min="13323" max="13323" width="1.625" style="98" bestFit="1" customWidth="1"/>
    <col min="13324" max="13324" width="9.375" style="98"/>
    <col min="13325" max="13325" width="8.875" style="98" customWidth="1"/>
    <col min="13326" max="13326" width="13.125" style="98" customWidth="1"/>
    <col min="13327" max="13327" width="9.375" style="98"/>
    <col min="13328" max="13328" width="9.875" style="98" customWidth="1"/>
    <col min="13329" max="13329" width="11.75" style="98" bestFit="1" customWidth="1"/>
    <col min="13330" max="13559" width="9.375" style="98"/>
    <col min="13560" max="13560" width="5" style="98" customWidth="1"/>
    <col min="13561" max="13561" width="17.875" style="98" bestFit="1" customWidth="1"/>
    <col min="13562" max="13562" width="9.875" style="98" customWidth="1"/>
    <col min="13563" max="13563" width="8.875" style="98" customWidth="1"/>
    <col min="13564" max="13564" width="7.375" style="98" bestFit="1" customWidth="1"/>
    <col min="13565" max="13565" width="10.125" style="98" bestFit="1" customWidth="1"/>
    <col min="13566" max="13566" width="9.375" style="98"/>
    <col min="13567" max="13567" width="10.125" style="98" bestFit="1" customWidth="1"/>
    <col min="13568" max="13568" width="10.75" style="98" customWidth="1"/>
    <col min="13569" max="13571" width="9.375" style="98"/>
    <col min="13572" max="13573" width="10.75" style="98" customWidth="1"/>
    <col min="13574" max="13578" width="9.375" style="98"/>
    <col min="13579" max="13579" width="1.625" style="98" bestFit="1" customWidth="1"/>
    <col min="13580" max="13580" width="9.375" style="98"/>
    <col min="13581" max="13581" width="8.875" style="98" customWidth="1"/>
    <col min="13582" max="13582" width="13.125" style="98" customWidth="1"/>
    <col min="13583" max="13583" width="9.375" style="98"/>
    <col min="13584" max="13584" width="9.875" style="98" customWidth="1"/>
    <col min="13585" max="13585" width="11.75" style="98" bestFit="1" customWidth="1"/>
    <col min="13586" max="13815" width="9.375" style="98"/>
    <col min="13816" max="13816" width="5" style="98" customWidth="1"/>
    <col min="13817" max="13817" width="17.875" style="98" bestFit="1" customWidth="1"/>
    <col min="13818" max="13818" width="9.875" style="98" customWidth="1"/>
    <col min="13819" max="13819" width="8.875" style="98" customWidth="1"/>
    <col min="13820" max="13820" width="7.375" style="98" bestFit="1" customWidth="1"/>
    <col min="13821" max="13821" width="10.125" style="98" bestFit="1" customWidth="1"/>
    <col min="13822" max="13822" width="9.375" style="98"/>
    <col min="13823" max="13823" width="10.125" style="98" bestFit="1" customWidth="1"/>
    <col min="13824" max="13824" width="10.75" style="98" customWidth="1"/>
    <col min="13825" max="13827" width="9.375" style="98"/>
    <col min="13828" max="13829" width="10.75" style="98" customWidth="1"/>
    <col min="13830" max="13834" width="9.375" style="98"/>
    <col min="13835" max="13835" width="1.625" style="98" bestFit="1" customWidth="1"/>
    <col min="13836" max="13836" width="9.375" style="98"/>
    <col min="13837" max="13837" width="8.875" style="98" customWidth="1"/>
    <col min="13838" max="13838" width="13.125" style="98" customWidth="1"/>
    <col min="13839" max="13839" width="9.375" style="98"/>
    <col min="13840" max="13840" width="9.875" style="98" customWidth="1"/>
    <col min="13841" max="13841" width="11.75" style="98" bestFit="1" customWidth="1"/>
    <col min="13842" max="14071" width="9.375" style="98"/>
    <col min="14072" max="14072" width="5" style="98" customWidth="1"/>
    <col min="14073" max="14073" width="17.875" style="98" bestFit="1" customWidth="1"/>
    <col min="14074" max="14074" width="9.875" style="98" customWidth="1"/>
    <col min="14075" max="14075" width="8.875" style="98" customWidth="1"/>
    <col min="14076" max="14076" width="7.375" style="98" bestFit="1" customWidth="1"/>
    <col min="14077" max="14077" width="10.125" style="98" bestFit="1" customWidth="1"/>
    <col min="14078" max="14078" width="9.375" style="98"/>
    <col min="14079" max="14079" width="10.125" style="98" bestFit="1" customWidth="1"/>
    <col min="14080" max="14080" width="10.75" style="98" customWidth="1"/>
    <col min="14081" max="14083" width="9.375" style="98"/>
    <col min="14084" max="14085" width="10.75" style="98" customWidth="1"/>
    <col min="14086" max="14090" width="9.375" style="98"/>
    <col min="14091" max="14091" width="1.625" style="98" bestFit="1" customWidth="1"/>
    <col min="14092" max="14092" width="9.375" style="98"/>
    <col min="14093" max="14093" width="8.875" style="98" customWidth="1"/>
    <col min="14094" max="14094" width="13.125" style="98" customWidth="1"/>
    <col min="14095" max="14095" width="9.375" style="98"/>
    <col min="14096" max="14096" width="9.875" style="98" customWidth="1"/>
    <col min="14097" max="14097" width="11.75" style="98" bestFit="1" customWidth="1"/>
    <col min="14098" max="14327" width="9.375" style="98"/>
    <col min="14328" max="14328" width="5" style="98" customWidth="1"/>
    <col min="14329" max="14329" width="17.875" style="98" bestFit="1" customWidth="1"/>
    <col min="14330" max="14330" width="9.875" style="98" customWidth="1"/>
    <col min="14331" max="14331" width="8.875" style="98" customWidth="1"/>
    <col min="14332" max="14332" width="7.375" style="98" bestFit="1" customWidth="1"/>
    <col min="14333" max="14333" width="10.125" style="98" bestFit="1" customWidth="1"/>
    <col min="14334" max="14334" width="9.375" style="98"/>
    <col min="14335" max="14335" width="10.125" style="98" bestFit="1" customWidth="1"/>
    <col min="14336" max="14336" width="10.75" style="98" customWidth="1"/>
    <col min="14337" max="14339" width="9.375" style="98"/>
    <col min="14340" max="14341" width="10.75" style="98" customWidth="1"/>
    <col min="14342" max="14346" width="9.375" style="98"/>
    <col min="14347" max="14347" width="1.625" style="98" bestFit="1" customWidth="1"/>
    <col min="14348" max="14348" width="9.375" style="98"/>
    <col min="14349" max="14349" width="8.875" style="98" customWidth="1"/>
    <col min="14350" max="14350" width="13.125" style="98" customWidth="1"/>
    <col min="14351" max="14351" width="9.375" style="98"/>
    <col min="14352" max="14352" width="9.875" style="98" customWidth="1"/>
    <col min="14353" max="14353" width="11.75" style="98" bestFit="1" customWidth="1"/>
    <col min="14354" max="14583" width="9.375" style="98"/>
    <col min="14584" max="14584" width="5" style="98" customWidth="1"/>
    <col min="14585" max="14585" width="17.875" style="98" bestFit="1" customWidth="1"/>
    <col min="14586" max="14586" width="9.875" style="98" customWidth="1"/>
    <col min="14587" max="14587" width="8.875" style="98" customWidth="1"/>
    <col min="14588" max="14588" width="7.375" style="98" bestFit="1" customWidth="1"/>
    <col min="14589" max="14589" width="10.125" style="98" bestFit="1" customWidth="1"/>
    <col min="14590" max="14590" width="9.375" style="98"/>
    <col min="14591" max="14591" width="10.125" style="98" bestFit="1" customWidth="1"/>
    <col min="14592" max="14592" width="10.75" style="98" customWidth="1"/>
    <col min="14593" max="14595" width="9.375" style="98"/>
    <col min="14596" max="14597" width="10.75" style="98" customWidth="1"/>
    <col min="14598" max="14602" width="9.375" style="98"/>
    <col min="14603" max="14603" width="1.625" style="98" bestFit="1" customWidth="1"/>
    <col min="14604" max="14604" width="9.375" style="98"/>
    <col min="14605" max="14605" width="8.875" style="98" customWidth="1"/>
    <col min="14606" max="14606" width="13.125" style="98" customWidth="1"/>
    <col min="14607" max="14607" width="9.375" style="98"/>
    <col min="14608" max="14608" width="9.875" style="98" customWidth="1"/>
    <col min="14609" max="14609" width="11.75" style="98" bestFit="1" customWidth="1"/>
    <col min="14610" max="14839" width="9.375" style="98"/>
    <col min="14840" max="14840" width="5" style="98" customWidth="1"/>
    <col min="14841" max="14841" width="17.875" style="98" bestFit="1" customWidth="1"/>
    <col min="14842" max="14842" width="9.875" style="98" customWidth="1"/>
    <col min="14843" max="14843" width="8.875" style="98" customWidth="1"/>
    <col min="14844" max="14844" width="7.375" style="98" bestFit="1" customWidth="1"/>
    <col min="14845" max="14845" width="10.125" style="98" bestFit="1" customWidth="1"/>
    <col min="14846" max="14846" width="9.375" style="98"/>
    <col min="14847" max="14847" width="10.125" style="98" bestFit="1" customWidth="1"/>
    <col min="14848" max="14848" width="10.75" style="98" customWidth="1"/>
    <col min="14849" max="14851" width="9.375" style="98"/>
    <col min="14852" max="14853" width="10.75" style="98" customWidth="1"/>
    <col min="14854" max="14858" width="9.375" style="98"/>
    <col min="14859" max="14859" width="1.625" style="98" bestFit="1" customWidth="1"/>
    <col min="14860" max="14860" width="9.375" style="98"/>
    <col min="14861" max="14861" width="8.875" style="98" customWidth="1"/>
    <col min="14862" max="14862" width="13.125" style="98" customWidth="1"/>
    <col min="14863" max="14863" width="9.375" style="98"/>
    <col min="14864" max="14864" width="9.875" style="98" customWidth="1"/>
    <col min="14865" max="14865" width="11.75" style="98" bestFit="1" customWidth="1"/>
    <col min="14866" max="15095" width="9.375" style="98"/>
    <col min="15096" max="15096" width="5" style="98" customWidth="1"/>
    <col min="15097" max="15097" width="17.875" style="98" bestFit="1" customWidth="1"/>
    <col min="15098" max="15098" width="9.875" style="98" customWidth="1"/>
    <col min="15099" max="15099" width="8.875" style="98" customWidth="1"/>
    <col min="15100" max="15100" width="7.375" style="98" bestFit="1" customWidth="1"/>
    <col min="15101" max="15101" width="10.125" style="98" bestFit="1" customWidth="1"/>
    <col min="15102" max="15102" width="9.375" style="98"/>
    <col min="15103" max="15103" width="10.125" style="98" bestFit="1" customWidth="1"/>
    <col min="15104" max="15104" width="10.75" style="98" customWidth="1"/>
    <col min="15105" max="15107" width="9.375" style="98"/>
    <col min="15108" max="15109" width="10.75" style="98" customWidth="1"/>
    <col min="15110" max="15114" width="9.375" style="98"/>
    <col min="15115" max="15115" width="1.625" style="98" bestFit="1" customWidth="1"/>
    <col min="15116" max="15116" width="9.375" style="98"/>
    <col min="15117" max="15117" width="8.875" style="98" customWidth="1"/>
    <col min="15118" max="15118" width="13.125" style="98" customWidth="1"/>
    <col min="15119" max="15119" width="9.375" style="98"/>
    <col min="15120" max="15120" width="9.875" style="98" customWidth="1"/>
    <col min="15121" max="15121" width="11.75" style="98" bestFit="1" customWidth="1"/>
    <col min="15122" max="15351" width="9.375" style="98"/>
    <col min="15352" max="15352" width="5" style="98" customWidth="1"/>
    <col min="15353" max="15353" width="17.875" style="98" bestFit="1" customWidth="1"/>
    <col min="15354" max="15354" width="9.875" style="98" customWidth="1"/>
    <col min="15355" max="15355" width="8.875" style="98" customWidth="1"/>
    <col min="15356" max="15356" width="7.375" style="98" bestFit="1" customWidth="1"/>
    <col min="15357" max="15357" width="10.125" style="98" bestFit="1" customWidth="1"/>
    <col min="15358" max="15358" width="9.375" style="98"/>
    <col min="15359" max="15359" width="10.125" style="98" bestFit="1" customWidth="1"/>
    <col min="15360" max="15360" width="10.75" style="98" customWidth="1"/>
    <col min="15361" max="15363" width="9.375" style="98"/>
    <col min="15364" max="15365" width="10.75" style="98" customWidth="1"/>
    <col min="15366" max="15370" width="9.375" style="98"/>
    <col min="15371" max="15371" width="1.625" style="98" bestFit="1" customWidth="1"/>
    <col min="15372" max="15372" width="9.375" style="98"/>
    <col min="15373" max="15373" width="8.875" style="98" customWidth="1"/>
    <col min="15374" max="15374" width="13.125" style="98" customWidth="1"/>
    <col min="15375" max="15375" width="9.375" style="98"/>
    <col min="15376" max="15376" width="9.875" style="98" customWidth="1"/>
    <col min="15377" max="15377" width="11.75" style="98" bestFit="1" customWidth="1"/>
    <col min="15378" max="15607" width="9.375" style="98"/>
    <col min="15608" max="15608" width="5" style="98" customWidth="1"/>
    <col min="15609" max="15609" width="17.875" style="98" bestFit="1" customWidth="1"/>
    <col min="15610" max="15610" width="9.875" style="98" customWidth="1"/>
    <col min="15611" max="15611" width="8.875" style="98" customWidth="1"/>
    <col min="15612" max="15612" width="7.375" style="98" bestFit="1" customWidth="1"/>
    <col min="15613" max="15613" width="10.125" style="98" bestFit="1" customWidth="1"/>
    <col min="15614" max="15614" width="9.375" style="98"/>
    <col min="15615" max="15615" width="10.125" style="98" bestFit="1" customWidth="1"/>
    <col min="15616" max="15616" width="10.75" style="98" customWidth="1"/>
    <col min="15617" max="15619" width="9.375" style="98"/>
    <col min="15620" max="15621" width="10.75" style="98" customWidth="1"/>
    <col min="15622" max="15626" width="9.375" style="98"/>
    <col min="15627" max="15627" width="1.625" style="98" bestFit="1" customWidth="1"/>
    <col min="15628" max="15628" width="9.375" style="98"/>
    <col min="15629" max="15629" width="8.875" style="98" customWidth="1"/>
    <col min="15630" max="15630" width="13.125" style="98" customWidth="1"/>
    <col min="15631" max="15631" width="9.375" style="98"/>
    <col min="15632" max="15632" width="9.875" style="98" customWidth="1"/>
    <col min="15633" max="15633" width="11.75" style="98" bestFit="1" customWidth="1"/>
    <col min="15634" max="15863" width="9.375" style="98"/>
    <col min="15864" max="15864" width="5" style="98" customWidth="1"/>
    <col min="15865" max="15865" width="17.875" style="98" bestFit="1" customWidth="1"/>
    <col min="15866" max="15866" width="9.875" style="98" customWidth="1"/>
    <col min="15867" max="15867" width="8.875" style="98" customWidth="1"/>
    <col min="15868" max="15868" width="7.375" style="98" bestFit="1" customWidth="1"/>
    <col min="15869" max="15869" width="10.125" style="98" bestFit="1" customWidth="1"/>
    <col min="15870" max="15870" width="9.375" style="98"/>
    <col min="15871" max="15871" width="10.125" style="98" bestFit="1" customWidth="1"/>
    <col min="15872" max="15872" width="10.75" style="98" customWidth="1"/>
    <col min="15873" max="15875" width="9.375" style="98"/>
    <col min="15876" max="15877" width="10.75" style="98" customWidth="1"/>
    <col min="15878" max="15882" width="9.375" style="98"/>
    <col min="15883" max="15883" width="1.625" style="98" bestFit="1" customWidth="1"/>
    <col min="15884" max="15884" width="9.375" style="98"/>
    <col min="15885" max="15885" width="8.875" style="98" customWidth="1"/>
    <col min="15886" max="15886" width="13.125" style="98" customWidth="1"/>
    <col min="15887" max="15887" width="9.375" style="98"/>
    <col min="15888" max="15888" width="9.875" style="98" customWidth="1"/>
    <col min="15889" max="15889" width="11.75" style="98" bestFit="1" customWidth="1"/>
    <col min="15890" max="16119" width="9.375" style="98"/>
    <col min="16120" max="16120" width="5" style="98" customWidth="1"/>
    <col min="16121" max="16121" width="17.875" style="98" bestFit="1" customWidth="1"/>
    <col min="16122" max="16122" width="9.875" style="98" customWidth="1"/>
    <col min="16123" max="16123" width="8.875" style="98" customWidth="1"/>
    <col min="16124" max="16124" width="7.375" style="98" bestFit="1" customWidth="1"/>
    <col min="16125" max="16125" width="10.125" style="98" bestFit="1" customWidth="1"/>
    <col min="16126" max="16126" width="9.375" style="98"/>
    <col min="16127" max="16127" width="10.125" style="98" bestFit="1" customWidth="1"/>
    <col min="16128" max="16128" width="10.75" style="98" customWidth="1"/>
    <col min="16129" max="16131" width="9.375" style="98"/>
    <col min="16132" max="16133" width="10.75" style="98" customWidth="1"/>
    <col min="16134" max="16138" width="9.375" style="98"/>
    <col min="16139" max="16139" width="1.625" style="98" bestFit="1" customWidth="1"/>
    <col min="16140" max="16140" width="9.375" style="98"/>
    <col min="16141" max="16141" width="8.875" style="98" customWidth="1"/>
    <col min="16142" max="16142" width="13.125" style="98" customWidth="1"/>
    <col min="16143" max="16143" width="9.375" style="98"/>
    <col min="16144" max="16144" width="9.875" style="98" customWidth="1"/>
    <col min="16145" max="16145" width="11.75" style="98" bestFit="1" customWidth="1"/>
    <col min="16146" max="16384" width="9.375" style="98"/>
  </cols>
  <sheetData>
    <row r="1" spans="1:20" s="33" customFormat="1" ht="26.25" x14ac:dyDescent="0.2">
      <c r="A1" s="207" t="s">
        <v>407</v>
      </c>
      <c r="B1" s="32"/>
      <c r="C1" s="314" t="s">
        <v>403</v>
      </c>
      <c r="D1" s="230" t="s">
        <v>395</v>
      </c>
      <c r="E1" s="712" t="s">
        <v>404</v>
      </c>
      <c r="F1" s="712"/>
      <c r="G1" s="94"/>
      <c r="H1" s="94"/>
      <c r="I1" s="94"/>
      <c r="J1" s="94"/>
      <c r="K1" s="94"/>
      <c r="M1" s="94"/>
      <c r="N1" s="95"/>
      <c r="O1" s="43"/>
      <c r="P1" s="95"/>
      <c r="Q1" s="95"/>
      <c r="R1" s="43"/>
      <c r="S1" s="43"/>
      <c r="T1" s="43"/>
    </row>
    <row r="2" spans="1:20" s="40" customFormat="1" ht="15.75" x14ac:dyDescent="0.25">
      <c r="A2" s="280" t="str">
        <f>Paramètres!B4</f>
        <v>Acomptes 2024</v>
      </c>
      <c r="N2" s="97"/>
      <c r="O2" s="96"/>
      <c r="P2" s="97"/>
      <c r="Q2" s="97"/>
      <c r="R2" s="96"/>
      <c r="S2" s="96"/>
      <c r="T2" s="96"/>
    </row>
    <row r="4" spans="1:20" s="109" customFormat="1" ht="39" customHeight="1" x14ac:dyDescent="0.2">
      <c r="A4" s="721" t="s">
        <v>44</v>
      </c>
      <c r="B4" s="721" t="s">
        <v>84</v>
      </c>
      <c r="C4" s="721" t="s">
        <v>437</v>
      </c>
      <c r="D4" s="263" t="s">
        <v>258</v>
      </c>
      <c r="E4" s="721" t="s">
        <v>366</v>
      </c>
      <c r="F4" s="724" t="s">
        <v>289</v>
      </c>
      <c r="G4" s="721" t="s">
        <v>532</v>
      </c>
      <c r="H4" s="721" t="s">
        <v>491</v>
      </c>
      <c r="I4" s="721" t="s">
        <v>533</v>
      </c>
      <c r="J4" s="721" t="s">
        <v>410</v>
      </c>
      <c r="K4" s="263" t="s">
        <v>494</v>
      </c>
      <c r="L4" s="721" t="s">
        <v>368</v>
      </c>
      <c r="M4" s="107"/>
      <c r="N4" s="106"/>
      <c r="O4" s="107"/>
      <c r="P4" s="108"/>
      <c r="Q4" s="106"/>
      <c r="R4" s="106"/>
      <c r="S4" s="106"/>
    </row>
    <row r="5" spans="1:20" s="109" customFormat="1" x14ac:dyDescent="0.2">
      <c r="A5" s="723"/>
      <c r="B5" s="723"/>
      <c r="C5" s="722"/>
      <c r="D5" s="283">
        <f>Paramètres!B6</f>
        <v>43464</v>
      </c>
      <c r="E5" s="723"/>
      <c r="F5" s="725"/>
      <c r="G5" s="723"/>
      <c r="H5" s="723"/>
      <c r="I5" s="723"/>
      <c r="J5" s="722"/>
      <c r="K5" s="264">
        <f>(Paramètres!B56-Police!$I$306)/Police!J306</f>
        <v>1.2408323288512713</v>
      </c>
      <c r="L5" s="722"/>
      <c r="M5" s="108"/>
      <c r="N5" s="106"/>
      <c r="O5" s="108"/>
      <c r="P5" s="108"/>
      <c r="Q5" s="106"/>
      <c r="R5" s="106"/>
      <c r="S5" s="106"/>
    </row>
    <row r="6" spans="1:20" x14ac:dyDescent="0.25">
      <c r="A6" s="136">
        <f>Données!A6</f>
        <v>5401</v>
      </c>
      <c r="B6" s="275" t="str">
        <f>Données!B6</f>
        <v>Aigle</v>
      </c>
      <c r="C6" s="136">
        <f>Données!AR6</f>
        <v>1</v>
      </c>
      <c r="D6" s="277">
        <f>Données!Z6</f>
        <v>10937</v>
      </c>
      <c r="E6" s="101">
        <f>Données!X6</f>
        <v>66</v>
      </c>
      <c r="F6" s="31">
        <f>VPI!L6</f>
        <v>17127269.289999999</v>
      </c>
      <c r="G6" s="41">
        <f>F6/E6*2</f>
        <v>519008.16030303028</v>
      </c>
      <c r="H6" s="58">
        <f>+$G$306/$D$306*D6</f>
        <v>964548.5734391656</v>
      </c>
      <c r="I6" s="41">
        <f t="shared" ref="I6" si="0">IF(C6=1,0,IF(H6&gt;G6,G6,H6))</f>
        <v>0</v>
      </c>
      <c r="J6" s="41">
        <f>VPI!R6</f>
        <v>294617.5415151515</v>
      </c>
      <c r="K6" s="50">
        <f t="shared" ref="K6" si="1">+$K$5*J6</f>
        <v>365570.97015868151</v>
      </c>
      <c r="L6" s="265">
        <f t="shared" ref="L6" si="2">+K6+I6</f>
        <v>365570.97015868151</v>
      </c>
      <c r="M6" s="169"/>
      <c r="N6" s="103"/>
      <c r="O6" s="100"/>
      <c r="Q6" s="104"/>
      <c r="T6" s="98"/>
    </row>
    <row r="7" spans="1:20" x14ac:dyDescent="0.25">
      <c r="A7" s="137">
        <f>Données!A7</f>
        <v>5402</v>
      </c>
      <c r="B7" s="276" t="str">
        <f>Données!B7</f>
        <v>Bex</v>
      </c>
      <c r="C7" s="137">
        <f>Données!AR7</f>
        <v>1</v>
      </c>
      <c r="D7" s="277">
        <f>Données!Z7</f>
        <v>8151</v>
      </c>
      <c r="E7" s="101">
        <f>Données!X7</f>
        <v>71</v>
      </c>
      <c r="F7" s="31">
        <f>VPI!L7</f>
        <v>12089709.610000001</v>
      </c>
      <c r="G7" s="8">
        <f t="shared" ref="G7:G70" si="3">F7/E7*2</f>
        <v>340555.20028169017</v>
      </c>
      <c r="H7" s="154">
        <f t="shared" ref="H7:H70" si="4">+$G$306/$D$306*D7</f>
        <v>718847.5287649848</v>
      </c>
      <c r="I7" s="8">
        <f t="shared" ref="I7:I70" si="5">IF(C7=1,0,IF(H7&gt;G7,G7,H7))</f>
        <v>0</v>
      </c>
      <c r="J7" s="8">
        <f>VPI!R7</f>
        <v>191952.18042253522</v>
      </c>
      <c r="K7" s="174">
        <f t="shared" ref="K7:K70" si="6">+$K$5*J7</f>
        <v>238180.47106177377</v>
      </c>
      <c r="L7" s="266">
        <f t="shared" ref="L7:L70" si="7">+K7+I7</f>
        <v>238180.47106177377</v>
      </c>
      <c r="M7" s="169"/>
      <c r="N7" s="103"/>
      <c r="O7" s="100"/>
      <c r="Q7" s="104"/>
      <c r="T7" s="98"/>
    </row>
    <row r="8" spans="1:20" x14ac:dyDescent="0.25">
      <c r="A8" s="137">
        <f>Données!A8</f>
        <v>5403</v>
      </c>
      <c r="B8" s="276" t="str">
        <f>Données!B8</f>
        <v>Chessel</v>
      </c>
      <c r="C8" s="137">
        <f>Données!AR8</f>
        <v>0</v>
      </c>
      <c r="D8" s="277">
        <f>Données!Z8</f>
        <v>528</v>
      </c>
      <c r="E8" s="101">
        <f>Données!X8</f>
        <v>65</v>
      </c>
      <c r="F8" s="31">
        <f>VPI!L8</f>
        <v>782712.94000000006</v>
      </c>
      <c r="G8" s="8">
        <f t="shared" si="3"/>
        <v>24083.475076923078</v>
      </c>
      <c r="H8" s="154">
        <f t="shared" si="4"/>
        <v>46565.022106233831</v>
      </c>
      <c r="I8" s="8">
        <f t="shared" si="5"/>
        <v>24083.475076923078</v>
      </c>
      <c r="J8" s="8">
        <f>VPI!R8</f>
        <v>13520.577538461539</v>
      </c>
      <c r="K8" s="174">
        <f t="shared" si="6"/>
        <v>16776.769714463418</v>
      </c>
      <c r="L8" s="266">
        <f t="shared" si="7"/>
        <v>40860.244791386496</v>
      </c>
      <c r="M8" s="169"/>
      <c r="N8" s="103"/>
      <c r="O8" s="100"/>
      <c r="Q8" s="104"/>
      <c r="T8" s="98"/>
    </row>
    <row r="9" spans="1:20" x14ac:dyDescent="0.25">
      <c r="A9" s="137">
        <f>Données!A9</f>
        <v>5404</v>
      </c>
      <c r="B9" s="276" t="str">
        <f>Données!B9</f>
        <v>Corbeyrier</v>
      </c>
      <c r="C9" s="137">
        <f>Données!AR9</f>
        <v>0</v>
      </c>
      <c r="D9" s="277">
        <f>Données!Z9</f>
        <v>440</v>
      </c>
      <c r="E9" s="101">
        <f>Données!X9</f>
        <v>74</v>
      </c>
      <c r="F9" s="31">
        <f>VPI!L9</f>
        <v>771638.56</v>
      </c>
      <c r="G9" s="8">
        <f t="shared" si="3"/>
        <v>20855.096216216218</v>
      </c>
      <c r="H9" s="154">
        <f t="shared" si="4"/>
        <v>38804.185088528197</v>
      </c>
      <c r="I9" s="8">
        <f t="shared" si="5"/>
        <v>20855.096216216218</v>
      </c>
      <c r="J9" s="8">
        <f>VPI!R9</f>
        <v>11663.176261261262</v>
      </c>
      <c r="K9" s="174">
        <f t="shared" si="6"/>
        <v>14472.046162063674</v>
      </c>
      <c r="L9" s="266">
        <f t="shared" si="7"/>
        <v>35327.142378279896</v>
      </c>
      <c r="M9" s="169"/>
      <c r="N9" s="103"/>
      <c r="O9" s="100"/>
      <c r="Q9" s="104"/>
      <c r="T9" s="98"/>
    </row>
    <row r="10" spans="1:20" x14ac:dyDescent="0.25">
      <c r="A10" s="137">
        <f>Données!A10</f>
        <v>5405</v>
      </c>
      <c r="B10" s="276" t="str">
        <f>Données!B10</f>
        <v>Gryon</v>
      </c>
      <c r="C10" s="137">
        <f>Données!AR10</f>
        <v>0</v>
      </c>
      <c r="D10" s="277">
        <f>Données!Z10</f>
        <v>1389</v>
      </c>
      <c r="E10" s="101">
        <f>Données!X10</f>
        <v>73.5</v>
      </c>
      <c r="F10" s="31">
        <f>VPI!L10</f>
        <v>4540125.7300000004</v>
      </c>
      <c r="G10" s="8">
        <f t="shared" si="3"/>
        <v>123540.8361904762</v>
      </c>
      <c r="H10" s="154">
        <f t="shared" si="4"/>
        <v>122497.75701810377</v>
      </c>
      <c r="I10" s="8">
        <f t="shared" si="5"/>
        <v>122497.75701810377</v>
      </c>
      <c r="J10" s="8">
        <f>VPI!R10</f>
        <v>73284.694739229046</v>
      </c>
      <c r="K10" s="174">
        <f t="shared" si="6"/>
        <v>90934.018442432091</v>
      </c>
      <c r="L10" s="266">
        <f t="shared" si="7"/>
        <v>213431.77546053586</v>
      </c>
      <c r="M10" s="169"/>
      <c r="N10" s="103"/>
      <c r="O10" s="100"/>
      <c r="Q10" s="104"/>
      <c r="T10" s="98"/>
    </row>
    <row r="11" spans="1:20" x14ac:dyDescent="0.25">
      <c r="A11" s="137">
        <f>Données!A11</f>
        <v>5406</v>
      </c>
      <c r="B11" s="276" t="str">
        <f>Données!B11</f>
        <v>Lavey-Morcles</v>
      </c>
      <c r="C11" s="137">
        <f>Données!AR11</f>
        <v>0</v>
      </c>
      <c r="D11" s="277">
        <f>Données!Z11</f>
        <v>979</v>
      </c>
      <c r="E11" s="101">
        <f>Données!X11</f>
        <v>71.5</v>
      </c>
      <c r="F11" s="31">
        <f>VPI!L11</f>
        <v>1413521.0699999998</v>
      </c>
      <c r="G11" s="8">
        <f t="shared" si="3"/>
        <v>39539.050909090904</v>
      </c>
      <c r="H11" s="154">
        <f t="shared" si="4"/>
        <v>86339.311821975236</v>
      </c>
      <c r="I11" s="8">
        <f t="shared" si="5"/>
        <v>39539.050909090904</v>
      </c>
      <c r="J11" s="8">
        <f>VPI!R11</f>
        <v>22110.99022054868</v>
      </c>
      <c r="K11" s="174">
        <f t="shared" si="6"/>
        <v>27436.031488571101</v>
      </c>
      <c r="L11" s="266">
        <f t="shared" si="7"/>
        <v>66975.082397662001</v>
      </c>
      <c r="M11" s="169"/>
      <c r="N11" s="103"/>
      <c r="O11" s="100"/>
      <c r="Q11" s="104"/>
      <c r="T11" s="98"/>
    </row>
    <row r="12" spans="1:20" x14ac:dyDescent="0.25">
      <c r="A12" s="137">
        <f>Données!A12</f>
        <v>5407</v>
      </c>
      <c r="B12" s="276" t="str">
        <f>Données!B12</f>
        <v>Leysin</v>
      </c>
      <c r="C12" s="137">
        <f>Données!AR12</f>
        <v>0</v>
      </c>
      <c r="D12" s="277">
        <f>Données!Z12</f>
        <v>3743</v>
      </c>
      <c r="E12" s="101">
        <f>Données!X12</f>
        <v>78</v>
      </c>
      <c r="F12" s="31">
        <f>VPI!L12</f>
        <v>6082661.6399999997</v>
      </c>
      <c r="G12" s="8">
        <f t="shared" si="3"/>
        <v>155965.68307692307</v>
      </c>
      <c r="H12" s="154">
        <f t="shared" si="4"/>
        <v>330100.1472417296</v>
      </c>
      <c r="I12" s="8">
        <f t="shared" si="5"/>
        <v>155965.68307692307</v>
      </c>
      <c r="J12" s="8">
        <f>VPI!R12</f>
        <v>89840.418034188027</v>
      </c>
      <c r="K12" s="174">
        <f t="shared" si="6"/>
        <v>111476.89513433327</v>
      </c>
      <c r="L12" s="266">
        <f t="shared" si="7"/>
        <v>267442.57821125636</v>
      </c>
      <c r="M12" s="169"/>
      <c r="N12" s="103"/>
      <c r="O12" s="100"/>
      <c r="Q12" s="104"/>
      <c r="T12" s="98"/>
    </row>
    <row r="13" spans="1:20" x14ac:dyDescent="0.25">
      <c r="A13" s="137">
        <f>Données!A13</f>
        <v>5408</v>
      </c>
      <c r="B13" s="276" t="str">
        <f>Données!B13</f>
        <v>Noville</v>
      </c>
      <c r="C13" s="137">
        <f>Données!AR13</f>
        <v>0</v>
      </c>
      <c r="D13" s="277">
        <f>Données!Z13</f>
        <v>1169</v>
      </c>
      <c r="E13" s="101">
        <f>Données!X13</f>
        <v>75</v>
      </c>
      <c r="F13" s="31">
        <f>VPI!L13</f>
        <v>2779721.040000001</v>
      </c>
      <c r="G13" s="8">
        <f t="shared" si="3"/>
        <v>74125.894400000019</v>
      </c>
      <c r="H13" s="154">
        <f t="shared" si="4"/>
        <v>103095.66447383969</v>
      </c>
      <c r="I13" s="8">
        <f t="shared" si="5"/>
        <v>74125.894400000019</v>
      </c>
      <c r="J13" s="8">
        <f>VPI!R13</f>
        <v>41970.812088888903</v>
      </c>
      <c r="K13" s="174">
        <f t="shared" si="6"/>
        <v>52078.740508035109</v>
      </c>
      <c r="L13" s="266">
        <f t="shared" si="7"/>
        <v>126204.63490803514</v>
      </c>
      <c r="M13" s="169"/>
      <c r="N13" s="103"/>
      <c r="O13" s="100"/>
      <c r="Q13" s="104"/>
      <c r="T13" s="98"/>
    </row>
    <row r="14" spans="1:20" x14ac:dyDescent="0.25">
      <c r="A14" s="137">
        <f>Données!A14</f>
        <v>5409</v>
      </c>
      <c r="B14" s="276" t="str">
        <f>Données!B14</f>
        <v>Ollon</v>
      </c>
      <c r="C14" s="137">
        <f>Données!AR14</f>
        <v>1</v>
      </c>
      <c r="D14" s="277">
        <f>Données!Z14</f>
        <v>7967</v>
      </c>
      <c r="E14" s="101">
        <f>Données!X14</f>
        <v>68</v>
      </c>
      <c r="F14" s="31">
        <f>VPI!L14</f>
        <v>24217652.809999999</v>
      </c>
      <c r="G14" s="8">
        <f t="shared" si="3"/>
        <v>712283.90617647057</v>
      </c>
      <c r="H14" s="154">
        <f t="shared" si="4"/>
        <v>702620.32409160025</v>
      </c>
      <c r="I14" s="8">
        <f t="shared" si="5"/>
        <v>0</v>
      </c>
      <c r="J14" s="8">
        <f>VPI!R14</f>
        <v>405929.69030542986</v>
      </c>
      <c r="K14" s="174">
        <f t="shared" si="6"/>
        <v>503690.68297156185</v>
      </c>
      <c r="L14" s="266">
        <f t="shared" si="7"/>
        <v>503690.68297156185</v>
      </c>
      <c r="M14" s="169"/>
      <c r="N14" s="103"/>
      <c r="O14" s="100"/>
      <c r="Q14" s="104"/>
      <c r="T14" s="98"/>
    </row>
    <row r="15" spans="1:20" x14ac:dyDescent="0.25">
      <c r="A15" s="137">
        <f>Données!A15</f>
        <v>5410</v>
      </c>
      <c r="B15" s="276" t="str">
        <f>Données!B15</f>
        <v>Ormont-Dessous</v>
      </c>
      <c r="C15" s="137">
        <f>Données!AR15</f>
        <v>0</v>
      </c>
      <c r="D15" s="277">
        <f>Données!Z15</f>
        <v>1178</v>
      </c>
      <c r="E15" s="101">
        <f>Données!X15</f>
        <v>77</v>
      </c>
      <c r="F15" s="31">
        <f>VPI!L15</f>
        <v>2548213.83</v>
      </c>
      <c r="G15" s="8">
        <f t="shared" si="3"/>
        <v>66187.372207792214</v>
      </c>
      <c r="H15" s="26">
        <f t="shared" si="4"/>
        <v>103889.38644155957</v>
      </c>
      <c r="I15" s="8">
        <f t="shared" si="5"/>
        <v>66187.372207792214</v>
      </c>
      <c r="J15" s="8">
        <f>VPI!R15</f>
        <v>38412.928528138524</v>
      </c>
      <c r="K15" s="174">
        <f t="shared" si="6"/>
        <v>47664.003563567559</v>
      </c>
      <c r="L15" s="266">
        <f t="shared" si="7"/>
        <v>113851.37577135977</v>
      </c>
      <c r="M15" s="102"/>
      <c r="N15" s="103"/>
      <c r="O15" s="100"/>
      <c r="Q15" s="104"/>
      <c r="T15" s="98"/>
    </row>
    <row r="16" spans="1:20" x14ac:dyDescent="0.25">
      <c r="A16" s="137">
        <f>Données!A16</f>
        <v>5411</v>
      </c>
      <c r="B16" s="276" t="str">
        <f>Données!B16</f>
        <v>Ormont-Dessus</v>
      </c>
      <c r="C16" s="137">
        <f>Données!AR16</f>
        <v>0</v>
      </c>
      <c r="D16" s="277">
        <f>Données!Z16</f>
        <v>1425</v>
      </c>
      <c r="E16" s="101">
        <f>Données!X16</f>
        <v>76</v>
      </c>
      <c r="F16" s="31">
        <f>VPI!L16</f>
        <v>4909751.3800000008</v>
      </c>
      <c r="G16" s="8">
        <f t="shared" si="3"/>
        <v>129203.98368421054</v>
      </c>
      <c r="H16" s="26">
        <f t="shared" si="4"/>
        <v>125672.64488898336</v>
      </c>
      <c r="I16" s="8">
        <f t="shared" si="5"/>
        <v>125672.64488898336</v>
      </c>
      <c r="J16" s="8">
        <f>VPI!R16</f>
        <v>76159.947763157907</v>
      </c>
      <c r="K16" s="174">
        <f t="shared" si="6"/>
        <v>94501.725348150387</v>
      </c>
      <c r="L16" s="266">
        <f t="shared" si="7"/>
        <v>220174.37023713376</v>
      </c>
      <c r="M16" s="170"/>
      <c r="N16" s="103"/>
      <c r="O16" s="100"/>
      <c r="Q16" s="104"/>
      <c r="T16" s="98"/>
    </row>
    <row r="17" spans="1:20" x14ac:dyDescent="0.25">
      <c r="A17" s="137">
        <f>Données!A17</f>
        <v>5412</v>
      </c>
      <c r="B17" s="276" t="str">
        <f>Données!B17</f>
        <v>Rennaz</v>
      </c>
      <c r="C17" s="137">
        <f>Données!AR17</f>
        <v>0</v>
      </c>
      <c r="D17" s="277">
        <f>Données!Z17</f>
        <v>929</v>
      </c>
      <c r="E17" s="101">
        <f>Données!X17</f>
        <v>69</v>
      </c>
      <c r="F17" s="31">
        <f>VPI!L17</f>
        <v>1886436.1700000002</v>
      </c>
      <c r="G17" s="8">
        <f t="shared" si="3"/>
        <v>54679.30927536232</v>
      </c>
      <c r="H17" s="26">
        <f t="shared" si="4"/>
        <v>81929.745334642488</v>
      </c>
      <c r="I17" s="8">
        <f t="shared" si="5"/>
        <v>54679.30927536232</v>
      </c>
      <c r="J17" s="8">
        <f>VPI!R17</f>
        <v>32236.510434782613</v>
      </c>
      <c r="K17" s="174">
        <f t="shared" si="6"/>
        <v>40000.104316829616</v>
      </c>
      <c r="L17" s="266">
        <f t="shared" si="7"/>
        <v>94679.413592191937</v>
      </c>
      <c r="M17" s="102"/>
      <c r="N17" s="103"/>
      <c r="O17" s="100"/>
      <c r="Q17" s="104"/>
      <c r="T17" s="98"/>
    </row>
    <row r="18" spans="1:20" x14ac:dyDescent="0.25">
      <c r="A18" s="137">
        <f>Données!A18</f>
        <v>5413</v>
      </c>
      <c r="B18" s="276" t="str">
        <f>Données!B18</f>
        <v>Roche</v>
      </c>
      <c r="C18" s="137">
        <f>Données!AR18</f>
        <v>0</v>
      </c>
      <c r="D18" s="277">
        <f>Données!Z18</f>
        <v>1940</v>
      </c>
      <c r="E18" s="101">
        <f>Données!X18</f>
        <v>68</v>
      </c>
      <c r="F18" s="31">
        <f>VPI!L18</f>
        <v>2563281.33</v>
      </c>
      <c r="G18" s="8">
        <f t="shared" si="3"/>
        <v>75390.627352941185</v>
      </c>
      <c r="H18" s="26">
        <f t="shared" si="4"/>
        <v>171091.17970851067</v>
      </c>
      <c r="I18" s="8">
        <f t="shared" si="5"/>
        <v>75390.627352941185</v>
      </c>
      <c r="J18" s="8">
        <f>VPI!R18</f>
        <v>42591.589534313724</v>
      </c>
      <c r="K18" s="174">
        <f t="shared" si="6"/>
        <v>52849.021231339932</v>
      </c>
      <c r="L18" s="266">
        <f t="shared" si="7"/>
        <v>128239.64858428112</v>
      </c>
      <c r="M18" s="102"/>
      <c r="N18" s="103"/>
      <c r="O18" s="100"/>
      <c r="Q18" s="104"/>
      <c r="T18" s="98"/>
    </row>
    <row r="19" spans="1:20" x14ac:dyDescent="0.25">
      <c r="A19" s="137">
        <f>Données!A19</f>
        <v>5414</v>
      </c>
      <c r="B19" s="276" t="str">
        <f>Données!B19</f>
        <v>Villeneuve</v>
      </c>
      <c r="C19" s="137">
        <f>Données!AR19</f>
        <v>0</v>
      </c>
      <c r="D19" s="277">
        <f>Données!Z19</f>
        <v>5979</v>
      </c>
      <c r="E19" s="101">
        <f>Données!X19</f>
        <v>67.5</v>
      </c>
      <c r="F19" s="31">
        <f>VPI!L19</f>
        <v>9702025.9099999983</v>
      </c>
      <c r="G19" s="8">
        <f t="shared" si="3"/>
        <v>287467.43437037029</v>
      </c>
      <c r="H19" s="26">
        <f t="shared" si="4"/>
        <v>527295.96055525017</v>
      </c>
      <c r="I19" s="8">
        <f t="shared" si="5"/>
        <v>287467.43437037029</v>
      </c>
      <c r="J19" s="8">
        <f>VPI!R19</f>
        <v>165869.64903703702</v>
      </c>
      <c r="K19" s="174">
        <f t="shared" si="6"/>
        <v>205816.42290036965</v>
      </c>
      <c r="L19" s="266">
        <f t="shared" si="7"/>
        <v>493283.85727073997</v>
      </c>
      <c r="M19" s="102"/>
      <c r="N19" s="103"/>
      <c r="O19" s="100"/>
      <c r="Q19" s="104"/>
      <c r="T19" s="98"/>
    </row>
    <row r="20" spans="1:20" x14ac:dyDescent="0.25">
      <c r="A20" s="137">
        <f>Données!A20</f>
        <v>5415</v>
      </c>
      <c r="B20" s="276" t="str">
        <f>Données!B20</f>
        <v>Yvorne</v>
      </c>
      <c r="C20" s="137">
        <f>Données!AR20</f>
        <v>0</v>
      </c>
      <c r="D20" s="277">
        <f>Données!Z20</f>
        <v>1088</v>
      </c>
      <c r="E20" s="101">
        <f>Données!X20</f>
        <v>71.5</v>
      </c>
      <c r="F20" s="31">
        <f>VPI!L20</f>
        <v>2167165.2999999998</v>
      </c>
      <c r="G20" s="8">
        <f t="shared" si="3"/>
        <v>60620.00839160839</v>
      </c>
      <c r="H20" s="26">
        <f t="shared" si="4"/>
        <v>95952.16676436062</v>
      </c>
      <c r="I20" s="8">
        <f t="shared" si="5"/>
        <v>60620.00839160839</v>
      </c>
      <c r="J20" s="8">
        <f>VPI!R20</f>
        <v>33673.599766899759</v>
      </c>
      <c r="K20" s="174">
        <f t="shared" si="6"/>
        <v>41783.291219567851</v>
      </c>
      <c r="L20" s="266">
        <f t="shared" si="7"/>
        <v>102403.29961117625</v>
      </c>
      <c r="M20" s="102"/>
      <c r="N20" s="103"/>
      <c r="O20" s="100"/>
      <c r="Q20" s="104"/>
      <c r="T20" s="98"/>
    </row>
    <row r="21" spans="1:20" x14ac:dyDescent="0.25">
      <c r="A21" s="137">
        <f>Données!A21</f>
        <v>5422</v>
      </c>
      <c r="B21" s="276" t="str">
        <f>Données!B21</f>
        <v>Aubonne</v>
      </c>
      <c r="C21" s="137">
        <f>Données!AR21</f>
        <v>0</v>
      </c>
      <c r="D21" s="277">
        <f>Données!Z21</f>
        <v>3792</v>
      </c>
      <c r="E21" s="101">
        <f>Données!X21</f>
        <v>70</v>
      </c>
      <c r="F21" s="31">
        <f>VPI!L21</f>
        <v>19844431.32</v>
      </c>
      <c r="G21" s="8">
        <f t="shared" si="3"/>
        <v>566983.75199999998</v>
      </c>
      <c r="H21" s="26">
        <f t="shared" si="4"/>
        <v>334421.52239931573</v>
      </c>
      <c r="I21" s="8">
        <f t="shared" si="5"/>
        <v>334421.52239931573</v>
      </c>
      <c r="J21" s="8">
        <f>VPI!R21</f>
        <v>297528.5668571429</v>
      </c>
      <c r="K21" s="174">
        <f t="shared" si="6"/>
        <v>369183.06451312976</v>
      </c>
      <c r="L21" s="266">
        <f t="shared" si="7"/>
        <v>703604.58691244549</v>
      </c>
      <c r="M21" s="102"/>
      <c r="N21" s="103"/>
      <c r="O21" s="100"/>
      <c r="Q21" s="104"/>
      <c r="T21" s="98"/>
    </row>
    <row r="22" spans="1:20" x14ac:dyDescent="0.25">
      <c r="A22" s="137">
        <f>Données!A22</f>
        <v>5423</v>
      </c>
      <c r="B22" s="276" t="str">
        <f>Données!B22</f>
        <v>Ballens</v>
      </c>
      <c r="C22" s="137">
        <f>Données!AR22</f>
        <v>0</v>
      </c>
      <c r="D22" s="277">
        <f>Données!Z22</f>
        <v>590</v>
      </c>
      <c r="E22" s="101">
        <f>Données!X22</f>
        <v>73</v>
      </c>
      <c r="F22" s="31">
        <f>VPI!L22</f>
        <v>1180232.6200000001</v>
      </c>
      <c r="G22" s="8">
        <f t="shared" si="3"/>
        <v>32335.140273972607</v>
      </c>
      <c r="H22" s="26">
        <f t="shared" si="4"/>
        <v>52032.88455052644</v>
      </c>
      <c r="I22" s="8">
        <f t="shared" si="5"/>
        <v>32335.140273972607</v>
      </c>
      <c r="J22" s="8">
        <f>VPI!R22</f>
        <v>17345.56260273973</v>
      </c>
      <c r="K22" s="174">
        <f t="shared" si="6"/>
        <v>21522.934839593057</v>
      </c>
      <c r="L22" s="266">
        <f t="shared" si="7"/>
        <v>53858.075113565661</v>
      </c>
      <c r="M22" s="102"/>
      <c r="N22" s="103"/>
      <c r="O22" s="100"/>
      <c r="Q22" s="104"/>
      <c r="T22" s="98"/>
    </row>
    <row r="23" spans="1:20" x14ac:dyDescent="0.25">
      <c r="A23" s="137">
        <f>Données!A23</f>
        <v>5424</v>
      </c>
      <c r="B23" s="276" t="str">
        <f>Données!B23</f>
        <v>Berolle</v>
      </c>
      <c r="C23" s="137">
        <f>Données!AR23</f>
        <v>0</v>
      </c>
      <c r="D23" s="277">
        <f>Données!Z23</f>
        <v>303</v>
      </c>
      <c r="E23" s="101">
        <f>Données!X23</f>
        <v>75.5</v>
      </c>
      <c r="F23" s="31">
        <f>VPI!L23</f>
        <v>720620.65</v>
      </c>
      <c r="G23" s="8">
        <f t="shared" si="3"/>
        <v>19089.288741721855</v>
      </c>
      <c r="H23" s="26">
        <f t="shared" si="4"/>
        <v>26721.972913236459</v>
      </c>
      <c r="I23" s="8">
        <f t="shared" si="5"/>
        <v>19089.288741721855</v>
      </c>
      <c r="J23" s="8">
        <f>VPI!R23</f>
        <v>10263.233774834438</v>
      </c>
      <c r="K23" s="174">
        <f t="shared" si="6"/>
        <v>12734.95226637284</v>
      </c>
      <c r="L23" s="266">
        <f t="shared" si="7"/>
        <v>31824.241008094694</v>
      </c>
      <c r="M23" s="102"/>
      <c r="N23" s="103"/>
      <c r="O23" s="100"/>
      <c r="Q23" s="104"/>
      <c r="T23" s="98"/>
    </row>
    <row r="24" spans="1:20" s="99" customFormat="1" x14ac:dyDescent="0.25">
      <c r="A24" s="137">
        <f>Données!A24</f>
        <v>5425</v>
      </c>
      <c r="B24" s="276" t="str">
        <f>Données!B24</f>
        <v>Bière</v>
      </c>
      <c r="C24" s="137">
        <f>Données!AR24</f>
        <v>0</v>
      </c>
      <c r="D24" s="277">
        <f>Données!Z24</f>
        <v>1683</v>
      </c>
      <c r="E24" s="101">
        <f>Données!X24</f>
        <v>69</v>
      </c>
      <c r="F24" s="31">
        <f>VPI!L24</f>
        <v>2675507.87</v>
      </c>
      <c r="G24" s="8">
        <f t="shared" si="3"/>
        <v>77550.952753623191</v>
      </c>
      <c r="H24" s="26">
        <f t="shared" si="4"/>
        <v>148426.00796362033</v>
      </c>
      <c r="I24" s="8">
        <f t="shared" si="5"/>
        <v>77550.952753623191</v>
      </c>
      <c r="J24" s="8">
        <f>VPI!R24</f>
        <v>42246.57887556222</v>
      </c>
      <c r="K24" s="174">
        <f t="shared" si="6"/>
        <v>52420.920852162788</v>
      </c>
      <c r="L24" s="266">
        <f t="shared" si="7"/>
        <v>129971.87360578598</v>
      </c>
      <c r="M24" s="102"/>
      <c r="N24" s="103"/>
      <c r="O24" s="100"/>
      <c r="P24" s="100"/>
      <c r="Q24" s="104"/>
    </row>
    <row r="25" spans="1:20" s="99" customFormat="1" x14ac:dyDescent="0.25">
      <c r="A25" s="137">
        <f>Données!A25</f>
        <v>5426</v>
      </c>
      <c r="B25" s="276" t="str">
        <f>Données!B25</f>
        <v>Bougy-Villars</v>
      </c>
      <c r="C25" s="137">
        <f>Données!AR25</f>
        <v>0</v>
      </c>
      <c r="D25" s="277">
        <f>Données!Z25</f>
        <v>506</v>
      </c>
      <c r="E25" s="101">
        <f>Données!X25</f>
        <v>64.5</v>
      </c>
      <c r="F25" s="31">
        <f>VPI!L25</f>
        <v>3717947.7299999991</v>
      </c>
      <c r="G25" s="8">
        <f t="shared" si="3"/>
        <v>115285.20093023253</v>
      </c>
      <c r="H25" s="26">
        <f t="shared" si="4"/>
        <v>44624.812851807423</v>
      </c>
      <c r="I25" s="8">
        <f t="shared" si="5"/>
        <v>44624.812851807423</v>
      </c>
      <c r="J25" s="8">
        <f>VPI!R25</f>
        <v>61944.740516795857</v>
      </c>
      <c r="K25" s="174">
        <f t="shared" si="6"/>
        <v>76863.036635543496</v>
      </c>
      <c r="L25" s="266">
        <f t="shared" si="7"/>
        <v>121487.84948735092</v>
      </c>
      <c r="M25" s="102"/>
      <c r="N25" s="103"/>
      <c r="O25" s="100"/>
      <c r="P25" s="100"/>
      <c r="Q25" s="104"/>
    </row>
    <row r="26" spans="1:20" s="99" customFormat="1" x14ac:dyDescent="0.25">
      <c r="A26" s="137">
        <f>Données!A26</f>
        <v>5427</v>
      </c>
      <c r="B26" s="276" t="str">
        <f>Données!B26</f>
        <v>Féchy</v>
      </c>
      <c r="C26" s="137">
        <f>Données!AR26</f>
        <v>0</v>
      </c>
      <c r="D26" s="277">
        <f>Données!Z26</f>
        <v>887</v>
      </c>
      <c r="E26" s="101">
        <f>Données!X26</f>
        <v>64</v>
      </c>
      <c r="F26" s="31">
        <f>VPI!L26</f>
        <v>5188059.6799999988</v>
      </c>
      <c r="G26" s="8">
        <f t="shared" si="3"/>
        <v>162126.86499999996</v>
      </c>
      <c r="H26" s="26">
        <f t="shared" si="4"/>
        <v>78225.709485282976</v>
      </c>
      <c r="I26" s="8">
        <f t="shared" si="5"/>
        <v>78225.709485282976</v>
      </c>
      <c r="J26" s="8">
        <f>VPI!R26</f>
        <v>86921.388449519218</v>
      </c>
      <c r="K26" s="174">
        <f t="shared" si="6"/>
        <v>107854.86885680292</v>
      </c>
      <c r="L26" s="266">
        <f t="shared" si="7"/>
        <v>186080.57834208588</v>
      </c>
      <c r="M26" s="102"/>
      <c r="N26" s="103"/>
      <c r="O26" s="100"/>
      <c r="P26" s="100"/>
      <c r="Q26" s="104"/>
    </row>
    <row r="27" spans="1:20" s="99" customFormat="1" x14ac:dyDescent="0.25">
      <c r="A27" s="137">
        <f>Données!A27</f>
        <v>5428</v>
      </c>
      <c r="B27" s="276" t="str">
        <f>Données!B27</f>
        <v>Gimel</v>
      </c>
      <c r="C27" s="137">
        <f>Données!AR27</f>
        <v>0</v>
      </c>
      <c r="D27" s="277">
        <f>Données!Z27</f>
        <v>2414</v>
      </c>
      <c r="E27" s="101">
        <f>Données!X27</f>
        <v>74.5</v>
      </c>
      <c r="F27" s="31">
        <f>VPI!L27</f>
        <v>4865281.3</v>
      </c>
      <c r="G27" s="8">
        <f t="shared" si="3"/>
        <v>130611.57852348992</v>
      </c>
      <c r="H27" s="26">
        <f t="shared" si="4"/>
        <v>212893.87000842515</v>
      </c>
      <c r="I27" s="8">
        <f t="shared" si="5"/>
        <v>130611.57852348992</v>
      </c>
      <c r="J27" s="8">
        <f>VPI!R27</f>
        <v>71357.07080536912</v>
      </c>
      <c r="K27" s="174">
        <f t="shared" si="6"/>
        <v>88542.160347431229</v>
      </c>
      <c r="L27" s="266">
        <f t="shared" si="7"/>
        <v>219153.73887092114</v>
      </c>
      <c r="M27" s="102"/>
      <c r="N27" s="103"/>
      <c r="O27" s="100"/>
      <c r="P27" s="100"/>
      <c r="Q27" s="104"/>
    </row>
    <row r="28" spans="1:20" s="99" customFormat="1" x14ac:dyDescent="0.25">
      <c r="A28" s="137">
        <f>Données!A28</f>
        <v>5429</v>
      </c>
      <c r="B28" s="276" t="str">
        <f>Données!B28</f>
        <v>Longirod</v>
      </c>
      <c r="C28" s="137">
        <f>Données!AR28</f>
        <v>0</v>
      </c>
      <c r="D28" s="277">
        <f>Données!Z28</f>
        <v>541</v>
      </c>
      <c r="E28" s="101">
        <f>Données!X28</f>
        <v>77.5</v>
      </c>
      <c r="F28" s="31">
        <f>VPI!L28</f>
        <v>1216009.8700000001</v>
      </c>
      <c r="G28" s="8">
        <f t="shared" si="3"/>
        <v>31380.899870967743</v>
      </c>
      <c r="H28" s="26">
        <f t="shared" si="4"/>
        <v>47711.509392940345</v>
      </c>
      <c r="I28" s="8">
        <f t="shared" si="5"/>
        <v>31380.899870967743</v>
      </c>
      <c r="J28" s="8">
        <f>VPI!R28</f>
        <v>17141.954451612906</v>
      </c>
      <c r="K28" s="174">
        <f t="shared" si="6"/>
        <v>21270.291263257259</v>
      </c>
      <c r="L28" s="266">
        <f t="shared" si="7"/>
        <v>52651.191134225002</v>
      </c>
      <c r="M28" s="102"/>
      <c r="N28" s="103"/>
      <c r="O28" s="100"/>
      <c r="P28" s="100"/>
      <c r="Q28" s="104"/>
    </row>
    <row r="29" spans="1:20" s="99" customFormat="1" x14ac:dyDescent="0.25">
      <c r="A29" s="137">
        <f>Données!A29</f>
        <v>5430</v>
      </c>
      <c r="B29" s="276" t="str">
        <f>Données!B29</f>
        <v>Marchissy</v>
      </c>
      <c r="C29" s="137">
        <f>Données!AR29</f>
        <v>0</v>
      </c>
      <c r="D29" s="277">
        <f>Données!Z29</f>
        <v>499</v>
      </c>
      <c r="E29" s="101">
        <f>Données!X29</f>
        <v>77.5</v>
      </c>
      <c r="F29" s="31">
        <f>VPI!L29</f>
        <v>1233279.9100000001</v>
      </c>
      <c r="G29" s="8">
        <f t="shared" si="3"/>
        <v>31826.578322580648</v>
      </c>
      <c r="H29" s="154">
        <f t="shared" si="4"/>
        <v>44007.47354358084</v>
      </c>
      <c r="I29" s="8">
        <f t="shared" si="5"/>
        <v>31826.578322580648</v>
      </c>
      <c r="J29" s="8">
        <f>VPI!R29</f>
        <v>17121.702064516132</v>
      </c>
      <c r="K29" s="174">
        <f t="shared" si="6"/>
        <v>21245.161446611171</v>
      </c>
      <c r="L29" s="266">
        <f t="shared" si="7"/>
        <v>53071.739769191816</v>
      </c>
      <c r="M29" s="102"/>
      <c r="N29" s="103"/>
      <c r="O29" s="100"/>
      <c r="P29" s="100"/>
      <c r="Q29" s="104"/>
    </row>
    <row r="30" spans="1:20" s="99" customFormat="1" x14ac:dyDescent="0.25">
      <c r="A30" s="137">
        <f>Données!A30</f>
        <v>5431</v>
      </c>
      <c r="B30" s="276" t="str">
        <f>Données!B30</f>
        <v>Mollens</v>
      </c>
      <c r="C30" s="137">
        <f>Données!AR30</f>
        <v>0</v>
      </c>
      <c r="D30" s="277">
        <f>Données!Z30</f>
        <v>324</v>
      </c>
      <c r="E30" s="101">
        <f>Données!X30</f>
        <v>74</v>
      </c>
      <c r="F30" s="31">
        <f>VPI!L30</f>
        <v>645888.4</v>
      </c>
      <c r="G30" s="8">
        <f t="shared" si="3"/>
        <v>17456.443243243244</v>
      </c>
      <c r="H30" s="26">
        <f t="shared" si="4"/>
        <v>28573.990837916215</v>
      </c>
      <c r="I30" s="8">
        <f t="shared" si="5"/>
        <v>17456.443243243244</v>
      </c>
      <c r="J30" s="8">
        <f>VPI!R30</f>
        <v>9475.2202702702707</v>
      </c>
      <c r="K30" s="174">
        <f t="shared" si="6"/>
        <v>11757.159634338232</v>
      </c>
      <c r="L30" s="266">
        <f t="shared" si="7"/>
        <v>29213.602877581478</v>
      </c>
      <c r="M30" s="102"/>
      <c r="N30" s="103"/>
      <c r="O30" s="100"/>
      <c r="P30" s="100"/>
      <c r="Q30" s="104"/>
    </row>
    <row r="31" spans="1:20" s="99" customFormat="1" x14ac:dyDescent="0.25">
      <c r="A31" s="137">
        <f>Données!A31</f>
        <v>5434</v>
      </c>
      <c r="B31" s="276" t="str">
        <f>Données!B31</f>
        <v>Saint-George</v>
      </c>
      <c r="C31" s="137">
        <f>Données!AR31</f>
        <v>0</v>
      </c>
      <c r="D31" s="277">
        <f>Données!Z31</f>
        <v>1069</v>
      </c>
      <c r="E31" s="101">
        <f>Données!X31</f>
        <v>69.5</v>
      </c>
      <c r="F31" s="31">
        <f>VPI!L31</f>
        <v>2592571.9699999997</v>
      </c>
      <c r="G31" s="8">
        <f t="shared" si="3"/>
        <v>74606.387625899268</v>
      </c>
      <c r="H31" s="26">
        <f t="shared" si="4"/>
        <v>94276.531499174176</v>
      </c>
      <c r="I31" s="8">
        <f t="shared" si="5"/>
        <v>74606.387625899268</v>
      </c>
      <c r="J31" s="8">
        <f>VPI!R31</f>
        <v>40910.420311750597</v>
      </c>
      <c r="K31" s="174">
        <f t="shared" si="6"/>
        <v>50762.972109713846</v>
      </c>
      <c r="L31" s="266">
        <f t="shared" si="7"/>
        <v>125369.35973561311</v>
      </c>
      <c r="M31" s="102"/>
      <c r="N31" s="103"/>
      <c r="O31" s="100"/>
      <c r="P31" s="100"/>
      <c r="Q31" s="104"/>
    </row>
    <row r="32" spans="1:20" s="99" customFormat="1" x14ac:dyDescent="0.25">
      <c r="A32" s="137">
        <f>Données!A32</f>
        <v>5435</v>
      </c>
      <c r="B32" s="276" t="str">
        <f>Données!B32</f>
        <v>Saint-Livres</v>
      </c>
      <c r="C32" s="137">
        <f>Données!AR32</f>
        <v>0</v>
      </c>
      <c r="D32" s="277">
        <f>Données!Z32</f>
        <v>697</v>
      </c>
      <c r="E32" s="101">
        <f>Données!X32</f>
        <v>69</v>
      </c>
      <c r="F32" s="31">
        <f>VPI!L32</f>
        <v>1622945.3099999998</v>
      </c>
      <c r="G32" s="8">
        <f t="shared" si="3"/>
        <v>47041.893043478252</v>
      </c>
      <c r="H32" s="26">
        <f t="shared" si="4"/>
        <v>61469.356833418526</v>
      </c>
      <c r="I32" s="8">
        <f t="shared" si="5"/>
        <v>47041.893043478252</v>
      </c>
      <c r="J32" s="8">
        <f>VPI!R32</f>
        <v>25462.062463768114</v>
      </c>
      <c r="K32" s="174">
        <f t="shared" si="6"/>
        <v>31594.150264273925</v>
      </c>
      <c r="L32" s="266">
        <f t="shared" si="7"/>
        <v>78636.043307752174</v>
      </c>
      <c r="M32" s="102"/>
      <c r="N32" s="103"/>
      <c r="O32" s="100"/>
      <c r="P32" s="100"/>
      <c r="Q32" s="104"/>
    </row>
    <row r="33" spans="1:17" s="99" customFormat="1" x14ac:dyDescent="0.25">
      <c r="A33" s="137">
        <f>Données!A33</f>
        <v>5436</v>
      </c>
      <c r="B33" s="276" t="str">
        <f>Données!B33</f>
        <v>Saint-Oyens</v>
      </c>
      <c r="C33" s="137">
        <f>Données!AR33</f>
        <v>0</v>
      </c>
      <c r="D33" s="277">
        <f>Données!Z33</f>
        <v>456</v>
      </c>
      <c r="E33" s="101">
        <f>Données!X33</f>
        <v>79</v>
      </c>
      <c r="F33" s="31">
        <f>VPI!L33</f>
        <v>1205379.3699999999</v>
      </c>
      <c r="G33" s="8">
        <f t="shared" si="3"/>
        <v>30515.933417721517</v>
      </c>
      <c r="H33" s="26">
        <f t="shared" si="4"/>
        <v>40215.246364474675</v>
      </c>
      <c r="I33" s="8">
        <f t="shared" si="5"/>
        <v>30515.933417721517</v>
      </c>
      <c r="J33" s="8">
        <f>VPI!R33</f>
        <v>16425.302151898733</v>
      </c>
      <c r="K33" s="174">
        <f t="shared" si="6"/>
        <v>20381.045921226301</v>
      </c>
      <c r="L33" s="266">
        <f t="shared" si="7"/>
        <v>50896.979338947815</v>
      </c>
      <c r="M33" s="102"/>
      <c r="N33" s="103"/>
      <c r="O33" s="100"/>
      <c r="P33" s="100"/>
      <c r="Q33" s="104"/>
    </row>
    <row r="34" spans="1:17" s="99" customFormat="1" x14ac:dyDescent="0.25">
      <c r="A34" s="137">
        <f>Données!A34</f>
        <v>5437</v>
      </c>
      <c r="B34" s="276" t="str">
        <f>Données!B34</f>
        <v>Saubraz</v>
      </c>
      <c r="C34" s="137">
        <f>Données!AR34</f>
        <v>0</v>
      </c>
      <c r="D34" s="277">
        <f>Données!Z34</f>
        <v>449</v>
      </c>
      <c r="E34" s="101">
        <f>Données!X34</f>
        <v>80</v>
      </c>
      <c r="F34" s="31">
        <f>VPI!L34</f>
        <v>890796.59</v>
      </c>
      <c r="G34" s="8">
        <f t="shared" si="3"/>
        <v>22269.91475</v>
      </c>
      <c r="H34" s="26">
        <f t="shared" si="4"/>
        <v>39597.907056248092</v>
      </c>
      <c r="I34" s="8">
        <f t="shared" si="5"/>
        <v>22269.91475</v>
      </c>
      <c r="J34" s="8">
        <f>VPI!R34</f>
        <v>12131.165499999999</v>
      </c>
      <c r="K34" s="174">
        <f t="shared" si="6"/>
        <v>15052.742339045195</v>
      </c>
      <c r="L34" s="266">
        <f t="shared" si="7"/>
        <v>37322.657089045199</v>
      </c>
      <c r="M34" s="102"/>
      <c r="N34" s="103"/>
      <c r="O34" s="100"/>
      <c r="P34" s="100"/>
      <c r="Q34" s="104"/>
    </row>
    <row r="35" spans="1:17" s="99" customFormat="1" x14ac:dyDescent="0.25">
      <c r="A35" s="137">
        <f>Données!A35</f>
        <v>5451</v>
      </c>
      <c r="B35" s="276" t="str">
        <f>Données!B35</f>
        <v>Avenches</v>
      </c>
      <c r="C35" s="137">
        <f>Données!AR35</f>
        <v>0</v>
      </c>
      <c r="D35" s="277">
        <f>Données!Z35</f>
        <v>4696</v>
      </c>
      <c r="E35" s="101">
        <f>Données!X35</f>
        <v>66.5</v>
      </c>
      <c r="F35" s="31">
        <f>VPI!L35</f>
        <v>8353794.4399999976</v>
      </c>
      <c r="G35" s="8">
        <f t="shared" si="3"/>
        <v>251241.93804511271</v>
      </c>
      <c r="H35" s="26">
        <f t="shared" si="4"/>
        <v>414146.4844902918</v>
      </c>
      <c r="I35" s="8">
        <f t="shared" si="5"/>
        <v>251241.93804511271</v>
      </c>
      <c r="J35" s="8">
        <f>VPI!R35</f>
        <v>142603.64295739346</v>
      </c>
      <c r="K35" s="174">
        <f t="shared" si="6"/>
        <v>176947.21039349772</v>
      </c>
      <c r="L35" s="266">
        <f t="shared" si="7"/>
        <v>428189.14843861043</v>
      </c>
      <c r="M35" s="102"/>
      <c r="N35" s="103"/>
      <c r="O35" s="100"/>
      <c r="P35" s="100"/>
      <c r="Q35" s="104"/>
    </row>
    <row r="36" spans="1:17" s="99" customFormat="1" x14ac:dyDescent="0.25">
      <c r="A36" s="137">
        <f>Données!A36</f>
        <v>5456</v>
      </c>
      <c r="B36" s="276" t="str">
        <f>Données!B36</f>
        <v>Cudrefin</v>
      </c>
      <c r="C36" s="137">
        <f>Données!AR36</f>
        <v>0</v>
      </c>
      <c r="D36" s="277">
        <f>Données!Z36</f>
        <v>1876</v>
      </c>
      <c r="E36" s="101">
        <f>Données!X36</f>
        <v>59</v>
      </c>
      <c r="F36" s="31">
        <f>VPI!L36</f>
        <v>3400074.87</v>
      </c>
      <c r="G36" s="8">
        <f t="shared" si="3"/>
        <v>115256.77525423729</v>
      </c>
      <c r="H36" s="26">
        <f t="shared" si="4"/>
        <v>165446.93460472475</v>
      </c>
      <c r="I36" s="8">
        <f t="shared" si="5"/>
        <v>115256.77525423729</v>
      </c>
      <c r="J36" s="8">
        <f>VPI!R36</f>
        <v>64059.429152542369</v>
      </c>
      <c r="K36" s="174">
        <f t="shared" si="6"/>
        <v>79487.010660232161</v>
      </c>
      <c r="L36" s="266">
        <f t="shared" si="7"/>
        <v>194743.78591446945</v>
      </c>
      <c r="M36" s="102"/>
      <c r="N36" s="103"/>
      <c r="O36" s="100"/>
      <c r="P36" s="100"/>
      <c r="Q36" s="104"/>
    </row>
    <row r="37" spans="1:17" s="99" customFormat="1" x14ac:dyDescent="0.25">
      <c r="A37" s="137">
        <f>Données!A37</f>
        <v>5458</v>
      </c>
      <c r="B37" s="276" t="str">
        <f>Données!B37</f>
        <v>Faoug</v>
      </c>
      <c r="C37" s="137">
        <f>Données!AR37</f>
        <v>0</v>
      </c>
      <c r="D37" s="277">
        <f>Données!Z37</f>
        <v>903</v>
      </c>
      <c r="E37" s="101">
        <f>Données!X37</f>
        <v>65</v>
      </c>
      <c r="F37" s="31">
        <f>VPI!L37</f>
        <v>1914527.89</v>
      </c>
      <c r="G37" s="8">
        <f t="shared" si="3"/>
        <v>58908.550461538456</v>
      </c>
      <c r="H37" s="26">
        <f t="shared" si="4"/>
        <v>79636.770761229447</v>
      </c>
      <c r="I37" s="8">
        <f t="shared" si="5"/>
        <v>58908.550461538456</v>
      </c>
      <c r="J37" s="8">
        <f>VPI!R37</f>
        <v>32630.608820512818</v>
      </c>
      <c r="K37" s="174">
        <f t="shared" si="6"/>
        <v>40489.114334591752</v>
      </c>
      <c r="L37" s="266">
        <f t="shared" si="7"/>
        <v>99397.664796130208</v>
      </c>
      <c r="M37" s="102"/>
      <c r="N37" s="103"/>
      <c r="O37" s="100"/>
      <c r="P37" s="100"/>
      <c r="Q37" s="104"/>
    </row>
    <row r="38" spans="1:17" s="99" customFormat="1" x14ac:dyDescent="0.25">
      <c r="A38" s="137">
        <f>Données!A38</f>
        <v>5464</v>
      </c>
      <c r="B38" s="276" t="str">
        <f>Données!B38</f>
        <v>Vully-les-Lacs</v>
      </c>
      <c r="C38" s="137">
        <f>Données!AR38</f>
        <v>0</v>
      </c>
      <c r="D38" s="277">
        <f>Données!Z38</f>
        <v>3540</v>
      </c>
      <c r="E38" s="101">
        <f>Données!X38</f>
        <v>67</v>
      </c>
      <c r="F38" s="31">
        <f>VPI!L38</f>
        <v>7144768.3400000008</v>
      </c>
      <c r="G38" s="8">
        <f t="shared" si="3"/>
        <v>213276.66686567166</v>
      </c>
      <c r="H38" s="26">
        <f t="shared" si="4"/>
        <v>312197.30730315862</v>
      </c>
      <c r="I38" s="8">
        <f t="shared" si="5"/>
        <v>213276.66686567166</v>
      </c>
      <c r="J38" s="8">
        <f>VPI!R38</f>
        <v>117932.28119402986</v>
      </c>
      <c r="K38" s="174">
        <f t="shared" si="6"/>
        <v>146334.18712073105</v>
      </c>
      <c r="L38" s="266">
        <f t="shared" si="7"/>
        <v>359610.85398640274</v>
      </c>
      <c r="M38" s="102"/>
      <c r="N38" s="103"/>
      <c r="O38" s="100"/>
      <c r="P38" s="100"/>
      <c r="Q38" s="104"/>
    </row>
    <row r="39" spans="1:17" s="99" customFormat="1" x14ac:dyDescent="0.25">
      <c r="A39" s="137">
        <f>Données!A39</f>
        <v>5471</v>
      </c>
      <c r="B39" s="276" t="str">
        <f>Données!B39</f>
        <v>Bettens</v>
      </c>
      <c r="C39" s="137">
        <f>Données!AR39</f>
        <v>0</v>
      </c>
      <c r="D39" s="277">
        <f>Données!Z39</f>
        <v>650</v>
      </c>
      <c r="E39" s="101">
        <f>Données!X39</f>
        <v>70</v>
      </c>
      <c r="F39" s="31">
        <f>VPI!L39</f>
        <v>1447027.95</v>
      </c>
      <c r="G39" s="8">
        <f t="shared" si="3"/>
        <v>41343.655714285713</v>
      </c>
      <c r="H39" s="26">
        <f t="shared" si="4"/>
        <v>57324.364335325743</v>
      </c>
      <c r="I39" s="8">
        <f t="shared" si="5"/>
        <v>41343.655714285713</v>
      </c>
      <c r="J39" s="8">
        <f>VPI!R39</f>
        <v>22692.008412698411</v>
      </c>
      <c r="K39" s="174">
        <f t="shared" si="6"/>
        <v>28156.97764504121</v>
      </c>
      <c r="L39" s="266">
        <f t="shared" si="7"/>
        <v>69500.633359326923</v>
      </c>
      <c r="M39" s="102"/>
      <c r="N39" s="103"/>
      <c r="O39" s="100"/>
      <c r="P39" s="100"/>
      <c r="Q39" s="104"/>
    </row>
    <row r="40" spans="1:17" s="99" customFormat="1" x14ac:dyDescent="0.25">
      <c r="A40" s="137">
        <f>Données!A40</f>
        <v>5472</v>
      </c>
      <c r="B40" s="276" t="str">
        <f>Données!B40</f>
        <v>Bournens</v>
      </c>
      <c r="C40" s="137">
        <f>Données!AR40</f>
        <v>0</v>
      </c>
      <c r="D40" s="277">
        <f>Données!Z40</f>
        <v>514</v>
      </c>
      <c r="E40" s="101">
        <f>Données!X40</f>
        <v>68</v>
      </c>
      <c r="F40" s="31">
        <f>VPI!L40</f>
        <v>1241858.58</v>
      </c>
      <c r="G40" s="8">
        <f t="shared" si="3"/>
        <v>36525.252352941177</v>
      </c>
      <c r="H40" s="26">
        <f t="shared" si="4"/>
        <v>45330.343489780666</v>
      </c>
      <c r="I40" s="8">
        <f t="shared" si="5"/>
        <v>36525.252352941177</v>
      </c>
      <c r="J40" s="8">
        <f>VPI!R40</f>
        <v>19974.815147058827</v>
      </c>
      <c r="K40" s="174">
        <f t="shared" si="6"/>
        <v>24785.396397298653</v>
      </c>
      <c r="L40" s="266">
        <f t="shared" si="7"/>
        <v>61310.64875023983</v>
      </c>
      <c r="M40" s="102"/>
      <c r="N40" s="103"/>
      <c r="O40" s="100"/>
      <c r="P40" s="100"/>
      <c r="Q40" s="104"/>
    </row>
    <row r="41" spans="1:17" s="99" customFormat="1" x14ac:dyDescent="0.25">
      <c r="A41" s="137">
        <f>Données!A41</f>
        <v>5473</v>
      </c>
      <c r="B41" s="276" t="str">
        <f>Données!B41</f>
        <v>Boussens</v>
      </c>
      <c r="C41" s="137">
        <f>Données!AR41</f>
        <v>0</v>
      </c>
      <c r="D41" s="277">
        <f>Données!Z41</f>
        <v>1009</v>
      </c>
      <c r="E41" s="101">
        <f>Données!X41</f>
        <v>66</v>
      </c>
      <c r="F41" s="31">
        <f>VPI!L41</f>
        <v>2440322.84</v>
      </c>
      <c r="G41" s="8">
        <f t="shared" si="3"/>
        <v>73949.176969696971</v>
      </c>
      <c r="H41" s="26">
        <f t="shared" si="4"/>
        <v>88985.051714374888</v>
      </c>
      <c r="I41" s="8">
        <f t="shared" si="5"/>
        <v>73949.176969696971</v>
      </c>
      <c r="J41" s="8">
        <f>VPI!R41</f>
        <v>40042.684696969693</v>
      </c>
      <c r="K41" s="174">
        <f t="shared" si="6"/>
        <v>49686.257705998061</v>
      </c>
      <c r="L41" s="266">
        <f t="shared" si="7"/>
        <v>123635.43467569503</v>
      </c>
      <c r="M41" s="102"/>
      <c r="N41" s="103"/>
      <c r="O41" s="100"/>
      <c r="P41" s="100"/>
      <c r="Q41" s="104"/>
    </row>
    <row r="42" spans="1:17" s="99" customFormat="1" x14ac:dyDescent="0.25">
      <c r="A42" s="137">
        <f>Données!A42</f>
        <v>5474</v>
      </c>
      <c r="B42" s="276" t="str">
        <f>Données!B42</f>
        <v>La Chaux (Cossonay)</v>
      </c>
      <c r="C42" s="137">
        <f>Données!AR42</f>
        <v>0</v>
      </c>
      <c r="D42" s="277">
        <f>Données!Z42</f>
        <v>412</v>
      </c>
      <c r="E42" s="101">
        <f>Données!X42</f>
        <v>76</v>
      </c>
      <c r="F42" s="31">
        <f>VPI!L42</f>
        <v>978938.80999999994</v>
      </c>
      <c r="G42" s="8">
        <f t="shared" si="3"/>
        <v>25761.547631578946</v>
      </c>
      <c r="H42" s="26">
        <f t="shared" si="4"/>
        <v>36334.827855621857</v>
      </c>
      <c r="I42" s="8">
        <f t="shared" si="5"/>
        <v>25761.547631578946</v>
      </c>
      <c r="J42" s="8">
        <f>VPI!R42</f>
        <v>13862.371951754385</v>
      </c>
      <c r="K42" s="174">
        <f t="shared" si="6"/>
        <v>17200.879272297938</v>
      </c>
      <c r="L42" s="266">
        <f t="shared" si="7"/>
        <v>42962.426903876883</v>
      </c>
      <c r="M42" s="102"/>
      <c r="N42" s="103"/>
      <c r="O42" s="100"/>
      <c r="P42" s="100"/>
      <c r="Q42" s="104"/>
    </row>
    <row r="43" spans="1:17" s="99" customFormat="1" x14ac:dyDescent="0.25">
      <c r="A43" s="137">
        <f>Données!A43</f>
        <v>5475</v>
      </c>
      <c r="B43" s="276" t="str">
        <f>Données!B43</f>
        <v>Chavannes-le-Veyron</v>
      </c>
      <c r="C43" s="137">
        <f>Données!AR43</f>
        <v>0</v>
      </c>
      <c r="D43" s="277">
        <f>Données!Z43</f>
        <v>163</v>
      </c>
      <c r="E43" s="101">
        <f>Données!X43</f>
        <v>75</v>
      </c>
      <c r="F43" s="31">
        <f>VPI!L43</f>
        <v>296660.86000000004</v>
      </c>
      <c r="G43" s="8">
        <f t="shared" si="3"/>
        <v>7910.9562666666679</v>
      </c>
      <c r="H43" s="26">
        <f t="shared" si="4"/>
        <v>14375.186748704762</v>
      </c>
      <c r="I43" s="8">
        <f t="shared" si="5"/>
        <v>7910.9562666666679</v>
      </c>
      <c r="J43" s="8">
        <f>VPI!R43</f>
        <v>4297.1488000000008</v>
      </c>
      <c r="K43" s="174">
        <f t="shared" si="6"/>
        <v>5332.0411529244466</v>
      </c>
      <c r="L43" s="266">
        <f t="shared" si="7"/>
        <v>13242.997419591115</v>
      </c>
      <c r="M43" s="102"/>
      <c r="N43" s="103"/>
      <c r="O43" s="100"/>
      <c r="P43" s="100"/>
      <c r="Q43" s="104"/>
    </row>
    <row r="44" spans="1:17" s="99" customFormat="1" x14ac:dyDescent="0.25">
      <c r="A44" s="137">
        <f>Données!A44</f>
        <v>5476</v>
      </c>
      <c r="B44" s="276" t="str">
        <f>Données!B44</f>
        <v>Chevilly</v>
      </c>
      <c r="C44" s="137">
        <f>Données!AR44</f>
        <v>0</v>
      </c>
      <c r="D44" s="277">
        <f>Données!Z44</f>
        <v>331</v>
      </c>
      <c r="E44" s="101">
        <f>Données!X44</f>
        <v>72.5</v>
      </c>
      <c r="F44" s="31">
        <f>VPI!L44</f>
        <v>920749.69000000006</v>
      </c>
      <c r="G44" s="8">
        <f t="shared" si="3"/>
        <v>25399.991448275865</v>
      </c>
      <c r="H44" s="26">
        <f t="shared" si="4"/>
        <v>29191.330146142802</v>
      </c>
      <c r="I44" s="8">
        <f t="shared" si="5"/>
        <v>25399.991448275865</v>
      </c>
      <c r="J44" s="8">
        <f>VPI!R44</f>
        <v>13558.448137931036</v>
      </c>
      <c r="K44" s="174">
        <f t="shared" si="6"/>
        <v>16823.760778598149</v>
      </c>
      <c r="L44" s="266">
        <f t="shared" si="7"/>
        <v>42223.752226874014</v>
      </c>
      <c r="M44" s="102"/>
      <c r="N44" s="103"/>
      <c r="O44" s="100"/>
      <c r="P44" s="100"/>
      <c r="Q44" s="104"/>
    </row>
    <row r="45" spans="1:17" s="99" customFormat="1" x14ac:dyDescent="0.25">
      <c r="A45" s="137">
        <f>Données!A45</f>
        <v>5477</v>
      </c>
      <c r="B45" s="276" t="str">
        <f>Données!B45</f>
        <v>Cossonay</v>
      </c>
      <c r="C45" s="137">
        <f>Données!AR45</f>
        <v>0</v>
      </c>
      <c r="D45" s="277">
        <f>Données!Z45</f>
        <v>4389</v>
      </c>
      <c r="E45" s="101">
        <f>Données!X45</f>
        <v>68</v>
      </c>
      <c r="F45" s="31">
        <f>VPI!L45</f>
        <v>9497775.2999999989</v>
      </c>
      <c r="G45" s="8">
        <f t="shared" si="3"/>
        <v>279346.33235294116</v>
      </c>
      <c r="H45" s="26">
        <f t="shared" si="4"/>
        <v>387071.74625806871</v>
      </c>
      <c r="I45" s="8">
        <f t="shared" si="5"/>
        <v>279346.33235294116</v>
      </c>
      <c r="J45" s="8">
        <f>VPI!R45</f>
        <v>151484.78088235293</v>
      </c>
      <c r="K45" s="174">
        <f t="shared" si="6"/>
        <v>187967.21344777453</v>
      </c>
      <c r="L45" s="266">
        <f t="shared" si="7"/>
        <v>467313.54580071568</v>
      </c>
      <c r="M45" s="102"/>
      <c r="N45" s="103"/>
      <c r="O45" s="100"/>
      <c r="P45" s="100"/>
      <c r="Q45" s="104"/>
    </row>
    <row r="46" spans="1:17" s="99" customFormat="1" x14ac:dyDescent="0.25">
      <c r="A46" s="137">
        <f>Données!A46</f>
        <v>5479</v>
      </c>
      <c r="B46" s="276" t="str">
        <f>Données!B46</f>
        <v>Cuarnens</v>
      </c>
      <c r="C46" s="137">
        <f>Données!AR46</f>
        <v>0</v>
      </c>
      <c r="D46" s="277">
        <f>Données!Z46</f>
        <v>545</v>
      </c>
      <c r="E46" s="101">
        <f>Données!X46</f>
        <v>77</v>
      </c>
      <c r="F46" s="31">
        <f>VPI!L46</f>
        <v>1005483.87</v>
      </c>
      <c r="G46" s="8">
        <f t="shared" si="3"/>
        <v>26116.464155844154</v>
      </c>
      <c r="H46" s="26">
        <f t="shared" si="4"/>
        <v>48064.27471192697</v>
      </c>
      <c r="I46" s="8">
        <f t="shared" si="5"/>
        <v>26116.464155844154</v>
      </c>
      <c r="J46" s="8">
        <f>VPI!R46</f>
        <v>14331.03077922078</v>
      </c>
      <c r="K46" s="174">
        <f t="shared" si="6"/>
        <v>17782.406296619771</v>
      </c>
      <c r="L46" s="266">
        <f t="shared" si="7"/>
        <v>43898.870452463925</v>
      </c>
      <c r="M46" s="102"/>
      <c r="N46" s="103"/>
      <c r="O46" s="100"/>
      <c r="P46" s="100"/>
      <c r="Q46" s="104"/>
    </row>
    <row r="47" spans="1:17" s="99" customFormat="1" x14ac:dyDescent="0.25">
      <c r="A47" s="137">
        <f>Données!A47</f>
        <v>5480</v>
      </c>
      <c r="B47" s="276" t="str">
        <f>Données!B47</f>
        <v>Daillens</v>
      </c>
      <c r="C47" s="137">
        <f>Données!AR47</f>
        <v>0</v>
      </c>
      <c r="D47" s="277">
        <f>Données!Z47</f>
        <v>1057</v>
      </c>
      <c r="E47" s="101">
        <f>Données!X47</f>
        <v>66</v>
      </c>
      <c r="F47" s="31">
        <f>VPI!L47</f>
        <v>2476398.44</v>
      </c>
      <c r="G47" s="8">
        <f t="shared" si="3"/>
        <v>75042.376969696968</v>
      </c>
      <c r="H47" s="26">
        <f t="shared" si="4"/>
        <v>93218.235542214316</v>
      </c>
      <c r="I47" s="8">
        <f t="shared" si="5"/>
        <v>75042.376969696968</v>
      </c>
      <c r="J47" s="8">
        <f>VPI!R47</f>
        <v>42741.079141414142</v>
      </c>
      <c r="K47" s="174">
        <f t="shared" si="6"/>
        <v>53034.512768657405</v>
      </c>
      <c r="L47" s="266">
        <f t="shared" si="7"/>
        <v>128076.88973835437</v>
      </c>
      <c r="M47" s="102"/>
      <c r="N47" s="103"/>
      <c r="O47" s="100"/>
      <c r="P47" s="100"/>
      <c r="Q47" s="104"/>
    </row>
    <row r="48" spans="1:17" s="99" customFormat="1" x14ac:dyDescent="0.25">
      <c r="A48" s="137">
        <f>Données!A48</f>
        <v>5481</v>
      </c>
      <c r="B48" s="276" t="str">
        <f>Données!B48</f>
        <v>Dizy</v>
      </c>
      <c r="C48" s="137">
        <f>Données!AR48</f>
        <v>0</v>
      </c>
      <c r="D48" s="277">
        <f>Données!Z48</f>
        <v>232</v>
      </c>
      <c r="E48" s="101">
        <f>Données!X48</f>
        <v>75</v>
      </c>
      <c r="F48" s="31">
        <f>VPI!L48</f>
        <v>602233.02999999991</v>
      </c>
      <c r="G48" s="8">
        <f t="shared" si="3"/>
        <v>16059.547466666665</v>
      </c>
      <c r="H48" s="26">
        <f t="shared" si="4"/>
        <v>20460.388501223955</v>
      </c>
      <c r="I48" s="8">
        <f t="shared" si="5"/>
        <v>16059.547466666665</v>
      </c>
      <c r="J48" s="8">
        <f>VPI!R48</f>
        <v>8551.9890666666652</v>
      </c>
      <c r="K48" s="174">
        <f t="shared" si="6"/>
        <v>10611.584509902608</v>
      </c>
      <c r="L48" s="266">
        <f t="shared" si="7"/>
        <v>26671.131976569275</v>
      </c>
      <c r="M48" s="102"/>
      <c r="N48" s="103"/>
      <c r="O48" s="100"/>
      <c r="P48" s="100"/>
      <c r="Q48" s="104"/>
    </row>
    <row r="49" spans="1:17" s="99" customFormat="1" x14ac:dyDescent="0.25">
      <c r="A49" s="137">
        <f>Données!A49</f>
        <v>5482</v>
      </c>
      <c r="B49" s="276" t="str">
        <f>Données!B49</f>
        <v>Eclépens</v>
      </c>
      <c r="C49" s="137">
        <f>Données!AR49</f>
        <v>0</v>
      </c>
      <c r="D49" s="277">
        <f>Données!Z49</f>
        <v>1199</v>
      </c>
      <c r="E49" s="101">
        <f>Données!X49</f>
        <v>46</v>
      </c>
      <c r="F49" s="31">
        <f>VPI!L49</f>
        <v>1759556.41</v>
      </c>
      <c r="G49" s="8">
        <f t="shared" si="3"/>
        <v>76502.452608695647</v>
      </c>
      <c r="H49" s="26">
        <f t="shared" si="4"/>
        <v>105741.40436623932</v>
      </c>
      <c r="I49" s="8">
        <f t="shared" si="5"/>
        <v>76502.452608695647</v>
      </c>
      <c r="J49" s="8">
        <f>VPI!R49</f>
        <v>48311.561086956521</v>
      </c>
      <c r="K49" s="174">
        <f t="shared" si="6"/>
        <v>59946.546853968714</v>
      </c>
      <c r="L49" s="266">
        <f t="shared" si="7"/>
        <v>136448.99946266436</v>
      </c>
      <c r="M49" s="102"/>
      <c r="N49" s="103"/>
      <c r="O49" s="100"/>
      <c r="P49" s="100"/>
      <c r="Q49" s="104"/>
    </row>
    <row r="50" spans="1:17" s="99" customFormat="1" x14ac:dyDescent="0.25">
      <c r="A50" s="137">
        <f>Données!A50</f>
        <v>5483</v>
      </c>
      <c r="B50" s="276" t="str">
        <f>Données!B50</f>
        <v>Ferreyres</v>
      </c>
      <c r="C50" s="137">
        <f>Données!AR50</f>
        <v>0</v>
      </c>
      <c r="D50" s="277">
        <f>Données!Z50</f>
        <v>308</v>
      </c>
      <c r="E50" s="101">
        <f>Données!X50</f>
        <v>76</v>
      </c>
      <c r="F50" s="31">
        <f>VPI!L50</f>
        <v>721362.63</v>
      </c>
      <c r="G50" s="8">
        <f t="shared" si="3"/>
        <v>18983.227105263159</v>
      </c>
      <c r="H50" s="26">
        <f t="shared" si="4"/>
        <v>27162.929561969737</v>
      </c>
      <c r="I50" s="8">
        <f t="shared" si="5"/>
        <v>18983.227105263159</v>
      </c>
      <c r="J50" s="8">
        <f>VPI!R50</f>
        <v>10284.191184210527</v>
      </c>
      <c r="K50" s="174">
        <f t="shared" si="6"/>
        <v>12760.956897455662</v>
      </c>
      <c r="L50" s="266">
        <f t="shared" si="7"/>
        <v>31744.184002718823</v>
      </c>
      <c r="M50" s="102"/>
      <c r="N50" s="103"/>
      <c r="O50" s="100"/>
      <c r="P50" s="100"/>
      <c r="Q50" s="104"/>
    </row>
    <row r="51" spans="1:17" s="99" customFormat="1" x14ac:dyDescent="0.25">
      <c r="A51" s="137">
        <f>Données!A51</f>
        <v>5484</v>
      </c>
      <c r="B51" s="276" t="str">
        <f>Données!B51</f>
        <v>Gollion</v>
      </c>
      <c r="C51" s="137">
        <f>Données!AR51</f>
        <v>0</v>
      </c>
      <c r="D51" s="277">
        <f>Données!Z51</f>
        <v>1033</v>
      </c>
      <c r="E51" s="101">
        <f>Données!X51</f>
        <v>74</v>
      </c>
      <c r="F51" s="31">
        <f>VPI!L51</f>
        <v>2209391.92</v>
      </c>
      <c r="G51" s="8">
        <f t="shared" si="3"/>
        <v>59713.295135135137</v>
      </c>
      <c r="H51" s="26">
        <f t="shared" si="4"/>
        <v>91101.643628294594</v>
      </c>
      <c r="I51" s="8">
        <f t="shared" si="5"/>
        <v>59713.295135135137</v>
      </c>
      <c r="J51" s="8">
        <f>VPI!R51</f>
        <v>32601.092837837834</v>
      </c>
      <c r="K51" s="174">
        <f t="shared" si="6"/>
        <v>40452.489949070819</v>
      </c>
      <c r="L51" s="266">
        <f t="shared" si="7"/>
        <v>100165.78508420596</v>
      </c>
      <c r="M51" s="102"/>
      <c r="N51" s="103"/>
      <c r="O51" s="100"/>
      <c r="P51" s="100"/>
      <c r="Q51" s="104"/>
    </row>
    <row r="52" spans="1:17" s="99" customFormat="1" x14ac:dyDescent="0.25">
      <c r="A52" s="137">
        <f>Données!A52</f>
        <v>5485</v>
      </c>
      <c r="B52" s="276" t="str">
        <f>Données!B52</f>
        <v>Grancy</v>
      </c>
      <c r="C52" s="137">
        <f>Données!AR52</f>
        <v>0</v>
      </c>
      <c r="D52" s="277">
        <f>Données!Z52</f>
        <v>489</v>
      </c>
      <c r="E52" s="101">
        <f>Données!X52</f>
        <v>70</v>
      </c>
      <c r="F52" s="31">
        <f>VPI!L52</f>
        <v>1235929.03</v>
      </c>
      <c r="G52" s="8">
        <f t="shared" si="3"/>
        <v>35312.258000000002</v>
      </c>
      <c r="H52" s="26">
        <f t="shared" si="4"/>
        <v>43125.560246114292</v>
      </c>
      <c r="I52" s="8">
        <f t="shared" si="5"/>
        <v>35312.258000000002</v>
      </c>
      <c r="J52" s="8">
        <f>VPI!R52</f>
        <v>18961.04185714286</v>
      </c>
      <c r="K52" s="174">
        <f t="shared" si="6"/>
        <v>23527.473725045009</v>
      </c>
      <c r="L52" s="266">
        <f t="shared" si="7"/>
        <v>58839.731725045014</v>
      </c>
      <c r="M52" s="102"/>
      <c r="N52" s="103"/>
      <c r="O52" s="100"/>
      <c r="P52" s="100"/>
      <c r="Q52" s="104"/>
    </row>
    <row r="53" spans="1:17" s="99" customFormat="1" x14ac:dyDescent="0.25">
      <c r="A53" s="137">
        <f>Données!A53</f>
        <v>5486</v>
      </c>
      <c r="B53" s="276" t="str">
        <f>Données!B53</f>
        <v>L'Isle</v>
      </c>
      <c r="C53" s="137">
        <f>Données!AR53</f>
        <v>0</v>
      </c>
      <c r="D53" s="277">
        <f>Données!Z53</f>
        <v>1095</v>
      </c>
      <c r="E53" s="101">
        <f>Données!X53</f>
        <v>75</v>
      </c>
      <c r="F53" s="31">
        <f>VPI!L53</f>
        <v>2391305.4000000004</v>
      </c>
      <c r="G53" s="8">
        <f t="shared" si="3"/>
        <v>63768.144000000008</v>
      </c>
      <c r="H53" s="26">
        <f t="shared" si="4"/>
        <v>96569.506072587217</v>
      </c>
      <c r="I53" s="8">
        <f t="shared" si="5"/>
        <v>63768.144000000008</v>
      </c>
      <c r="J53" s="8">
        <f>VPI!R53</f>
        <v>34755.462666666674</v>
      </c>
      <c r="K53" s="174">
        <f t="shared" si="6"/>
        <v>43125.701680983424</v>
      </c>
      <c r="L53" s="266">
        <f t="shared" si="7"/>
        <v>106893.84568098343</v>
      </c>
      <c r="M53" s="102"/>
      <c r="N53" s="103"/>
      <c r="O53" s="100"/>
      <c r="P53" s="100"/>
      <c r="Q53" s="104"/>
    </row>
    <row r="54" spans="1:17" s="99" customFormat="1" x14ac:dyDescent="0.25">
      <c r="A54" s="137">
        <f>Données!A54</f>
        <v>5487</v>
      </c>
      <c r="B54" s="276" t="str">
        <f>Données!B54</f>
        <v>Lussery-Villars</v>
      </c>
      <c r="C54" s="137">
        <f>Données!AR54</f>
        <v>0</v>
      </c>
      <c r="D54" s="277">
        <f>Données!Z54</f>
        <v>482</v>
      </c>
      <c r="E54" s="101">
        <f>Données!X54</f>
        <v>75</v>
      </c>
      <c r="F54" s="31">
        <f>VPI!L54</f>
        <v>819544.77</v>
      </c>
      <c r="G54" s="8">
        <f t="shared" si="3"/>
        <v>21854.5272</v>
      </c>
      <c r="H54" s="26">
        <f t="shared" si="4"/>
        <v>42508.220937887701</v>
      </c>
      <c r="I54" s="8">
        <f t="shared" si="5"/>
        <v>21854.5272</v>
      </c>
      <c r="J54" s="8">
        <f>VPI!R54</f>
        <v>12042.578266666667</v>
      </c>
      <c r="K54" s="174">
        <f t="shared" si="6"/>
        <v>14942.820436001706</v>
      </c>
      <c r="L54" s="266">
        <f t="shared" si="7"/>
        <v>36797.347636001708</v>
      </c>
      <c r="M54" s="102"/>
      <c r="N54" s="103"/>
      <c r="O54" s="100"/>
      <c r="P54" s="100"/>
      <c r="Q54" s="104"/>
    </row>
    <row r="55" spans="1:17" s="99" customFormat="1" x14ac:dyDescent="0.25">
      <c r="A55" s="137">
        <f>Données!A55</f>
        <v>5488</v>
      </c>
      <c r="B55" s="276" t="str">
        <f>Données!B55</f>
        <v>Mauraz</v>
      </c>
      <c r="C55" s="137">
        <f>Données!AR55</f>
        <v>0</v>
      </c>
      <c r="D55" s="277">
        <f>Données!Z55</f>
        <v>65</v>
      </c>
      <c r="E55" s="101">
        <f>Données!X55</f>
        <v>77</v>
      </c>
      <c r="F55" s="31">
        <f>VPI!L55</f>
        <v>155146.6</v>
      </c>
      <c r="G55" s="8">
        <f t="shared" si="3"/>
        <v>4029.7818181818184</v>
      </c>
      <c r="H55" s="26">
        <f t="shared" si="4"/>
        <v>5732.4364335325745</v>
      </c>
      <c r="I55" s="8">
        <f t="shared" si="5"/>
        <v>4029.7818181818184</v>
      </c>
      <c r="J55" s="8">
        <f>VPI!R55</f>
        <v>2131.605194805195</v>
      </c>
      <c r="K55" s="174">
        <f t="shared" si="6"/>
        <v>2644.9646380615977</v>
      </c>
      <c r="L55" s="266">
        <f t="shared" si="7"/>
        <v>6674.7464562434161</v>
      </c>
      <c r="M55" s="102"/>
      <c r="N55" s="103"/>
      <c r="O55" s="100"/>
      <c r="P55" s="100"/>
      <c r="Q55" s="104"/>
    </row>
    <row r="56" spans="1:17" s="99" customFormat="1" x14ac:dyDescent="0.25">
      <c r="A56" s="137">
        <f>Données!A56</f>
        <v>5489</v>
      </c>
      <c r="B56" s="276" t="str">
        <f>Données!B56</f>
        <v>Mex</v>
      </c>
      <c r="C56" s="137">
        <f>Données!AR56</f>
        <v>0</v>
      </c>
      <c r="D56" s="277">
        <f>Données!Z56</f>
        <v>817</v>
      </c>
      <c r="E56" s="101">
        <f>Données!X56</f>
        <v>59.5</v>
      </c>
      <c r="F56" s="31">
        <f>VPI!L56</f>
        <v>3276898.43</v>
      </c>
      <c r="G56" s="8">
        <f t="shared" si="3"/>
        <v>110147.84638655462</v>
      </c>
      <c r="H56" s="26">
        <f t="shared" si="4"/>
        <v>72052.316403017117</v>
      </c>
      <c r="I56" s="8">
        <f t="shared" si="5"/>
        <v>72052.316403017117</v>
      </c>
      <c r="J56" s="8">
        <f>VPI!R56</f>
        <v>60289.963529411769</v>
      </c>
      <c r="K56" s="174">
        <f t="shared" si="6"/>
        <v>74809.735852558209</v>
      </c>
      <c r="L56" s="266">
        <f t="shared" si="7"/>
        <v>146862.05225557531</v>
      </c>
      <c r="M56" s="102"/>
      <c r="N56" s="103"/>
      <c r="O56" s="100"/>
      <c r="P56" s="100"/>
      <c r="Q56" s="104"/>
    </row>
    <row r="57" spans="1:17" s="99" customFormat="1" x14ac:dyDescent="0.25">
      <c r="A57" s="137">
        <f>Données!A57</f>
        <v>5490</v>
      </c>
      <c r="B57" s="276" t="str">
        <f>Données!B57</f>
        <v>Moiry</v>
      </c>
      <c r="C57" s="137">
        <f>Données!AR57</f>
        <v>0</v>
      </c>
      <c r="D57" s="277">
        <f>Données!Z57</f>
        <v>296</v>
      </c>
      <c r="E57" s="101">
        <f>Données!X57</f>
        <v>77</v>
      </c>
      <c r="F57" s="31">
        <f>VPI!L57</f>
        <v>603536.40000000014</v>
      </c>
      <c r="G57" s="8">
        <f t="shared" si="3"/>
        <v>15676.270129870134</v>
      </c>
      <c r="H57" s="26">
        <f t="shared" si="4"/>
        <v>26104.633605009876</v>
      </c>
      <c r="I57" s="8">
        <f t="shared" si="5"/>
        <v>15676.270129870134</v>
      </c>
      <c r="J57" s="8">
        <f>VPI!R57</f>
        <v>8460.9402597402623</v>
      </c>
      <c r="K57" s="174">
        <f t="shared" si="6"/>
        <v>10498.60820676499</v>
      </c>
      <c r="L57" s="266">
        <f t="shared" si="7"/>
        <v>26174.878336635124</v>
      </c>
      <c r="M57" s="102"/>
      <c r="N57" s="103"/>
      <c r="O57" s="100"/>
      <c r="P57" s="100"/>
      <c r="Q57" s="104"/>
    </row>
    <row r="58" spans="1:17" s="99" customFormat="1" x14ac:dyDescent="0.25">
      <c r="A58" s="137">
        <f>Données!A58</f>
        <v>5491</v>
      </c>
      <c r="B58" s="276" t="str">
        <f>Données!B58</f>
        <v>Mont-la-Ville</v>
      </c>
      <c r="C58" s="137">
        <f>Données!AR58</f>
        <v>0</v>
      </c>
      <c r="D58" s="277">
        <f>Données!Z58</f>
        <v>502</v>
      </c>
      <c r="E58" s="101">
        <f>Données!X58</f>
        <v>76</v>
      </c>
      <c r="F58" s="31">
        <f>VPI!L58</f>
        <v>955838.00000000012</v>
      </c>
      <c r="G58" s="8">
        <f t="shared" si="3"/>
        <v>25153.63157894737</v>
      </c>
      <c r="H58" s="26">
        <f t="shared" si="4"/>
        <v>44272.047532820805</v>
      </c>
      <c r="I58" s="8">
        <f t="shared" si="5"/>
        <v>25153.63157894737</v>
      </c>
      <c r="J58" s="8">
        <f>VPI!R58</f>
        <v>13841.869078947369</v>
      </c>
      <c r="K58" s="174">
        <f t="shared" si="6"/>
        <v>17175.438644884667</v>
      </c>
      <c r="L58" s="266">
        <f t="shared" si="7"/>
        <v>42329.070223832037</v>
      </c>
      <c r="M58" s="102"/>
      <c r="N58" s="103"/>
      <c r="O58" s="100"/>
      <c r="P58" s="100"/>
      <c r="Q58" s="104"/>
    </row>
    <row r="59" spans="1:17" s="99" customFormat="1" x14ac:dyDescent="0.25">
      <c r="A59" s="137">
        <f>Données!A59</f>
        <v>5492</v>
      </c>
      <c r="B59" s="276" t="str">
        <f>Données!B59</f>
        <v>Montricher</v>
      </c>
      <c r="C59" s="137">
        <f>Données!AR59</f>
        <v>0</v>
      </c>
      <c r="D59" s="277">
        <f>Données!Z59</f>
        <v>978</v>
      </c>
      <c r="E59" s="101">
        <f>Données!X59</f>
        <v>64</v>
      </c>
      <c r="F59" s="31">
        <f>VPI!L59</f>
        <v>9339551.9799999986</v>
      </c>
      <c r="G59" s="8">
        <f t="shared" si="3"/>
        <v>291860.99937499996</v>
      </c>
      <c r="H59" s="26">
        <f t="shared" si="4"/>
        <v>86251.120492228583</v>
      </c>
      <c r="I59" s="8">
        <f t="shared" si="5"/>
        <v>86251.120492228583</v>
      </c>
      <c r="J59" s="8">
        <f>VPI!R59</f>
        <v>149906.53015624997</v>
      </c>
      <c r="K59" s="174">
        <f t="shared" si="6"/>
        <v>186008.86892379296</v>
      </c>
      <c r="L59" s="266">
        <f t="shared" si="7"/>
        <v>272259.98941602156</v>
      </c>
      <c r="M59" s="102"/>
      <c r="N59" s="103"/>
      <c r="O59" s="100"/>
      <c r="P59" s="100"/>
      <c r="Q59" s="104"/>
    </row>
    <row r="60" spans="1:17" s="99" customFormat="1" x14ac:dyDescent="0.25">
      <c r="A60" s="137">
        <f>Données!A60</f>
        <v>5493</v>
      </c>
      <c r="B60" s="276" t="str">
        <f>Données!B60</f>
        <v>Orny</v>
      </c>
      <c r="C60" s="137">
        <f>Données!AR60</f>
        <v>0</v>
      </c>
      <c r="D60" s="277">
        <f>Données!Z60</f>
        <v>484</v>
      </c>
      <c r="E60" s="101">
        <f>Données!X60</f>
        <v>73</v>
      </c>
      <c r="F60" s="31">
        <f>VPI!L60</f>
        <v>984895.09000000008</v>
      </c>
      <c r="G60" s="8">
        <f t="shared" si="3"/>
        <v>26983.427123287674</v>
      </c>
      <c r="H60" s="26">
        <f t="shared" si="4"/>
        <v>42684.603597381014</v>
      </c>
      <c r="I60" s="8">
        <f t="shared" si="5"/>
        <v>26983.427123287674</v>
      </c>
      <c r="J60" s="8">
        <f>VPI!R60</f>
        <v>14635.714141201266</v>
      </c>
      <c r="K60" s="174">
        <f t="shared" si="6"/>
        <v>18160.467262228252</v>
      </c>
      <c r="L60" s="266">
        <f t="shared" si="7"/>
        <v>45143.89438551593</v>
      </c>
      <c r="M60" s="102"/>
      <c r="N60" s="103"/>
      <c r="O60" s="100"/>
      <c r="P60" s="100"/>
      <c r="Q60" s="104"/>
    </row>
    <row r="61" spans="1:17" s="99" customFormat="1" x14ac:dyDescent="0.25">
      <c r="A61" s="137">
        <f>Données!A61</f>
        <v>5495</v>
      </c>
      <c r="B61" s="276" t="str">
        <f>Données!B61</f>
        <v>Penthalaz</v>
      </c>
      <c r="C61" s="137">
        <f>Données!AR61</f>
        <v>0</v>
      </c>
      <c r="D61" s="277">
        <f>Données!Z61</f>
        <v>3214</v>
      </c>
      <c r="E61" s="101">
        <f>Données!X61</f>
        <v>74</v>
      </c>
      <c r="F61" s="31">
        <f>VPI!L61</f>
        <v>7034815.9400000004</v>
      </c>
      <c r="G61" s="8">
        <f t="shared" si="3"/>
        <v>190130.16054054056</v>
      </c>
      <c r="H61" s="26">
        <f t="shared" si="4"/>
        <v>283446.93380574911</v>
      </c>
      <c r="I61" s="8">
        <f t="shared" si="5"/>
        <v>190130.16054054056</v>
      </c>
      <c r="J61" s="8">
        <f>VPI!R61</f>
        <v>103053.60797297298</v>
      </c>
      <c r="K61" s="174">
        <f t="shared" si="6"/>
        <v>127872.24837763001</v>
      </c>
      <c r="L61" s="266">
        <f t="shared" si="7"/>
        <v>318002.40891817055</v>
      </c>
      <c r="M61" s="102"/>
      <c r="N61" s="103"/>
      <c r="O61" s="100"/>
      <c r="P61" s="100"/>
      <c r="Q61" s="104"/>
    </row>
    <row r="62" spans="1:17" s="99" customFormat="1" x14ac:dyDescent="0.25">
      <c r="A62" s="137">
        <f>Données!A62</f>
        <v>5496</v>
      </c>
      <c r="B62" s="276" t="str">
        <f>Données!B62</f>
        <v>Penthaz</v>
      </c>
      <c r="C62" s="137">
        <f>Données!AR62</f>
        <v>0</v>
      </c>
      <c r="D62" s="277">
        <f>Données!Z62</f>
        <v>1923</v>
      </c>
      <c r="E62" s="101">
        <f>Données!X62</f>
        <v>69.5</v>
      </c>
      <c r="F62" s="31">
        <f>VPI!L62</f>
        <v>3890392.49</v>
      </c>
      <c r="G62" s="8">
        <f t="shared" si="3"/>
        <v>111953.74071942447</v>
      </c>
      <c r="H62" s="26">
        <f t="shared" si="4"/>
        <v>169591.92710281754</v>
      </c>
      <c r="I62" s="8">
        <f t="shared" si="5"/>
        <v>111953.74071942447</v>
      </c>
      <c r="J62" s="8">
        <f>VPI!R62</f>
        <v>61649.529352517988</v>
      </c>
      <c r="K62" s="174">
        <f t="shared" si="6"/>
        <v>76496.729079069701</v>
      </c>
      <c r="L62" s="266">
        <f t="shared" si="7"/>
        <v>188450.46979849419</v>
      </c>
      <c r="M62" s="102"/>
      <c r="N62" s="103"/>
      <c r="O62" s="100"/>
      <c r="P62" s="100"/>
      <c r="Q62" s="104"/>
    </row>
    <row r="63" spans="1:17" s="99" customFormat="1" x14ac:dyDescent="0.25">
      <c r="A63" s="137">
        <f>Données!A63</f>
        <v>5497</v>
      </c>
      <c r="B63" s="276" t="str">
        <f>Données!B63</f>
        <v>Pompaples</v>
      </c>
      <c r="C63" s="137">
        <f>Données!AR63</f>
        <v>0</v>
      </c>
      <c r="D63" s="277">
        <f>Données!Z63</f>
        <v>860</v>
      </c>
      <c r="E63" s="101">
        <f>Données!X63</f>
        <v>66</v>
      </c>
      <c r="F63" s="31">
        <f>VPI!L63</f>
        <v>1371570.83</v>
      </c>
      <c r="G63" s="8">
        <f t="shared" si="3"/>
        <v>41562.752424242426</v>
      </c>
      <c r="H63" s="26">
        <f t="shared" si="4"/>
        <v>75844.543582123282</v>
      </c>
      <c r="I63" s="8">
        <f t="shared" si="5"/>
        <v>41562.752424242426</v>
      </c>
      <c r="J63" s="8">
        <f>VPI!R63</f>
        <v>22949.555</v>
      </c>
      <c r="K63" s="174">
        <f t="shared" si="6"/>
        <v>28476.549776750337</v>
      </c>
      <c r="L63" s="266">
        <f t="shared" si="7"/>
        <v>70039.302200992766</v>
      </c>
      <c r="M63" s="102"/>
      <c r="N63" s="103"/>
      <c r="O63" s="100"/>
      <c r="P63" s="100"/>
      <c r="Q63" s="104"/>
    </row>
    <row r="64" spans="1:17" s="99" customFormat="1" x14ac:dyDescent="0.25">
      <c r="A64" s="137">
        <f>Données!A64</f>
        <v>5498</v>
      </c>
      <c r="B64" s="276" t="str">
        <f>Données!B64</f>
        <v>La Sarraz</v>
      </c>
      <c r="C64" s="137">
        <f>Données!AR64</f>
        <v>0</v>
      </c>
      <c r="D64" s="277">
        <f>Données!Z64</f>
        <v>2608</v>
      </c>
      <c r="E64" s="101">
        <f>Données!X64</f>
        <v>66</v>
      </c>
      <c r="F64" s="31">
        <f>VPI!L64</f>
        <v>4423390.5900000008</v>
      </c>
      <c r="G64" s="8">
        <f t="shared" si="3"/>
        <v>134042.13909090913</v>
      </c>
      <c r="H64" s="26">
        <f t="shared" si="4"/>
        <v>230002.98797927619</v>
      </c>
      <c r="I64" s="8">
        <f t="shared" si="5"/>
        <v>134042.13909090913</v>
      </c>
      <c r="J64" s="8">
        <f>VPI!R64</f>
        <v>73742.233181818185</v>
      </c>
      <c r="K64" s="174">
        <f t="shared" si="6"/>
        <v>91501.746933688948</v>
      </c>
      <c r="L64" s="266">
        <f t="shared" si="7"/>
        <v>225543.88602459809</v>
      </c>
      <c r="M64" s="102"/>
      <c r="N64" s="103"/>
      <c r="O64" s="100"/>
      <c r="P64" s="100"/>
      <c r="Q64" s="104"/>
    </row>
    <row r="65" spans="1:17" s="99" customFormat="1" x14ac:dyDescent="0.25">
      <c r="A65" s="137">
        <f>Données!A65</f>
        <v>5499</v>
      </c>
      <c r="B65" s="276" t="str">
        <f>Données!B65</f>
        <v>Senarclens</v>
      </c>
      <c r="C65" s="137">
        <f>Données!AR65</f>
        <v>0</v>
      </c>
      <c r="D65" s="277">
        <f>Données!Z65</f>
        <v>496</v>
      </c>
      <c r="E65" s="101">
        <f>Données!X65</f>
        <v>68.5</v>
      </c>
      <c r="F65" s="31">
        <f>VPI!L65</f>
        <v>1300238.72</v>
      </c>
      <c r="G65" s="8">
        <f t="shared" si="3"/>
        <v>37963.174306569344</v>
      </c>
      <c r="H65" s="26">
        <f t="shared" si="4"/>
        <v>43742.899554340875</v>
      </c>
      <c r="I65" s="8">
        <f t="shared" si="5"/>
        <v>37963.174306569344</v>
      </c>
      <c r="J65" s="8">
        <f>VPI!R65</f>
        <v>20490.878394160583</v>
      </c>
      <c r="K65" s="174">
        <f t="shared" si="6"/>
        <v>25425.744358034473</v>
      </c>
      <c r="L65" s="266">
        <f t="shared" si="7"/>
        <v>63388.918664603814</v>
      </c>
      <c r="M65" s="102"/>
      <c r="N65" s="103"/>
      <c r="O65" s="100"/>
      <c r="P65" s="100"/>
      <c r="Q65" s="104"/>
    </row>
    <row r="66" spans="1:17" s="99" customFormat="1" x14ac:dyDescent="0.25">
      <c r="A66" s="137">
        <f>Données!A66</f>
        <v>5501</v>
      </c>
      <c r="B66" s="276" t="str">
        <f>Données!B66</f>
        <v>Sullens</v>
      </c>
      <c r="C66" s="137">
        <f>Données!AR66</f>
        <v>0</v>
      </c>
      <c r="D66" s="277">
        <f>Données!Z66</f>
        <v>1169</v>
      </c>
      <c r="E66" s="101">
        <f>Données!X66</f>
        <v>64</v>
      </c>
      <c r="F66" s="31">
        <f>VPI!L66</f>
        <v>3193173.67</v>
      </c>
      <c r="G66" s="8">
        <f t="shared" si="3"/>
        <v>99786.677187499998</v>
      </c>
      <c r="H66" s="26">
        <f t="shared" si="4"/>
        <v>103095.66447383969</v>
      </c>
      <c r="I66" s="8">
        <f t="shared" si="5"/>
        <v>99786.677187499998</v>
      </c>
      <c r="J66" s="8">
        <f>VPI!R66</f>
        <v>53839.001093749997</v>
      </c>
      <c r="K66" s="174">
        <f t="shared" si="6"/>
        <v>66805.173110183954</v>
      </c>
      <c r="L66" s="266">
        <f t="shared" si="7"/>
        <v>166591.85029768397</v>
      </c>
      <c r="M66" s="102"/>
      <c r="N66" s="103"/>
      <c r="O66" s="100"/>
      <c r="P66" s="100"/>
      <c r="Q66" s="104"/>
    </row>
    <row r="67" spans="1:17" s="99" customFormat="1" x14ac:dyDescent="0.25">
      <c r="A67" s="137">
        <f>Données!A67</f>
        <v>5503</v>
      </c>
      <c r="B67" s="276" t="str">
        <f>Données!B67</f>
        <v>Vufflens-la-Ville</v>
      </c>
      <c r="C67" s="137">
        <f>Données!AR67</f>
        <v>0</v>
      </c>
      <c r="D67" s="277">
        <f>Données!Z67</f>
        <v>1334</v>
      </c>
      <c r="E67" s="101">
        <f>Données!X67</f>
        <v>67</v>
      </c>
      <c r="F67" s="31">
        <f>VPI!L67</f>
        <v>4529829.79</v>
      </c>
      <c r="G67" s="8">
        <f t="shared" si="3"/>
        <v>135218.79970149253</v>
      </c>
      <c r="H67" s="26">
        <f t="shared" si="4"/>
        <v>117647.23388203775</v>
      </c>
      <c r="I67" s="8">
        <f t="shared" si="5"/>
        <v>117647.23388203775</v>
      </c>
      <c r="J67" s="8">
        <f>VPI!R67</f>
        <v>75815.146368159199</v>
      </c>
      <c r="K67" s="174">
        <f t="shared" si="6"/>
        <v>94073.884630202985</v>
      </c>
      <c r="L67" s="266">
        <f t="shared" si="7"/>
        <v>211721.11851224073</v>
      </c>
      <c r="M67" s="102"/>
      <c r="N67" s="103"/>
      <c r="O67" s="100"/>
      <c r="P67" s="100"/>
      <c r="Q67" s="104"/>
    </row>
    <row r="68" spans="1:17" s="99" customFormat="1" x14ac:dyDescent="0.25">
      <c r="A68" s="137">
        <f>Données!A68</f>
        <v>5511</v>
      </c>
      <c r="B68" s="276" t="str">
        <f>Données!B68</f>
        <v>Assens</v>
      </c>
      <c r="C68" s="137">
        <f>Données!AR68</f>
        <v>0</v>
      </c>
      <c r="D68" s="277">
        <f>Données!Z68</f>
        <v>1669</v>
      </c>
      <c r="E68" s="101">
        <f>Données!X68</f>
        <v>70</v>
      </c>
      <c r="F68" s="31">
        <f>VPI!L68</f>
        <v>4685353.6600000011</v>
      </c>
      <c r="G68" s="8">
        <f t="shared" si="3"/>
        <v>133867.24742857146</v>
      </c>
      <c r="H68" s="26">
        <f t="shared" si="4"/>
        <v>147191.32934716716</v>
      </c>
      <c r="I68" s="8">
        <f t="shared" si="5"/>
        <v>133867.24742857146</v>
      </c>
      <c r="J68" s="8">
        <f>VPI!R68</f>
        <v>72829.098714285734</v>
      </c>
      <c r="K68" s="174">
        <f t="shared" si="6"/>
        <v>90368.700165786286</v>
      </c>
      <c r="L68" s="266">
        <f t="shared" si="7"/>
        <v>224235.94759435774</v>
      </c>
      <c r="M68" s="102"/>
      <c r="N68" s="103"/>
      <c r="O68" s="100"/>
      <c r="P68" s="100"/>
      <c r="Q68" s="104"/>
    </row>
    <row r="69" spans="1:17" s="99" customFormat="1" x14ac:dyDescent="0.25">
      <c r="A69" s="137">
        <f>Données!A69</f>
        <v>5512</v>
      </c>
      <c r="B69" s="276" t="str">
        <f>Données!B69</f>
        <v>Bercher</v>
      </c>
      <c r="C69" s="137">
        <f>Données!AR69</f>
        <v>0</v>
      </c>
      <c r="D69" s="277">
        <f>Données!Z69</f>
        <v>1359</v>
      </c>
      <c r="E69" s="101">
        <f>Données!X69</f>
        <v>79</v>
      </c>
      <c r="F69" s="31">
        <f>VPI!L69</f>
        <v>2974219.14</v>
      </c>
      <c r="G69" s="8">
        <f t="shared" si="3"/>
        <v>75296.687088607592</v>
      </c>
      <c r="H69" s="26">
        <f t="shared" si="4"/>
        <v>119852.01712570412</v>
      </c>
      <c r="I69" s="8">
        <f t="shared" si="5"/>
        <v>75296.687088607592</v>
      </c>
      <c r="J69" s="8">
        <f>VPI!R69</f>
        <v>41197.962531645571</v>
      </c>
      <c r="K69" s="174">
        <f t="shared" si="6"/>
        <v>51119.763792069192</v>
      </c>
      <c r="L69" s="266">
        <f t="shared" si="7"/>
        <v>126416.45088067678</v>
      </c>
      <c r="M69" s="102"/>
      <c r="N69" s="103"/>
      <c r="O69" s="100"/>
      <c r="P69" s="100"/>
      <c r="Q69" s="104"/>
    </row>
    <row r="70" spans="1:17" s="99" customFormat="1" x14ac:dyDescent="0.25">
      <c r="A70" s="137">
        <f>Données!A70</f>
        <v>5514</v>
      </c>
      <c r="B70" s="276" t="str">
        <f>Données!B70</f>
        <v>Bottens</v>
      </c>
      <c r="C70" s="137">
        <f>Données!AR70</f>
        <v>0</v>
      </c>
      <c r="D70" s="277">
        <f>Données!Z70</f>
        <v>1356</v>
      </c>
      <c r="E70" s="101">
        <f>Données!X70</f>
        <v>72.5</v>
      </c>
      <c r="F70" s="31">
        <f>VPI!L70</f>
        <v>3060234.3299999996</v>
      </c>
      <c r="G70" s="8">
        <f t="shared" si="3"/>
        <v>84420.257379310337</v>
      </c>
      <c r="H70" s="26">
        <f t="shared" si="4"/>
        <v>119587.44313646416</v>
      </c>
      <c r="I70" s="8">
        <f t="shared" si="5"/>
        <v>84420.257379310337</v>
      </c>
      <c r="J70" s="8">
        <f>VPI!R70</f>
        <v>45711.625241379304</v>
      </c>
      <c r="K70" s="174">
        <f t="shared" si="6"/>
        <v>56720.462403837235</v>
      </c>
      <c r="L70" s="266">
        <f t="shared" si="7"/>
        <v>141140.71978314756</v>
      </c>
      <c r="M70" s="102"/>
      <c r="N70" s="103"/>
      <c r="O70" s="100"/>
      <c r="P70" s="100"/>
      <c r="Q70" s="104"/>
    </row>
    <row r="71" spans="1:17" s="99" customFormat="1" x14ac:dyDescent="0.25">
      <c r="A71" s="137">
        <f>Données!A71</f>
        <v>5515</v>
      </c>
      <c r="B71" s="276" t="str">
        <f>Données!B71</f>
        <v>Bretigny-sur-Morrens</v>
      </c>
      <c r="C71" s="137">
        <f>Données!AR71</f>
        <v>0</v>
      </c>
      <c r="D71" s="277">
        <f>Données!Z71</f>
        <v>878</v>
      </c>
      <c r="E71" s="101">
        <f>Données!X71</f>
        <v>78</v>
      </c>
      <c r="F71" s="31">
        <f>VPI!L71</f>
        <v>2074275.76</v>
      </c>
      <c r="G71" s="8">
        <f t="shared" ref="G71:G134" si="8">F71/E71*2</f>
        <v>53186.557948717949</v>
      </c>
      <c r="H71" s="26">
        <f t="shared" ref="H71:H134" si="9">+$G$306/$D$306*D71</f>
        <v>77431.987517563073</v>
      </c>
      <c r="I71" s="8">
        <f t="shared" ref="I71:I134" si="10">IF(C71=1,0,IF(H71&gt;G71,G71,H71))</f>
        <v>53186.557948717949</v>
      </c>
      <c r="J71" s="8">
        <f>VPI!R71</f>
        <v>29284.807179487179</v>
      </c>
      <c r="K71" s="174">
        <f t="shared" ref="K71:K134" si="11">+$K$5*J71</f>
        <v>36337.535492483505</v>
      </c>
      <c r="L71" s="266">
        <f t="shared" ref="L71:L134" si="12">+K71+I71</f>
        <v>89524.093441201461</v>
      </c>
      <c r="M71" s="102"/>
      <c r="N71" s="103"/>
      <c r="O71" s="100"/>
      <c r="P71" s="100"/>
      <c r="Q71" s="104"/>
    </row>
    <row r="72" spans="1:17" s="99" customFormat="1" x14ac:dyDescent="0.25">
      <c r="A72" s="137">
        <f>Données!A72</f>
        <v>5516</v>
      </c>
      <c r="B72" s="276" t="str">
        <f>Données!B72</f>
        <v>Cugy</v>
      </c>
      <c r="C72" s="137">
        <f>Données!AR72</f>
        <v>0</v>
      </c>
      <c r="D72" s="277">
        <f>Données!Z72</f>
        <v>2697</v>
      </c>
      <c r="E72" s="101">
        <f>Données!X72</f>
        <v>76</v>
      </c>
      <c r="F72" s="31">
        <f>VPI!L72</f>
        <v>7733267.5499999989</v>
      </c>
      <c r="G72" s="8">
        <f t="shared" si="8"/>
        <v>203507.04078947366</v>
      </c>
      <c r="H72" s="26">
        <f t="shared" si="9"/>
        <v>237852.01632672851</v>
      </c>
      <c r="I72" s="8">
        <f t="shared" si="10"/>
        <v>203507.04078947366</v>
      </c>
      <c r="J72" s="8">
        <f>VPI!R72</f>
        <v>110286.19364035087</v>
      </c>
      <c r="K72" s="174">
        <f t="shared" si="11"/>
        <v>136846.67449489885</v>
      </c>
      <c r="L72" s="266">
        <f t="shared" si="12"/>
        <v>340353.71528437251</v>
      </c>
      <c r="M72" s="102"/>
      <c r="N72" s="103"/>
      <c r="O72" s="100"/>
      <c r="P72" s="100"/>
      <c r="Q72" s="104"/>
    </row>
    <row r="73" spans="1:17" s="99" customFormat="1" x14ac:dyDescent="0.25">
      <c r="A73" s="137">
        <f>Données!A73</f>
        <v>5518</v>
      </c>
      <c r="B73" s="276" t="str">
        <f>Données!B73</f>
        <v>Echallens</v>
      </c>
      <c r="C73" s="137">
        <f>Données!AR73</f>
        <v>0</v>
      </c>
      <c r="D73" s="277">
        <f>Données!Z73</f>
        <v>5816</v>
      </c>
      <c r="E73" s="101">
        <f>Données!X73</f>
        <v>72.5</v>
      </c>
      <c r="F73" s="31">
        <f>VPI!L73</f>
        <v>12796543.460000003</v>
      </c>
      <c r="G73" s="8">
        <f t="shared" si="8"/>
        <v>353008.09544827591</v>
      </c>
      <c r="H73" s="26">
        <f t="shared" si="9"/>
        <v>512920.77380654542</v>
      </c>
      <c r="I73" s="8">
        <f t="shared" si="10"/>
        <v>353008.09544827591</v>
      </c>
      <c r="J73" s="8">
        <f>VPI!R73</f>
        <v>193272.16565517243</v>
      </c>
      <c r="K73" s="174">
        <f t="shared" si="11"/>
        <v>239818.35141203628</v>
      </c>
      <c r="L73" s="266">
        <f t="shared" si="12"/>
        <v>592826.44686031225</v>
      </c>
      <c r="M73" s="102"/>
      <c r="N73" s="103"/>
      <c r="O73" s="100"/>
      <c r="P73" s="100"/>
      <c r="Q73" s="104"/>
    </row>
    <row r="74" spans="1:17" s="99" customFormat="1" x14ac:dyDescent="0.25">
      <c r="A74" s="137">
        <f>Données!A74</f>
        <v>5520</v>
      </c>
      <c r="B74" s="276" t="str">
        <f>Données!B74</f>
        <v>Essertines-sur-Yverdon</v>
      </c>
      <c r="C74" s="137">
        <f>Données!AR74</f>
        <v>0</v>
      </c>
      <c r="D74" s="277">
        <f>Données!Z74</f>
        <v>1081</v>
      </c>
      <c r="E74" s="101">
        <f>Données!X74</f>
        <v>74</v>
      </c>
      <c r="F74" s="31">
        <f>VPI!L74</f>
        <v>2119899.54</v>
      </c>
      <c r="G74" s="8">
        <f t="shared" si="8"/>
        <v>57294.582162162165</v>
      </c>
      <c r="H74" s="26">
        <f t="shared" si="9"/>
        <v>95334.827456134037</v>
      </c>
      <c r="I74" s="8">
        <f t="shared" si="10"/>
        <v>57294.582162162165</v>
      </c>
      <c r="J74" s="8">
        <f>VPI!R74</f>
        <v>31421.603918918918</v>
      </c>
      <c r="K74" s="174">
        <f t="shared" si="11"/>
        <v>38988.941966954393</v>
      </c>
      <c r="L74" s="266">
        <f t="shared" si="12"/>
        <v>96283.524129116558</v>
      </c>
      <c r="M74" s="102"/>
      <c r="N74" s="103"/>
      <c r="O74" s="100"/>
      <c r="P74" s="100"/>
      <c r="Q74" s="104"/>
    </row>
    <row r="75" spans="1:17" s="99" customFormat="1" x14ac:dyDescent="0.25">
      <c r="A75" s="137">
        <f>Données!A75</f>
        <v>5521</v>
      </c>
      <c r="B75" s="276" t="str">
        <f>Données!B75</f>
        <v>Etagnières</v>
      </c>
      <c r="C75" s="137">
        <f>Données!AR75</f>
        <v>0</v>
      </c>
      <c r="D75" s="277">
        <f>Données!Z75</f>
        <v>1154</v>
      </c>
      <c r="E75" s="101">
        <f>Données!X75</f>
        <v>73</v>
      </c>
      <c r="F75" s="31">
        <f>VPI!L75</f>
        <v>3146255.2500000005</v>
      </c>
      <c r="G75" s="8">
        <f t="shared" si="8"/>
        <v>86198.77397260275</v>
      </c>
      <c r="H75" s="26">
        <f t="shared" si="9"/>
        <v>101772.79452763985</v>
      </c>
      <c r="I75" s="8">
        <f t="shared" si="10"/>
        <v>86198.77397260275</v>
      </c>
      <c r="J75" s="8">
        <f>VPI!R75</f>
        <v>47186.910273972615</v>
      </c>
      <c r="K75" s="174">
        <f t="shared" si="11"/>
        <v>58551.043766549417</v>
      </c>
      <c r="L75" s="266">
        <f t="shared" si="12"/>
        <v>144749.81773915217</v>
      </c>
      <c r="M75" s="102"/>
      <c r="N75" s="103"/>
      <c r="O75" s="100"/>
      <c r="P75" s="100"/>
      <c r="Q75" s="104"/>
    </row>
    <row r="76" spans="1:17" s="99" customFormat="1" x14ac:dyDescent="0.25">
      <c r="A76" s="137">
        <f>Données!A76</f>
        <v>5522</v>
      </c>
      <c r="B76" s="276" t="str">
        <f>Données!B76</f>
        <v>Fey</v>
      </c>
      <c r="C76" s="137">
        <f>Données!AR76</f>
        <v>0</v>
      </c>
      <c r="D76" s="277">
        <f>Données!Z76</f>
        <v>736</v>
      </c>
      <c r="E76" s="101">
        <f>Données!X76</f>
        <v>75</v>
      </c>
      <c r="F76" s="31">
        <f>VPI!L76</f>
        <v>1664803.68</v>
      </c>
      <c r="G76" s="8">
        <f t="shared" si="8"/>
        <v>44394.764799999997</v>
      </c>
      <c r="H76" s="154">
        <f t="shared" si="9"/>
        <v>64908.818693538073</v>
      </c>
      <c r="I76" s="8">
        <f t="shared" si="10"/>
        <v>44394.764799999997</v>
      </c>
      <c r="J76" s="8">
        <f>VPI!R76</f>
        <v>24171.660400000001</v>
      </c>
      <c r="K76" s="174">
        <f t="shared" si="11"/>
        <v>29992.977666334053</v>
      </c>
      <c r="L76" s="266">
        <f t="shared" si="12"/>
        <v>74387.74246633405</v>
      </c>
      <c r="M76" s="102"/>
      <c r="N76" s="103"/>
      <c r="O76" s="100"/>
      <c r="P76" s="100"/>
      <c r="Q76" s="104"/>
    </row>
    <row r="77" spans="1:17" s="99" customFormat="1" x14ac:dyDescent="0.25">
      <c r="A77" s="137">
        <f>Données!A77</f>
        <v>5523</v>
      </c>
      <c r="B77" s="276" t="str">
        <f>Données!B77</f>
        <v>Froideville</v>
      </c>
      <c r="C77" s="137">
        <f>Données!AR77</f>
        <v>0</v>
      </c>
      <c r="D77" s="277">
        <f>Données!Z77</f>
        <v>2720</v>
      </c>
      <c r="E77" s="101">
        <f>Données!X77</f>
        <v>72</v>
      </c>
      <c r="F77" s="31">
        <f>VPI!L77</f>
        <v>6055190.5699999994</v>
      </c>
      <c r="G77" s="8">
        <f t="shared" si="8"/>
        <v>168199.73805555553</v>
      </c>
      <c r="H77" s="26">
        <f t="shared" si="9"/>
        <v>239880.41691090155</v>
      </c>
      <c r="I77" s="8">
        <f t="shared" si="10"/>
        <v>168199.73805555553</v>
      </c>
      <c r="J77" s="8">
        <f>VPI!R77</f>
        <v>92223.451805555553</v>
      </c>
      <c r="K77" s="174">
        <f t="shared" si="11"/>
        <v>114433.84047859047</v>
      </c>
      <c r="L77" s="266">
        <f t="shared" si="12"/>
        <v>282633.57853414601</v>
      </c>
      <c r="M77" s="102"/>
      <c r="N77" s="103"/>
      <c r="O77" s="100"/>
      <c r="P77" s="100"/>
      <c r="Q77" s="104"/>
    </row>
    <row r="78" spans="1:17" s="99" customFormat="1" x14ac:dyDescent="0.25">
      <c r="A78" s="137">
        <f>Données!A78</f>
        <v>5527</v>
      </c>
      <c r="B78" s="276" t="str">
        <f>Données!B78</f>
        <v>Morrens</v>
      </c>
      <c r="C78" s="137">
        <f>Données!AR78</f>
        <v>0</v>
      </c>
      <c r="D78" s="277">
        <f>Données!Z78</f>
        <v>1172</v>
      </c>
      <c r="E78" s="101">
        <f>Données!X78</f>
        <v>74</v>
      </c>
      <c r="F78" s="31">
        <f>VPI!L78</f>
        <v>2757499.6500000004</v>
      </c>
      <c r="G78" s="8">
        <f t="shared" si="8"/>
        <v>74527.017567567571</v>
      </c>
      <c r="H78" s="26">
        <f t="shared" si="9"/>
        <v>103360.23846307964</v>
      </c>
      <c r="I78" s="8">
        <f t="shared" si="10"/>
        <v>74527.017567567571</v>
      </c>
      <c r="J78" s="8">
        <f>VPI!R78</f>
        <v>40722.210135135138</v>
      </c>
      <c r="K78" s="174">
        <f t="shared" si="11"/>
        <v>50529.434837950575</v>
      </c>
      <c r="L78" s="266">
        <f t="shared" si="12"/>
        <v>125056.45240551815</v>
      </c>
      <c r="M78" s="102"/>
      <c r="N78" s="103"/>
      <c r="O78" s="100"/>
      <c r="P78" s="100"/>
      <c r="Q78" s="104"/>
    </row>
    <row r="79" spans="1:17" s="99" customFormat="1" x14ac:dyDescent="0.25">
      <c r="A79" s="137">
        <f>Données!A79</f>
        <v>5529</v>
      </c>
      <c r="B79" s="276" t="str">
        <f>Données!B79</f>
        <v>Oulens-sous-Echallens</v>
      </c>
      <c r="C79" s="137">
        <f>Données!AR79</f>
        <v>0</v>
      </c>
      <c r="D79" s="277">
        <f>Données!Z79</f>
        <v>606</v>
      </c>
      <c r="E79" s="101">
        <f>Données!X79</f>
        <v>71</v>
      </c>
      <c r="F79" s="31">
        <f>VPI!L79</f>
        <v>1471350.97</v>
      </c>
      <c r="G79" s="8">
        <f t="shared" si="8"/>
        <v>41446.506197183095</v>
      </c>
      <c r="H79" s="26">
        <f t="shared" si="9"/>
        <v>53443.945826472918</v>
      </c>
      <c r="I79" s="8">
        <f t="shared" si="10"/>
        <v>41446.506197183095</v>
      </c>
      <c r="J79" s="8">
        <f>VPI!R79</f>
        <v>22676.673521126762</v>
      </c>
      <c r="K79" s="174">
        <f t="shared" si="11"/>
        <v>28137.949615819678</v>
      </c>
      <c r="L79" s="266">
        <f t="shared" si="12"/>
        <v>69584.455813002773</v>
      </c>
      <c r="M79" s="102"/>
      <c r="N79" s="103"/>
      <c r="O79" s="100"/>
      <c r="P79" s="100"/>
      <c r="Q79" s="104"/>
    </row>
    <row r="80" spans="1:17" s="99" customFormat="1" x14ac:dyDescent="0.25">
      <c r="A80" s="137">
        <f>Données!A80</f>
        <v>5530</v>
      </c>
      <c r="B80" s="276" t="str">
        <f>Données!B80</f>
        <v>Pailly</v>
      </c>
      <c r="C80" s="137">
        <f>Données!AR80</f>
        <v>0</v>
      </c>
      <c r="D80" s="277">
        <f>Données!Z80</f>
        <v>566</v>
      </c>
      <c r="E80" s="101">
        <f>Données!X80</f>
        <v>76</v>
      </c>
      <c r="F80" s="31">
        <f>VPI!L80</f>
        <v>1433339.26</v>
      </c>
      <c r="G80" s="8">
        <f t="shared" si="8"/>
        <v>37719.454210526317</v>
      </c>
      <c r="H80" s="26">
        <f t="shared" si="9"/>
        <v>49916.292636606726</v>
      </c>
      <c r="I80" s="8">
        <f t="shared" si="10"/>
        <v>37719.454210526317</v>
      </c>
      <c r="J80" s="8">
        <f>VPI!R80</f>
        <v>20358.644320175437</v>
      </c>
      <c r="K80" s="174">
        <f t="shared" si="11"/>
        <v>25261.664044057994</v>
      </c>
      <c r="L80" s="266">
        <f t="shared" si="12"/>
        <v>62981.118254584311</v>
      </c>
      <c r="M80" s="102"/>
      <c r="N80" s="103"/>
      <c r="O80" s="100"/>
      <c r="P80" s="100"/>
      <c r="Q80" s="104"/>
    </row>
    <row r="81" spans="1:17" s="99" customFormat="1" x14ac:dyDescent="0.25">
      <c r="A81" s="137">
        <f>Données!A81</f>
        <v>5531</v>
      </c>
      <c r="B81" s="276" t="str">
        <f>Données!B81</f>
        <v>Penthéréaz</v>
      </c>
      <c r="C81" s="137">
        <f>Données!AR81</f>
        <v>0</v>
      </c>
      <c r="D81" s="277">
        <f>Données!Z81</f>
        <v>433</v>
      </c>
      <c r="E81" s="101">
        <f>Données!X81</f>
        <v>74</v>
      </c>
      <c r="F81" s="31">
        <f>VPI!L81</f>
        <v>1195265.0199999998</v>
      </c>
      <c r="G81" s="8">
        <f t="shared" si="8"/>
        <v>32304.459999999995</v>
      </c>
      <c r="H81" s="26">
        <f t="shared" si="9"/>
        <v>38186.845780301606</v>
      </c>
      <c r="I81" s="8">
        <f t="shared" si="10"/>
        <v>32304.459999999995</v>
      </c>
      <c r="J81" s="8">
        <f>VPI!R81</f>
        <v>17299.265810810808</v>
      </c>
      <c r="K81" s="174">
        <f t="shared" si="11"/>
        <v>21465.488283445549</v>
      </c>
      <c r="L81" s="266">
        <f t="shared" si="12"/>
        <v>53769.948283445541</v>
      </c>
      <c r="M81" s="102"/>
      <c r="N81" s="103"/>
      <c r="O81" s="100"/>
      <c r="P81" s="100"/>
      <c r="Q81" s="104"/>
    </row>
    <row r="82" spans="1:17" s="99" customFormat="1" x14ac:dyDescent="0.25">
      <c r="A82" s="137">
        <f>Données!A82</f>
        <v>5533</v>
      </c>
      <c r="B82" s="276" t="str">
        <f>Données!B82</f>
        <v>Poliez-Pittet</v>
      </c>
      <c r="C82" s="137">
        <f>Données!AR82</f>
        <v>0</v>
      </c>
      <c r="D82" s="277">
        <f>Données!Z82</f>
        <v>848</v>
      </c>
      <c r="E82" s="101">
        <f>Données!X82</f>
        <v>73</v>
      </c>
      <c r="F82" s="31">
        <f>VPI!L82</f>
        <v>1874889.16</v>
      </c>
      <c r="G82" s="8">
        <f t="shared" si="8"/>
        <v>51366.82630136986</v>
      </c>
      <c r="H82" s="26">
        <f t="shared" si="9"/>
        <v>74786.247625163422</v>
      </c>
      <c r="I82" s="8">
        <f t="shared" si="10"/>
        <v>51366.82630136986</v>
      </c>
      <c r="J82" s="8">
        <f>VPI!R82</f>
        <v>28011.409726027396</v>
      </c>
      <c r="K82" s="174">
        <f t="shared" si="11"/>
        <v>34757.462764753727</v>
      </c>
      <c r="L82" s="266">
        <f t="shared" si="12"/>
        <v>86124.289066123587</v>
      </c>
      <c r="M82" s="102"/>
      <c r="N82" s="103"/>
      <c r="O82" s="100"/>
      <c r="P82" s="100"/>
      <c r="Q82" s="104"/>
    </row>
    <row r="83" spans="1:17" s="99" customFormat="1" x14ac:dyDescent="0.25">
      <c r="A83" s="137">
        <f>Données!A83</f>
        <v>5534</v>
      </c>
      <c r="B83" s="276" t="str">
        <f>Données!B83</f>
        <v>Rueyres</v>
      </c>
      <c r="C83" s="137">
        <f>Données!AR83</f>
        <v>0</v>
      </c>
      <c r="D83" s="277">
        <f>Données!Z83</f>
        <v>303</v>
      </c>
      <c r="E83" s="101">
        <f>Données!X83</f>
        <v>73</v>
      </c>
      <c r="F83" s="31">
        <f>VPI!L83</f>
        <v>1012751.28</v>
      </c>
      <c r="G83" s="8">
        <f t="shared" si="8"/>
        <v>27746.610410958903</v>
      </c>
      <c r="H83" s="26">
        <f t="shared" si="9"/>
        <v>26721.972913236459</v>
      </c>
      <c r="I83" s="8">
        <f t="shared" si="10"/>
        <v>26721.972913236459</v>
      </c>
      <c r="J83" s="8">
        <f>VPI!R83</f>
        <v>15039.569474885846</v>
      </c>
      <c r="K83" s="174">
        <f t="shared" si="11"/>
        <v>18661.584016443096</v>
      </c>
      <c r="L83" s="266">
        <f t="shared" si="12"/>
        <v>45383.556929679558</v>
      </c>
      <c r="M83" s="102"/>
      <c r="N83" s="103"/>
      <c r="O83" s="100"/>
      <c r="P83" s="100"/>
      <c r="Q83" s="104"/>
    </row>
    <row r="84" spans="1:17" s="99" customFormat="1" x14ac:dyDescent="0.25">
      <c r="A84" s="137">
        <f>Données!A84</f>
        <v>5535</v>
      </c>
      <c r="B84" s="276" t="str">
        <f>Données!B84</f>
        <v>Saint-Barthélemy</v>
      </c>
      <c r="C84" s="137">
        <f>Données!AR84</f>
        <v>0</v>
      </c>
      <c r="D84" s="277">
        <f>Données!Z84</f>
        <v>814</v>
      </c>
      <c r="E84" s="101">
        <f>Données!X84</f>
        <v>75</v>
      </c>
      <c r="F84" s="31">
        <f>VPI!L84</f>
        <v>1761545.8499999999</v>
      </c>
      <c r="G84" s="8">
        <f t="shared" si="8"/>
        <v>46974.555999999997</v>
      </c>
      <c r="H84" s="26">
        <f t="shared" si="9"/>
        <v>71787.74241377716</v>
      </c>
      <c r="I84" s="8">
        <f t="shared" si="10"/>
        <v>46974.555999999997</v>
      </c>
      <c r="J84" s="8">
        <f>VPI!R84</f>
        <v>25492.320666666663</v>
      </c>
      <c r="K84" s="174">
        <f t="shared" si="11"/>
        <v>31631.695620643386</v>
      </c>
      <c r="L84" s="266">
        <f t="shared" si="12"/>
        <v>78606.251620643379</v>
      </c>
      <c r="M84" s="102"/>
      <c r="N84" s="103"/>
      <c r="O84" s="100"/>
      <c r="P84" s="100"/>
      <c r="Q84" s="104"/>
    </row>
    <row r="85" spans="1:17" s="99" customFormat="1" x14ac:dyDescent="0.25">
      <c r="A85" s="137">
        <f>Données!A85</f>
        <v>5537</v>
      </c>
      <c r="B85" s="276" t="str">
        <f>Données!B85</f>
        <v>Villars-le-Terroir</v>
      </c>
      <c r="C85" s="137">
        <f>Données!AR85</f>
        <v>0</v>
      </c>
      <c r="D85" s="277">
        <f>Données!Z85</f>
        <v>1308</v>
      </c>
      <c r="E85" s="101">
        <f>Données!X85</f>
        <v>76</v>
      </c>
      <c r="F85" s="31">
        <f>VPI!L85</f>
        <v>2702406.5</v>
      </c>
      <c r="G85" s="8">
        <f t="shared" si="8"/>
        <v>71115.960526315786</v>
      </c>
      <c r="H85" s="26">
        <f t="shared" si="9"/>
        <v>115354.25930862472</v>
      </c>
      <c r="I85" s="8">
        <f t="shared" si="10"/>
        <v>71115.960526315786</v>
      </c>
      <c r="J85" s="8">
        <f>VPI!R85</f>
        <v>39162.025657894737</v>
      </c>
      <c r="K85" s="174">
        <f t="shared" si="11"/>
        <v>48593.507499618769</v>
      </c>
      <c r="L85" s="266">
        <f t="shared" si="12"/>
        <v>119709.46802593456</v>
      </c>
      <c r="M85" s="102"/>
      <c r="N85" s="103"/>
      <c r="O85" s="100"/>
      <c r="P85" s="100"/>
      <c r="Q85" s="104"/>
    </row>
    <row r="86" spans="1:17" s="99" customFormat="1" x14ac:dyDescent="0.25">
      <c r="A86" s="137">
        <f>Données!A86</f>
        <v>5539</v>
      </c>
      <c r="B86" s="276" t="str">
        <f>Données!B86</f>
        <v>Vuarrens</v>
      </c>
      <c r="C86" s="137">
        <f>Données!AR86</f>
        <v>0</v>
      </c>
      <c r="D86" s="277">
        <f>Données!Z86</f>
        <v>1106</v>
      </c>
      <c r="E86" s="101">
        <f>Données!X86</f>
        <v>73.5</v>
      </c>
      <c r="F86" s="31">
        <f>VPI!L86</f>
        <v>2323823.6799999997</v>
      </c>
      <c r="G86" s="8">
        <f t="shared" si="8"/>
        <v>63233.297414965979</v>
      </c>
      <c r="H86" s="26">
        <f t="shared" si="9"/>
        <v>97539.610699800411</v>
      </c>
      <c r="I86" s="8">
        <f t="shared" si="10"/>
        <v>63233.297414965979</v>
      </c>
      <c r="J86" s="8">
        <f>VPI!R86</f>
        <v>34442.298537414965</v>
      </c>
      <c r="K86" s="174">
        <f t="shared" si="11"/>
        <v>42737.117505171344</v>
      </c>
      <c r="L86" s="266">
        <f t="shared" si="12"/>
        <v>105970.41492013732</v>
      </c>
      <c r="M86" s="102"/>
      <c r="N86" s="103"/>
      <c r="O86" s="100"/>
      <c r="P86" s="100"/>
      <c r="Q86" s="104"/>
    </row>
    <row r="87" spans="1:17" s="99" customFormat="1" x14ac:dyDescent="0.25">
      <c r="A87" s="137">
        <f>Données!A87</f>
        <v>5540</v>
      </c>
      <c r="B87" s="276" t="str">
        <f>Données!B87</f>
        <v>Montilliez</v>
      </c>
      <c r="C87" s="137">
        <f>Données!AR87</f>
        <v>0</v>
      </c>
      <c r="D87" s="277">
        <f>Données!Z87</f>
        <v>1895</v>
      </c>
      <c r="E87" s="101">
        <f>Données!X87</f>
        <v>72.5</v>
      </c>
      <c r="F87" s="31">
        <f>VPI!L87</f>
        <v>4519578.1800000006</v>
      </c>
      <c r="G87" s="8">
        <f t="shared" si="8"/>
        <v>124678.0187586207</v>
      </c>
      <c r="H87" s="26">
        <f t="shared" si="9"/>
        <v>167122.56986991121</v>
      </c>
      <c r="I87" s="8">
        <f t="shared" si="10"/>
        <v>124678.0187586207</v>
      </c>
      <c r="J87" s="8">
        <f>VPI!R87</f>
        <v>67462.536103448278</v>
      </c>
      <c r="K87" s="174">
        <f t="shared" si="11"/>
        <v>83709.695783454692</v>
      </c>
      <c r="L87" s="266">
        <f t="shared" si="12"/>
        <v>208387.71454207541</v>
      </c>
      <c r="M87" s="102"/>
      <c r="N87" s="103"/>
      <c r="O87" s="100"/>
      <c r="P87" s="100"/>
      <c r="Q87" s="104"/>
    </row>
    <row r="88" spans="1:17" s="99" customFormat="1" x14ac:dyDescent="0.25">
      <c r="A88" s="137">
        <f>Données!A88</f>
        <v>5541</v>
      </c>
      <c r="B88" s="276" t="str">
        <f>Données!B88</f>
        <v>Goumoëns</v>
      </c>
      <c r="C88" s="137">
        <f>Données!AR88</f>
        <v>0</v>
      </c>
      <c r="D88" s="277">
        <f>Données!Z88</f>
        <v>1175</v>
      </c>
      <c r="E88" s="101">
        <f>Données!X88</f>
        <v>75.5</v>
      </c>
      <c r="F88" s="31">
        <f>VPI!L88</f>
        <v>2920568.41</v>
      </c>
      <c r="G88" s="8">
        <f t="shared" si="8"/>
        <v>77366.0505960265</v>
      </c>
      <c r="H88" s="26">
        <f t="shared" si="9"/>
        <v>103624.8124523196</v>
      </c>
      <c r="I88" s="8">
        <f t="shared" si="10"/>
        <v>77366.0505960265</v>
      </c>
      <c r="J88" s="8">
        <f>VPI!R88</f>
        <v>41725.831258278151</v>
      </c>
      <c r="K88" s="174">
        <f t="shared" si="11"/>
        <v>51774.760373464451</v>
      </c>
      <c r="L88" s="266">
        <f t="shared" si="12"/>
        <v>129140.81096949095</v>
      </c>
      <c r="M88" s="102"/>
      <c r="N88" s="103"/>
      <c r="O88" s="100"/>
      <c r="P88" s="100"/>
      <c r="Q88" s="104"/>
    </row>
    <row r="89" spans="1:17" s="99" customFormat="1" x14ac:dyDescent="0.25">
      <c r="A89" s="137">
        <f>Données!A89</f>
        <v>5551</v>
      </c>
      <c r="B89" s="276" t="str">
        <f>Données!B89</f>
        <v>Bonvillars</v>
      </c>
      <c r="C89" s="137">
        <f>Données!AR89</f>
        <v>0</v>
      </c>
      <c r="D89" s="277">
        <f>Données!Z89</f>
        <v>501</v>
      </c>
      <c r="E89" s="101">
        <f>Données!X89</f>
        <v>56</v>
      </c>
      <c r="F89" s="31">
        <f>VPI!L89</f>
        <v>910479.70999999985</v>
      </c>
      <c r="G89" s="8">
        <f t="shared" si="8"/>
        <v>32517.132499999996</v>
      </c>
      <c r="H89" s="26">
        <f t="shared" si="9"/>
        <v>44183.856203074145</v>
      </c>
      <c r="I89" s="8">
        <f t="shared" si="10"/>
        <v>32517.132499999996</v>
      </c>
      <c r="J89" s="8">
        <f>VPI!R89</f>
        <v>18574.407321428567</v>
      </c>
      <c r="K89" s="174">
        <f t="shared" si="11"/>
        <v>23047.725093680314</v>
      </c>
      <c r="L89" s="266">
        <f t="shared" si="12"/>
        <v>55564.85759368031</v>
      </c>
      <c r="M89" s="102"/>
      <c r="N89" s="103"/>
      <c r="O89" s="100"/>
      <c r="P89" s="100"/>
      <c r="Q89" s="104"/>
    </row>
    <row r="90" spans="1:17" s="99" customFormat="1" x14ac:dyDescent="0.25">
      <c r="A90" s="137">
        <f>Données!A90</f>
        <v>5552</v>
      </c>
      <c r="B90" s="276" t="str">
        <f>Données!B90</f>
        <v>Bullet</v>
      </c>
      <c r="C90" s="137">
        <f>Données!AR90</f>
        <v>0</v>
      </c>
      <c r="D90" s="277">
        <f>Données!Z90</f>
        <v>651</v>
      </c>
      <c r="E90" s="101">
        <f>Données!X90</f>
        <v>71.5</v>
      </c>
      <c r="F90" s="31">
        <f>VPI!L90</f>
        <v>1223514.4099999999</v>
      </c>
      <c r="G90" s="8">
        <f t="shared" si="8"/>
        <v>34224.179300699296</v>
      </c>
      <c r="H90" s="26">
        <f t="shared" si="9"/>
        <v>57412.555665072396</v>
      </c>
      <c r="I90" s="8">
        <f t="shared" si="10"/>
        <v>34224.179300699296</v>
      </c>
      <c r="J90" s="8">
        <f>VPI!R90</f>
        <v>19038.467972027971</v>
      </c>
      <c r="K90" s="174">
        <f t="shared" si="11"/>
        <v>23623.546551491807</v>
      </c>
      <c r="L90" s="266">
        <f t="shared" si="12"/>
        <v>57847.725852191099</v>
      </c>
      <c r="M90" s="102"/>
      <c r="N90" s="103"/>
      <c r="O90" s="100"/>
      <c r="P90" s="100"/>
      <c r="Q90" s="104"/>
    </row>
    <row r="91" spans="1:17" s="99" customFormat="1" x14ac:dyDescent="0.25">
      <c r="A91" s="137">
        <f>Données!A91</f>
        <v>5553</v>
      </c>
      <c r="B91" s="276" t="str">
        <f>Données!B91</f>
        <v>Champagne</v>
      </c>
      <c r="C91" s="137">
        <f>Données!AR91</f>
        <v>0</v>
      </c>
      <c r="D91" s="277">
        <f>Données!Z91</f>
        <v>1077</v>
      </c>
      <c r="E91" s="101">
        <f>Données!X91</f>
        <v>65</v>
      </c>
      <c r="F91" s="31">
        <f>VPI!L91</f>
        <v>2226954.73</v>
      </c>
      <c r="G91" s="8">
        <f t="shared" si="8"/>
        <v>68521.683999999994</v>
      </c>
      <c r="H91" s="26">
        <f t="shared" si="9"/>
        <v>94982.062137147426</v>
      </c>
      <c r="I91" s="8">
        <f t="shared" si="10"/>
        <v>68521.683999999994</v>
      </c>
      <c r="J91" s="8">
        <f>VPI!R91</f>
        <v>38261.021999999997</v>
      </c>
      <c r="K91" s="174">
        <f t="shared" si="11"/>
        <v>47475.513032489718</v>
      </c>
      <c r="L91" s="266">
        <f t="shared" si="12"/>
        <v>115997.19703248971</v>
      </c>
      <c r="M91" s="102"/>
      <c r="N91" s="103"/>
      <c r="O91" s="100"/>
      <c r="P91" s="100"/>
      <c r="Q91" s="104"/>
    </row>
    <row r="92" spans="1:17" s="99" customFormat="1" x14ac:dyDescent="0.25">
      <c r="A92" s="137">
        <f>Données!A92</f>
        <v>5554</v>
      </c>
      <c r="B92" s="276" t="str">
        <f>Données!B92</f>
        <v>Concise</v>
      </c>
      <c r="C92" s="137">
        <f>Données!AR92</f>
        <v>0</v>
      </c>
      <c r="D92" s="277">
        <f>Données!Z92</f>
        <v>1002</v>
      </c>
      <c r="E92" s="101">
        <f>Données!X92</f>
        <v>75</v>
      </c>
      <c r="F92" s="31">
        <f>VPI!L92</f>
        <v>2348352.9500000002</v>
      </c>
      <c r="G92" s="8">
        <f t="shared" si="8"/>
        <v>62622.74533333334</v>
      </c>
      <c r="H92" s="26">
        <f t="shared" si="9"/>
        <v>88367.71240614829</v>
      </c>
      <c r="I92" s="8">
        <f t="shared" si="10"/>
        <v>62622.74533333334</v>
      </c>
      <c r="J92" s="8">
        <f>VPI!R92</f>
        <v>33906.908000000003</v>
      </c>
      <c r="K92" s="174">
        <f t="shared" si="11"/>
        <v>42072.787617785805</v>
      </c>
      <c r="L92" s="266">
        <f t="shared" si="12"/>
        <v>104695.53295111915</v>
      </c>
      <c r="M92" s="102"/>
      <c r="N92" s="103"/>
      <c r="O92" s="100"/>
      <c r="P92" s="100"/>
      <c r="Q92" s="104"/>
    </row>
    <row r="93" spans="1:17" s="99" customFormat="1" x14ac:dyDescent="0.25">
      <c r="A93" s="137">
        <f>Données!A93</f>
        <v>5555</v>
      </c>
      <c r="B93" s="276" t="str">
        <f>Données!B93</f>
        <v>Corcelles-près-Concise</v>
      </c>
      <c r="C93" s="137">
        <f>Données!AR93</f>
        <v>0</v>
      </c>
      <c r="D93" s="277">
        <f>Données!Z93</f>
        <v>412</v>
      </c>
      <c r="E93" s="101">
        <f>Données!X93</f>
        <v>69</v>
      </c>
      <c r="F93" s="31">
        <f>VPI!L93</f>
        <v>825483.35</v>
      </c>
      <c r="G93" s="8">
        <f t="shared" si="8"/>
        <v>23927.053623188403</v>
      </c>
      <c r="H93" s="26">
        <f t="shared" si="9"/>
        <v>36334.827855621857</v>
      </c>
      <c r="I93" s="8">
        <f t="shared" si="10"/>
        <v>23927.053623188403</v>
      </c>
      <c r="J93" s="8">
        <f>VPI!R93</f>
        <v>13425.133333333333</v>
      </c>
      <c r="K93" s="174">
        <f t="shared" si="11"/>
        <v>16658.339459138831</v>
      </c>
      <c r="L93" s="266">
        <f t="shared" si="12"/>
        <v>40585.393082327239</v>
      </c>
      <c r="M93" s="102"/>
      <c r="N93" s="103"/>
      <c r="O93" s="100"/>
      <c r="P93" s="100"/>
      <c r="Q93" s="104"/>
    </row>
    <row r="94" spans="1:17" s="99" customFormat="1" x14ac:dyDescent="0.25">
      <c r="A94" s="137">
        <f>Données!A94</f>
        <v>5556</v>
      </c>
      <c r="B94" s="276" t="str">
        <f>Données!B94</f>
        <v>Fiez</v>
      </c>
      <c r="C94" s="137">
        <f>Données!AR94</f>
        <v>0</v>
      </c>
      <c r="D94" s="277">
        <f>Données!Z94</f>
        <v>436</v>
      </c>
      <c r="E94" s="101">
        <f>Données!X94</f>
        <v>69</v>
      </c>
      <c r="F94" s="31">
        <f>VPI!L94</f>
        <v>839705.5</v>
      </c>
      <c r="G94" s="8">
        <f t="shared" si="8"/>
        <v>24339.289855072464</v>
      </c>
      <c r="H94" s="26">
        <f t="shared" si="9"/>
        <v>38451.419769541571</v>
      </c>
      <c r="I94" s="8">
        <f t="shared" si="10"/>
        <v>24339.289855072464</v>
      </c>
      <c r="J94" s="8">
        <f>VPI!R94</f>
        <v>13304.178019323672</v>
      </c>
      <c r="K94" s="174">
        <f t="shared" si="11"/>
        <v>16508.254195169284</v>
      </c>
      <c r="L94" s="266">
        <f t="shared" si="12"/>
        <v>40847.544050241748</v>
      </c>
      <c r="M94" s="102"/>
      <c r="N94" s="103"/>
      <c r="O94" s="100"/>
      <c r="P94" s="100"/>
      <c r="Q94" s="104"/>
    </row>
    <row r="95" spans="1:17" s="99" customFormat="1" x14ac:dyDescent="0.25">
      <c r="A95" s="137">
        <f>Données!A95</f>
        <v>5557</v>
      </c>
      <c r="B95" s="276" t="str">
        <f>Données!B95</f>
        <v>Fontaines-sur-Grandson</v>
      </c>
      <c r="C95" s="137">
        <f>Données!AR95</f>
        <v>0</v>
      </c>
      <c r="D95" s="277">
        <f>Données!Z95</f>
        <v>214</v>
      </c>
      <c r="E95" s="101">
        <f>Données!X95</f>
        <v>69</v>
      </c>
      <c r="F95" s="31">
        <f>VPI!L95</f>
        <v>312799.03999999998</v>
      </c>
      <c r="G95" s="8">
        <f t="shared" si="8"/>
        <v>9066.6388405797097</v>
      </c>
      <c r="H95" s="26">
        <f t="shared" si="9"/>
        <v>18872.944565784168</v>
      </c>
      <c r="I95" s="8">
        <f t="shared" si="10"/>
        <v>9066.6388405797097</v>
      </c>
      <c r="J95" s="8">
        <f>VPI!R95</f>
        <v>5098.6839130434782</v>
      </c>
      <c r="K95" s="174">
        <f t="shared" si="11"/>
        <v>6326.6118338982515</v>
      </c>
      <c r="L95" s="266">
        <f t="shared" si="12"/>
        <v>15393.25067447796</v>
      </c>
      <c r="M95" s="102"/>
      <c r="N95" s="103"/>
      <c r="O95" s="100"/>
      <c r="P95" s="100"/>
      <c r="Q95" s="104"/>
    </row>
    <row r="96" spans="1:17" s="99" customFormat="1" x14ac:dyDescent="0.25">
      <c r="A96" s="137">
        <f>Données!A96</f>
        <v>5559</v>
      </c>
      <c r="B96" s="276" t="str">
        <f>Données!B96</f>
        <v>Giez</v>
      </c>
      <c r="C96" s="137">
        <f>Données!AR96</f>
        <v>0</v>
      </c>
      <c r="D96" s="277">
        <f>Données!Z96</f>
        <v>450</v>
      </c>
      <c r="E96" s="101">
        <f>Données!X96</f>
        <v>66</v>
      </c>
      <c r="F96" s="31">
        <f>VPI!L96</f>
        <v>1291341.1399999999</v>
      </c>
      <c r="G96" s="8">
        <f t="shared" si="8"/>
        <v>39131.549696969691</v>
      </c>
      <c r="H96" s="26">
        <f t="shared" si="9"/>
        <v>39686.098385994745</v>
      </c>
      <c r="I96" s="8">
        <f t="shared" si="10"/>
        <v>39131.549696969691</v>
      </c>
      <c r="J96" s="8">
        <f>VPI!R96</f>
        <v>21009.564242424243</v>
      </c>
      <c r="K96" s="174">
        <f t="shared" si="11"/>
        <v>26069.346527077669</v>
      </c>
      <c r="L96" s="266">
        <f t="shared" si="12"/>
        <v>65200.896224047363</v>
      </c>
      <c r="M96" s="102"/>
      <c r="N96" s="103"/>
      <c r="O96" s="100"/>
      <c r="P96" s="100"/>
      <c r="Q96" s="104"/>
    </row>
    <row r="97" spans="1:17" s="99" customFormat="1" x14ac:dyDescent="0.25">
      <c r="A97" s="137">
        <f>Données!A97</f>
        <v>5560</v>
      </c>
      <c r="B97" s="276" t="str">
        <f>Données!B97</f>
        <v>Grandevent</v>
      </c>
      <c r="C97" s="137">
        <f>Données!AR97</f>
        <v>0</v>
      </c>
      <c r="D97" s="277">
        <f>Données!Z97</f>
        <v>237</v>
      </c>
      <c r="E97" s="101">
        <f>Données!X97</f>
        <v>71</v>
      </c>
      <c r="F97" s="31">
        <f>VPI!L97</f>
        <v>593636.79</v>
      </c>
      <c r="G97" s="8">
        <f t="shared" si="8"/>
        <v>16722.163098591551</v>
      </c>
      <c r="H97" s="26">
        <f t="shared" si="9"/>
        <v>20901.345149957233</v>
      </c>
      <c r="I97" s="8">
        <f t="shared" si="10"/>
        <v>16722.163098591551</v>
      </c>
      <c r="J97" s="8">
        <f>VPI!R97</f>
        <v>8996.1019718309853</v>
      </c>
      <c r="K97" s="174">
        <f t="shared" si="11"/>
        <v>11162.654160290555</v>
      </c>
      <c r="L97" s="266">
        <f t="shared" si="12"/>
        <v>27884.817258882103</v>
      </c>
      <c r="M97" s="102"/>
      <c r="N97" s="103"/>
      <c r="O97" s="100"/>
      <c r="P97" s="100"/>
      <c r="Q97" s="104"/>
    </row>
    <row r="98" spans="1:17" s="99" customFormat="1" x14ac:dyDescent="0.25">
      <c r="A98" s="137">
        <f>Données!A98</f>
        <v>5561</v>
      </c>
      <c r="B98" s="276" t="str">
        <f>Données!B98</f>
        <v>Grandson</v>
      </c>
      <c r="C98" s="137">
        <f>Données!AR98</f>
        <v>0</v>
      </c>
      <c r="D98" s="277">
        <f>Données!Z98</f>
        <v>3358</v>
      </c>
      <c r="E98" s="101">
        <f>Données!X98</f>
        <v>69</v>
      </c>
      <c r="F98" s="31">
        <f>VPI!L98</f>
        <v>8428878.6799999978</v>
      </c>
      <c r="G98" s="8">
        <f t="shared" si="8"/>
        <v>244315.32405797095</v>
      </c>
      <c r="H98" s="26">
        <f t="shared" si="9"/>
        <v>296146.48528926744</v>
      </c>
      <c r="I98" s="8">
        <f t="shared" si="10"/>
        <v>244315.32405797095</v>
      </c>
      <c r="J98" s="8">
        <f>VPI!R98</f>
        <v>132373.10913043478</v>
      </c>
      <c r="K98" s="174">
        <f t="shared" si="11"/>
        <v>164252.83327960086</v>
      </c>
      <c r="L98" s="266">
        <f t="shared" si="12"/>
        <v>408568.15733757184</v>
      </c>
      <c r="M98" s="102"/>
      <c r="N98" s="103"/>
      <c r="O98" s="100"/>
      <c r="P98" s="100"/>
      <c r="Q98" s="104"/>
    </row>
    <row r="99" spans="1:17" s="99" customFormat="1" x14ac:dyDescent="0.25">
      <c r="A99" s="137">
        <f>Données!A99</f>
        <v>5562</v>
      </c>
      <c r="B99" s="276" t="str">
        <f>Données!B99</f>
        <v>Mauborget</v>
      </c>
      <c r="C99" s="137">
        <f>Données!AR99</f>
        <v>0</v>
      </c>
      <c r="D99" s="277">
        <f>Données!Z99</f>
        <v>138</v>
      </c>
      <c r="E99" s="101">
        <f>Données!X99</f>
        <v>70</v>
      </c>
      <c r="F99" s="31">
        <f>VPI!L99</f>
        <v>290236.64999999997</v>
      </c>
      <c r="G99" s="8">
        <f t="shared" si="8"/>
        <v>8292.4757142857125</v>
      </c>
      <c r="H99" s="26">
        <f t="shared" si="9"/>
        <v>12170.403505038388</v>
      </c>
      <c r="I99" s="8">
        <f t="shared" si="10"/>
        <v>8292.4757142857125</v>
      </c>
      <c r="J99" s="8">
        <f>VPI!R99</f>
        <v>4559.8122619047608</v>
      </c>
      <c r="K99" s="174">
        <f t="shared" si="11"/>
        <v>5657.9624680638672</v>
      </c>
      <c r="L99" s="266">
        <f t="shared" si="12"/>
        <v>13950.438182349579</v>
      </c>
      <c r="M99" s="102"/>
      <c r="N99" s="103"/>
      <c r="O99" s="100"/>
      <c r="P99" s="100"/>
      <c r="Q99" s="104"/>
    </row>
    <row r="100" spans="1:17" s="99" customFormat="1" x14ac:dyDescent="0.25">
      <c r="A100" s="137">
        <f>Données!A100</f>
        <v>5563</v>
      </c>
      <c r="B100" s="276" t="str">
        <f>Données!B100</f>
        <v>Mutrux</v>
      </c>
      <c r="C100" s="137">
        <f>Données!AR100</f>
        <v>0</v>
      </c>
      <c r="D100" s="277">
        <f>Données!Z100</f>
        <v>151</v>
      </c>
      <c r="E100" s="101">
        <f>Données!X100</f>
        <v>80</v>
      </c>
      <c r="F100" s="31">
        <f>VPI!L100</f>
        <v>160100.06999999998</v>
      </c>
      <c r="G100" s="8">
        <f t="shared" si="8"/>
        <v>4002.5017499999994</v>
      </c>
      <c r="H100" s="26">
        <f t="shared" si="9"/>
        <v>13316.890791744903</v>
      </c>
      <c r="I100" s="8">
        <f t="shared" si="10"/>
        <v>4002.5017499999994</v>
      </c>
      <c r="J100" s="8">
        <f>VPI!R100</f>
        <v>2282.0827499999996</v>
      </c>
      <c r="K100" s="174">
        <f t="shared" si="11"/>
        <v>2831.682053313813</v>
      </c>
      <c r="L100" s="266">
        <f t="shared" si="12"/>
        <v>6834.1838033138119</v>
      </c>
      <c r="M100" s="102"/>
      <c r="N100" s="103"/>
      <c r="O100" s="100"/>
      <c r="P100" s="100"/>
      <c r="Q100" s="104"/>
    </row>
    <row r="101" spans="1:17" s="99" customFormat="1" x14ac:dyDescent="0.25">
      <c r="A101" s="137">
        <f>Données!A101</f>
        <v>5564</v>
      </c>
      <c r="B101" s="276" t="str">
        <f>Données!B101</f>
        <v>Novalles</v>
      </c>
      <c r="C101" s="137">
        <f>Données!AR101</f>
        <v>0</v>
      </c>
      <c r="D101" s="277">
        <f>Données!Z101</f>
        <v>99</v>
      </c>
      <c r="E101" s="101">
        <f>Données!X101</f>
        <v>76</v>
      </c>
      <c r="F101" s="31">
        <f>VPI!L101</f>
        <v>179446.22000000003</v>
      </c>
      <c r="G101" s="8">
        <f t="shared" si="8"/>
        <v>4722.2689473684222</v>
      </c>
      <c r="H101" s="26">
        <f t="shared" si="9"/>
        <v>8730.9416449188429</v>
      </c>
      <c r="I101" s="8">
        <f t="shared" si="10"/>
        <v>4722.2689473684222</v>
      </c>
      <c r="J101" s="8">
        <f>VPI!R101</f>
        <v>2548.8721381578953</v>
      </c>
      <c r="K101" s="174">
        <f t="shared" si="11"/>
        <v>3162.7229511345804</v>
      </c>
      <c r="L101" s="266">
        <f t="shared" si="12"/>
        <v>7884.9918985030026</v>
      </c>
      <c r="M101" s="102"/>
      <c r="N101" s="103"/>
      <c r="O101" s="100"/>
      <c r="P101" s="100"/>
      <c r="Q101" s="104"/>
    </row>
    <row r="102" spans="1:17" s="99" customFormat="1" x14ac:dyDescent="0.25">
      <c r="A102" s="137">
        <f>Données!A102</f>
        <v>5565</v>
      </c>
      <c r="B102" s="276" t="str">
        <f>Données!B102</f>
        <v>Onnens</v>
      </c>
      <c r="C102" s="137">
        <f>Données!AR102</f>
        <v>0</v>
      </c>
      <c r="D102" s="277">
        <f>Données!Z102</f>
        <v>496</v>
      </c>
      <c r="E102" s="101">
        <f>Données!X102</f>
        <v>63.5</v>
      </c>
      <c r="F102" s="31">
        <f>VPI!L102</f>
        <v>1054386.9300000002</v>
      </c>
      <c r="G102" s="8">
        <f t="shared" si="8"/>
        <v>33209.037165354333</v>
      </c>
      <c r="H102" s="26">
        <f t="shared" si="9"/>
        <v>43742.899554340875</v>
      </c>
      <c r="I102" s="8">
        <f t="shared" si="10"/>
        <v>33209.037165354333</v>
      </c>
      <c r="J102" s="8">
        <f>VPI!R102</f>
        <v>19043.042992125989</v>
      </c>
      <c r="K102" s="174">
        <f t="shared" si="11"/>
        <v>23629.223384334571</v>
      </c>
      <c r="L102" s="266">
        <f t="shared" si="12"/>
        <v>56838.260549688901</v>
      </c>
      <c r="M102" s="102"/>
      <c r="N102" s="103"/>
      <c r="O102" s="100"/>
      <c r="P102" s="100"/>
      <c r="Q102" s="104"/>
    </row>
    <row r="103" spans="1:17" s="99" customFormat="1" x14ac:dyDescent="0.25">
      <c r="A103" s="137">
        <f>Données!A103</f>
        <v>5566</v>
      </c>
      <c r="B103" s="276" t="str">
        <f>Données!B103</f>
        <v>Provence</v>
      </c>
      <c r="C103" s="137">
        <f>Données!AR103</f>
        <v>0</v>
      </c>
      <c r="D103" s="277">
        <f>Données!Z103</f>
        <v>403</v>
      </c>
      <c r="E103" s="101">
        <f>Données!X103</f>
        <v>81</v>
      </c>
      <c r="F103" s="31">
        <f>VPI!L103</f>
        <v>628742.21</v>
      </c>
      <c r="G103" s="8">
        <f t="shared" si="8"/>
        <v>15524.499012345677</v>
      </c>
      <c r="H103" s="26">
        <f t="shared" si="9"/>
        <v>35541.105887901962</v>
      </c>
      <c r="I103" s="8">
        <f t="shared" si="10"/>
        <v>15524.499012345677</v>
      </c>
      <c r="J103" s="8">
        <f>VPI!R103</f>
        <v>8528.7641152263368</v>
      </c>
      <c r="K103" s="174">
        <f t="shared" si="11"/>
        <v>10582.766239319448</v>
      </c>
      <c r="L103" s="266">
        <f t="shared" si="12"/>
        <v>26107.265251665125</v>
      </c>
      <c r="M103" s="102"/>
      <c r="N103" s="103"/>
      <c r="O103" s="100"/>
      <c r="P103" s="100"/>
      <c r="Q103" s="104"/>
    </row>
    <row r="104" spans="1:17" s="99" customFormat="1" x14ac:dyDescent="0.25">
      <c r="A104" s="137">
        <f>Données!A104</f>
        <v>5568</v>
      </c>
      <c r="B104" s="276" t="str">
        <f>Données!B104</f>
        <v>Sainte-Croix</v>
      </c>
      <c r="C104" s="137">
        <f>Données!AR104</f>
        <v>0</v>
      </c>
      <c r="D104" s="277">
        <f>Données!Z104</f>
        <v>4869</v>
      </c>
      <c r="E104" s="101">
        <f>Données!X104</f>
        <v>70</v>
      </c>
      <c r="F104" s="31">
        <f>VPI!L104</f>
        <v>6718195.1199999992</v>
      </c>
      <c r="G104" s="8">
        <f t="shared" si="8"/>
        <v>191948.43199999997</v>
      </c>
      <c r="H104" s="26">
        <f t="shared" si="9"/>
        <v>429403.58453646314</v>
      </c>
      <c r="I104" s="8">
        <f t="shared" si="10"/>
        <v>191948.43199999997</v>
      </c>
      <c r="J104" s="8">
        <f>VPI!R104</f>
        <v>106003.06099999999</v>
      </c>
      <c r="K104" s="174">
        <f t="shared" si="11"/>
        <v>131532.02504599336</v>
      </c>
      <c r="L104" s="266">
        <f t="shared" si="12"/>
        <v>323480.4570459933</v>
      </c>
      <c r="M104" s="102"/>
      <c r="N104" s="103"/>
      <c r="O104" s="100"/>
      <c r="P104" s="100"/>
      <c r="Q104" s="104"/>
    </row>
    <row r="105" spans="1:17" s="99" customFormat="1" x14ac:dyDescent="0.25">
      <c r="A105" s="137">
        <f>Données!A105</f>
        <v>5571</v>
      </c>
      <c r="B105" s="276" t="str">
        <f>Données!B105</f>
        <v>Tévenon</v>
      </c>
      <c r="C105" s="137">
        <f>Données!AR105</f>
        <v>0</v>
      </c>
      <c r="D105" s="277">
        <f>Données!Z105</f>
        <v>867</v>
      </c>
      <c r="E105" s="101">
        <f>Données!X105</f>
        <v>71.5</v>
      </c>
      <c r="F105" s="31">
        <f>VPI!L105</f>
        <v>1672746.78</v>
      </c>
      <c r="G105" s="8">
        <f t="shared" si="8"/>
        <v>46790.119720279719</v>
      </c>
      <c r="H105" s="26">
        <f t="shared" si="9"/>
        <v>76461.88289034988</v>
      </c>
      <c r="I105" s="8">
        <f t="shared" si="10"/>
        <v>46790.119720279719</v>
      </c>
      <c r="J105" s="8">
        <f>VPI!R105</f>
        <v>25906.923962703961</v>
      </c>
      <c r="K105" s="174">
        <f t="shared" si="11"/>
        <v>32146.14879401476</v>
      </c>
      <c r="L105" s="266">
        <f t="shared" si="12"/>
        <v>78936.268514294483</v>
      </c>
      <c r="M105" s="102"/>
      <c r="N105" s="103"/>
      <c r="O105" s="100"/>
      <c r="P105" s="100"/>
      <c r="Q105" s="104"/>
    </row>
    <row r="106" spans="1:17" s="99" customFormat="1" x14ac:dyDescent="0.25">
      <c r="A106" s="137">
        <f>Données!A106</f>
        <v>5581</v>
      </c>
      <c r="B106" s="276" t="str">
        <f>Données!B106</f>
        <v>Belmont-sur-Lausanne</v>
      </c>
      <c r="C106" s="137">
        <f>Données!AR106</f>
        <v>1</v>
      </c>
      <c r="D106" s="277">
        <f>Données!Z106</f>
        <v>3835</v>
      </c>
      <c r="E106" s="101">
        <f>Données!X106</f>
        <v>72</v>
      </c>
      <c r="F106" s="31">
        <f>VPI!L106</f>
        <v>15789230.08</v>
      </c>
      <c r="G106" s="8">
        <f t="shared" si="8"/>
        <v>438589.72444444447</v>
      </c>
      <c r="H106" s="26">
        <f t="shared" si="9"/>
        <v>338213.74957842188</v>
      </c>
      <c r="I106" s="8">
        <f t="shared" si="10"/>
        <v>0</v>
      </c>
      <c r="J106" s="8">
        <f>VPI!R106</f>
        <v>233667.07055555552</v>
      </c>
      <c r="K106" s="174">
        <f t="shared" si="11"/>
        <v>289941.65533330425</v>
      </c>
      <c r="L106" s="266">
        <f t="shared" si="12"/>
        <v>289941.65533330425</v>
      </c>
      <c r="M106" s="102"/>
      <c r="N106" s="103"/>
      <c r="O106" s="100"/>
      <c r="P106" s="100"/>
      <c r="Q106" s="104"/>
    </row>
    <row r="107" spans="1:17" s="99" customFormat="1" x14ac:dyDescent="0.25">
      <c r="A107" s="137">
        <f>Données!A107</f>
        <v>5582</v>
      </c>
      <c r="B107" s="276" t="str">
        <f>Données!B107</f>
        <v>Cheseaux-sur-Lausanne</v>
      </c>
      <c r="C107" s="137">
        <f>Données!AR107</f>
        <v>0</v>
      </c>
      <c r="D107" s="277">
        <f>Données!Z107</f>
        <v>4525</v>
      </c>
      <c r="E107" s="101">
        <f>Données!X107</f>
        <v>73</v>
      </c>
      <c r="F107" s="31">
        <f>VPI!L107</f>
        <v>11321110.039999999</v>
      </c>
      <c r="G107" s="8">
        <f t="shared" si="8"/>
        <v>310167.39835616434</v>
      </c>
      <c r="H107" s="26">
        <f t="shared" si="9"/>
        <v>399065.76710361382</v>
      </c>
      <c r="I107" s="8">
        <f t="shared" si="10"/>
        <v>310167.39835616434</v>
      </c>
      <c r="J107" s="8">
        <f>VPI!R107</f>
        <v>170421.56630136984</v>
      </c>
      <c r="K107" s="174">
        <f t="shared" si="11"/>
        <v>211464.58900021008</v>
      </c>
      <c r="L107" s="266">
        <f t="shared" si="12"/>
        <v>521631.98735637439</v>
      </c>
      <c r="M107" s="102"/>
      <c r="N107" s="103"/>
      <c r="O107" s="100"/>
      <c r="P107" s="100"/>
      <c r="Q107" s="104"/>
    </row>
    <row r="108" spans="1:17" s="99" customFormat="1" x14ac:dyDescent="0.25">
      <c r="A108" s="137">
        <f>Données!A108</f>
        <v>5583</v>
      </c>
      <c r="B108" s="276" t="str">
        <f>Données!B108</f>
        <v>Crissier</v>
      </c>
      <c r="C108" s="137">
        <f>Données!AR108</f>
        <v>1</v>
      </c>
      <c r="D108" s="277">
        <f>Données!Z108</f>
        <v>9161</v>
      </c>
      <c r="E108" s="101">
        <f>Données!X108</f>
        <v>63.5</v>
      </c>
      <c r="F108" s="31">
        <f>VPI!L108</f>
        <v>18661708.960000001</v>
      </c>
      <c r="G108" s="8">
        <f t="shared" si="8"/>
        <v>587770.36094488192</v>
      </c>
      <c r="H108" s="26">
        <f t="shared" si="9"/>
        <v>807920.77180910634</v>
      </c>
      <c r="I108" s="8">
        <f t="shared" si="10"/>
        <v>0</v>
      </c>
      <c r="J108" s="8">
        <f>VPI!R108</f>
        <v>340450.32850393705</v>
      </c>
      <c r="K108" s="174">
        <f t="shared" si="11"/>
        <v>422441.77397572057</v>
      </c>
      <c r="L108" s="266">
        <f t="shared" si="12"/>
        <v>422441.77397572057</v>
      </c>
      <c r="M108" s="102"/>
      <c r="N108" s="103"/>
      <c r="O108" s="100"/>
      <c r="P108" s="100"/>
      <c r="Q108" s="104"/>
    </row>
    <row r="109" spans="1:17" s="99" customFormat="1" x14ac:dyDescent="0.25">
      <c r="A109" s="137">
        <f>Données!A109</f>
        <v>5584</v>
      </c>
      <c r="B109" s="276" t="str">
        <f>Données!B109</f>
        <v>Epalinges</v>
      </c>
      <c r="C109" s="137">
        <f>Données!AR109</f>
        <v>0</v>
      </c>
      <c r="D109" s="277">
        <f>Données!Z109</f>
        <v>9825</v>
      </c>
      <c r="E109" s="101">
        <f>Données!X109</f>
        <v>64.5</v>
      </c>
      <c r="F109" s="31">
        <f>VPI!L109</f>
        <v>28817125.220000003</v>
      </c>
      <c r="G109" s="8">
        <f t="shared" si="8"/>
        <v>893554.27038759703</v>
      </c>
      <c r="H109" s="26">
        <f t="shared" si="9"/>
        <v>866479.8147608852</v>
      </c>
      <c r="I109" s="8">
        <f t="shared" si="10"/>
        <v>866479.8147608852</v>
      </c>
      <c r="J109" s="8">
        <f>VPI!R109</f>
        <v>489743.06325581396</v>
      </c>
      <c r="K109" s="174">
        <f t="shared" si="11"/>
        <v>607689.02571846708</v>
      </c>
      <c r="L109" s="266">
        <f t="shared" si="12"/>
        <v>1474168.8404793523</v>
      </c>
      <c r="M109" s="102"/>
      <c r="N109" s="103"/>
      <c r="O109" s="100"/>
      <c r="P109" s="100"/>
      <c r="Q109" s="104"/>
    </row>
    <row r="110" spans="1:17" s="99" customFormat="1" x14ac:dyDescent="0.25">
      <c r="A110" s="137">
        <f>Données!A110</f>
        <v>5585</v>
      </c>
      <c r="B110" s="276" t="str">
        <f>Données!B110</f>
        <v>Jouxtens-Mézery</v>
      </c>
      <c r="C110" s="137">
        <f>Données!AR110</f>
        <v>0</v>
      </c>
      <c r="D110" s="277">
        <f>Données!Z110</f>
        <v>1468</v>
      </c>
      <c r="E110" s="101">
        <f>Données!X110</f>
        <v>59</v>
      </c>
      <c r="F110" s="31">
        <f>VPI!L110</f>
        <v>11824818.489999996</v>
      </c>
      <c r="G110" s="8">
        <f t="shared" si="8"/>
        <v>400841.30474576261</v>
      </c>
      <c r="H110" s="26">
        <f t="shared" si="9"/>
        <v>129464.87206808952</v>
      </c>
      <c r="I110" s="8">
        <f t="shared" si="10"/>
        <v>129464.87206808952</v>
      </c>
      <c r="J110" s="8">
        <f>VPI!R110</f>
        <v>210572.62440677959</v>
      </c>
      <c r="K110" s="174">
        <f t="shared" si="11"/>
        <v>261285.31993498837</v>
      </c>
      <c r="L110" s="266">
        <f t="shared" si="12"/>
        <v>390750.19200307789</v>
      </c>
      <c r="M110" s="102"/>
      <c r="N110" s="103"/>
      <c r="O110" s="100"/>
      <c r="P110" s="100"/>
      <c r="Q110" s="104"/>
    </row>
    <row r="111" spans="1:17" s="99" customFormat="1" x14ac:dyDescent="0.25">
      <c r="A111" s="137">
        <f>Données!A111</f>
        <v>5586</v>
      </c>
      <c r="B111" s="276" t="str">
        <f>Données!B111</f>
        <v>Lausanne</v>
      </c>
      <c r="C111" s="137">
        <f>Données!AR111</f>
        <v>1</v>
      </c>
      <c r="D111" s="277">
        <f>Données!Z111</f>
        <v>141513</v>
      </c>
      <c r="E111" s="101">
        <f>Données!X111</f>
        <v>78.5</v>
      </c>
      <c r="F111" s="31">
        <f>VPI!L111</f>
        <v>485573589.65999991</v>
      </c>
      <c r="G111" s="8">
        <f t="shared" si="8"/>
        <v>12371301.647388533</v>
      </c>
      <c r="H111" s="26">
        <f t="shared" si="9"/>
        <v>12480219.646438386</v>
      </c>
      <c r="I111" s="8">
        <f t="shared" si="10"/>
        <v>0</v>
      </c>
      <c r="J111" s="8">
        <f>VPI!R111</f>
        <v>6670835.0290021216</v>
      </c>
      <c r="K111" s="174">
        <f t="shared" si="11"/>
        <v>8277387.7644193405</v>
      </c>
      <c r="L111" s="266">
        <f t="shared" si="12"/>
        <v>8277387.7644193405</v>
      </c>
      <c r="M111" s="102"/>
      <c r="N111" s="103"/>
      <c r="O111" s="100"/>
      <c r="P111" s="100"/>
      <c r="Q111" s="104"/>
    </row>
    <row r="112" spans="1:17" s="99" customFormat="1" x14ac:dyDescent="0.25">
      <c r="A112" s="137">
        <f>Données!A112</f>
        <v>5587</v>
      </c>
      <c r="B112" s="276" t="str">
        <f>Données!B112</f>
        <v>Le Mont-sur-Lausanne</v>
      </c>
      <c r="C112" s="137">
        <f>Données!AR112</f>
        <v>0</v>
      </c>
      <c r="D112" s="277">
        <f>Données!Z112</f>
        <v>9297</v>
      </c>
      <c r="E112" s="101">
        <f>Données!X112</f>
        <v>73.5</v>
      </c>
      <c r="F112" s="31">
        <f>VPI!L112</f>
        <v>32381857.139999993</v>
      </c>
      <c r="G112" s="8">
        <f t="shared" si="8"/>
        <v>881138.96979591821</v>
      </c>
      <c r="H112" s="26">
        <f t="shared" si="9"/>
        <v>819914.79265465145</v>
      </c>
      <c r="I112" s="8">
        <f t="shared" si="10"/>
        <v>819914.79265465145</v>
      </c>
      <c r="J112" s="8">
        <f>VPI!R112</f>
        <v>484022.6825170067</v>
      </c>
      <c r="K112" s="174">
        <f t="shared" si="11"/>
        <v>600590.99236441695</v>
      </c>
      <c r="L112" s="266">
        <f t="shared" si="12"/>
        <v>1420505.7850190685</v>
      </c>
      <c r="M112" s="102"/>
      <c r="N112" s="103"/>
      <c r="O112" s="100"/>
      <c r="P112" s="100"/>
      <c r="Q112" s="104"/>
    </row>
    <row r="113" spans="1:17" s="99" customFormat="1" x14ac:dyDescent="0.25">
      <c r="A113" s="137">
        <f>Données!A113</f>
        <v>5588</v>
      </c>
      <c r="B113" s="276" t="str">
        <f>Données!B113</f>
        <v>Paudex</v>
      </c>
      <c r="C113" s="137">
        <f>Données!AR113</f>
        <v>1</v>
      </c>
      <c r="D113" s="277">
        <f>Données!Z113</f>
        <v>1550</v>
      </c>
      <c r="E113" s="101">
        <f>Données!X113</f>
        <v>66.5</v>
      </c>
      <c r="F113" s="31">
        <f>VPI!L113</f>
        <v>8535722.5699999984</v>
      </c>
      <c r="G113" s="8">
        <f t="shared" si="8"/>
        <v>256713.46075187964</v>
      </c>
      <c r="H113" s="26">
        <f t="shared" si="9"/>
        <v>136696.56110731524</v>
      </c>
      <c r="I113" s="8">
        <f t="shared" si="10"/>
        <v>0</v>
      </c>
      <c r="J113" s="8">
        <f>VPI!R113</f>
        <v>137544.82844253487</v>
      </c>
      <c r="K113" s="174">
        <f t="shared" si="11"/>
        <v>170670.06979779911</v>
      </c>
      <c r="L113" s="266">
        <f t="shared" si="12"/>
        <v>170670.06979779911</v>
      </c>
      <c r="M113" s="102"/>
      <c r="N113" s="103"/>
      <c r="O113" s="100"/>
      <c r="P113" s="100"/>
      <c r="Q113" s="104"/>
    </row>
    <row r="114" spans="1:17" s="99" customFormat="1" x14ac:dyDescent="0.25">
      <c r="A114" s="137">
        <f>Données!A114</f>
        <v>5589</v>
      </c>
      <c r="B114" s="276" t="str">
        <f>Données!B114</f>
        <v>Prilly</v>
      </c>
      <c r="C114" s="137">
        <f>Données!AR114</f>
        <v>1</v>
      </c>
      <c r="D114" s="277">
        <f>Données!Z114</f>
        <v>12318</v>
      </c>
      <c r="E114" s="101">
        <f>Données!X114</f>
        <v>72.5</v>
      </c>
      <c r="F114" s="31">
        <f>VPI!L114</f>
        <v>26481351.550000001</v>
      </c>
      <c r="G114" s="8">
        <f t="shared" si="8"/>
        <v>730520.04275862069</v>
      </c>
      <c r="H114" s="26">
        <f t="shared" si="9"/>
        <v>1086340.7998192962</v>
      </c>
      <c r="I114" s="8">
        <f t="shared" si="10"/>
        <v>0</v>
      </c>
      <c r="J114" s="8">
        <f>VPI!R114</f>
        <v>404173.00015915121</v>
      </c>
      <c r="K114" s="174">
        <f t="shared" si="11"/>
        <v>501510.9250462848</v>
      </c>
      <c r="L114" s="266">
        <f t="shared" si="12"/>
        <v>501510.9250462848</v>
      </c>
      <c r="M114" s="102"/>
      <c r="N114" s="103"/>
      <c r="O114" s="100"/>
      <c r="P114" s="100"/>
      <c r="Q114" s="104"/>
    </row>
    <row r="115" spans="1:17" s="99" customFormat="1" x14ac:dyDescent="0.25">
      <c r="A115" s="137">
        <f>Données!A115</f>
        <v>5590</v>
      </c>
      <c r="B115" s="276" t="str">
        <f>Données!B115</f>
        <v>Pully</v>
      </c>
      <c r="C115" s="137">
        <f>Données!AR115</f>
        <v>1</v>
      </c>
      <c r="D115" s="277">
        <f>Données!Z115</f>
        <v>19005</v>
      </c>
      <c r="E115" s="101">
        <f>Données!X115</f>
        <v>61</v>
      </c>
      <c r="F115" s="31">
        <f>VPI!L115</f>
        <v>79304952.420000002</v>
      </c>
      <c r="G115" s="8">
        <f t="shared" si="8"/>
        <v>2600162.3744262294</v>
      </c>
      <c r="H115" s="26">
        <f t="shared" si="9"/>
        <v>1676076.2218351781</v>
      </c>
      <c r="I115" s="8">
        <f t="shared" si="10"/>
        <v>0</v>
      </c>
      <c r="J115" s="8">
        <f>VPI!R115</f>
        <v>1396409.3683606556</v>
      </c>
      <c r="K115" s="174">
        <f t="shared" si="11"/>
        <v>1732709.888572685</v>
      </c>
      <c r="L115" s="266">
        <f t="shared" si="12"/>
        <v>1732709.888572685</v>
      </c>
      <c r="M115" s="102"/>
      <c r="N115" s="103"/>
      <c r="O115" s="100"/>
      <c r="P115" s="100"/>
      <c r="Q115" s="104"/>
    </row>
    <row r="116" spans="1:17" s="99" customFormat="1" x14ac:dyDescent="0.25">
      <c r="A116" s="137">
        <f>Données!A116</f>
        <v>5591</v>
      </c>
      <c r="B116" s="276" t="str">
        <f>Données!B116</f>
        <v>Renens</v>
      </c>
      <c r="C116" s="137">
        <f>Données!AR116</f>
        <v>1</v>
      </c>
      <c r="D116" s="277">
        <f>Données!Z116</f>
        <v>21116</v>
      </c>
      <c r="E116" s="101">
        <f>Données!X116</f>
        <v>77</v>
      </c>
      <c r="F116" s="31">
        <f>VPI!L116</f>
        <v>40735363.659999996</v>
      </c>
      <c r="G116" s="8">
        <f t="shared" si="8"/>
        <v>1058061.3937662337</v>
      </c>
      <c r="H116" s="26">
        <f t="shared" si="9"/>
        <v>1862248.1189303666</v>
      </c>
      <c r="I116" s="8">
        <f t="shared" si="10"/>
        <v>0</v>
      </c>
      <c r="J116" s="8">
        <f>VPI!R116</f>
        <v>592837.71432282007</v>
      </c>
      <c r="K116" s="174">
        <f t="shared" si="11"/>
        <v>735612.20169404952</v>
      </c>
      <c r="L116" s="266">
        <f t="shared" si="12"/>
        <v>735612.20169404952</v>
      </c>
      <c r="M116" s="102"/>
      <c r="N116" s="103"/>
      <c r="O116" s="100"/>
      <c r="P116" s="100"/>
      <c r="Q116" s="104"/>
    </row>
    <row r="117" spans="1:17" s="99" customFormat="1" x14ac:dyDescent="0.25">
      <c r="A117" s="137">
        <f>Données!A117</f>
        <v>5592</v>
      </c>
      <c r="B117" s="276" t="str">
        <f>Données!B117</f>
        <v>Romanel-sur-Lausanne</v>
      </c>
      <c r="C117" s="137">
        <f>Données!AR117</f>
        <v>0</v>
      </c>
      <c r="D117" s="277">
        <f>Données!Z117</f>
        <v>3798</v>
      </c>
      <c r="E117" s="101">
        <f>Données!X117</f>
        <v>70.5</v>
      </c>
      <c r="F117" s="31">
        <f>VPI!L117</f>
        <v>7031091.2699999996</v>
      </c>
      <c r="G117" s="8">
        <f t="shared" si="8"/>
        <v>199463.58212765955</v>
      </c>
      <c r="H117" s="26">
        <f t="shared" si="9"/>
        <v>334950.67037779564</v>
      </c>
      <c r="I117" s="8">
        <f t="shared" si="10"/>
        <v>199463.58212765955</v>
      </c>
      <c r="J117" s="8">
        <f>VPI!R117</f>
        <v>113600.3384397163</v>
      </c>
      <c r="K117" s="174">
        <f t="shared" si="11"/>
        <v>140958.97250444576</v>
      </c>
      <c r="L117" s="266">
        <f t="shared" si="12"/>
        <v>340422.55463210528</v>
      </c>
      <c r="M117" s="102"/>
      <c r="N117" s="103"/>
      <c r="O117" s="100"/>
      <c r="P117" s="100"/>
      <c r="Q117" s="104"/>
    </row>
    <row r="118" spans="1:17" s="99" customFormat="1" x14ac:dyDescent="0.25">
      <c r="A118" s="137">
        <f>Données!A118</f>
        <v>5601</v>
      </c>
      <c r="B118" s="276" t="str">
        <f>Données!B118</f>
        <v>Chexbres</v>
      </c>
      <c r="C118" s="137">
        <f>Données!AR118</f>
        <v>1</v>
      </c>
      <c r="D118" s="277">
        <f>Données!Z118</f>
        <v>2204</v>
      </c>
      <c r="E118" s="101">
        <f>Données!X118</f>
        <v>67.5</v>
      </c>
      <c r="F118" s="31">
        <f>VPI!L118</f>
        <v>6597248.8500000006</v>
      </c>
      <c r="G118" s="8">
        <f t="shared" si="8"/>
        <v>195474.04</v>
      </c>
      <c r="H118" s="26">
        <f t="shared" si="9"/>
        <v>194373.6907616276</v>
      </c>
      <c r="I118" s="8">
        <f t="shared" si="10"/>
        <v>0</v>
      </c>
      <c r="J118" s="8">
        <f>VPI!R118</f>
        <v>106014.1851851852</v>
      </c>
      <c r="K118" s="174">
        <f t="shared" si="11"/>
        <v>131545.8282946033</v>
      </c>
      <c r="L118" s="266">
        <f t="shared" si="12"/>
        <v>131545.8282946033</v>
      </c>
      <c r="M118" s="102"/>
      <c r="N118" s="103"/>
      <c r="O118" s="100"/>
      <c r="P118" s="100"/>
      <c r="Q118" s="104"/>
    </row>
    <row r="119" spans="1:17" s="99" customFormat="1" x14ac:dyDescent="0.25">
      <c r="A119" s="137">
        <f>Données!A119</f>
        <v>5604</v>
      </c>
      <c r="B119" s="276" t="str">
        <f>Données!B119</f>
        <v>Forel (Lavaux)</v>
      </c>
      <c r="C119" s="137">
        <f>Données!AR119</f>
        <v>0</v>
      </c>
      <c r="D119" s="277">
        <f>Données!Z119</f>
        <v>2067</v>
      </c>
      <c r="E119" s="101">
        <f>Données!X119</f>
        <v>69</v>
      </c>
      <c r="F119" s="31">
        <f>VPI!L119</f>
        <v>4444477.7699999996</v>
      </c>
      <c r="G119" s="8">
        <f t="shared" si="8"/>
        <v>128825.44260869564</v>
      </c>
      <c r="H119" s="26">
        <f t="shared" si="9"/>
        <v>182291.47858633587</v>
      </c>
      <c r="I119" s="8">
        <f t="shared" si="10"/>
        <v>128825.44260869564</v>
      </c>
      <c r="J119" s="8">
        <f>VPI!R119</f>
        <v>70958.245217391304</v>
      </c>
      <c r="K119" s="174">
        <f t="shared" si="11"/>
        <v>88047.284664295235</v>
      </c>
      <c r="L119" s="266">
        <f t="shared" si="12"/>
        <v>216872.72727299086</v>
      </c>
      <c r="M119" s="102"/>
      <c r="N119" s="103"/>
      <c r="O119" s="100"/>
      <c r="P119" s="100"/>
      <c r="Q119" s="104"/>
    </row>
    <row r="120" spans="1:17" s="99" customFormat="1" x14ac:dyDescent="0.25">
      <c r="A120" s="137">
        <f>Données!A120</f>
        <v>5606</v>
      </c>
      <c r="B120" s="276" t="str">
        <f>Données!B120</f>
        <v>Lutry</v>
      </c>
      <c r="C120" s="137">
        <f>Données!AR120</f>
        <v>1</v>
      </c>
      <c r="D120" s="277">
        <f>Données!Z120</f>
        <v>10713</v>
      </c>
      <c r="E120" s="101">
        <f>Données!X120</f>
        <v>54</v>
      </c>
      <c r="F120" s="31">
        <f>VPI!L120</f>
        <v>51338800.129999995</v>
      </c>
      <c r="G120" s="8">
        <f t="shared" si="8"/>
        <v>1901437.0418518516</v>
      </c>
      <c r="H120" s="26">
        <f t="shared" si="9"/>
        <v>944793.71557591483</v>
      </c>
      <c r="I120" s="8">
        <f t="shared" si="10"/>
        <v>0</v>
      </c>
      <c r="J120" s="8">
        <f>VPI!R120</f>
        <v>1017485.9645767196</v>
      </c>
      <c r="K120" s="174">
        <f t="shared" si="11"/>
        <v>1262529.4789992131</v>
      </c>
      <c r="L120" s="266">
        <f t="shared" si="12"/>
        <v>1262529.4789992131</v>
      </c>
      <c r="M120" s="102"/>
      <c r="N120" s="103"/>
      <c r="O120" s="100"/>
      <c r="P120" s="100"/>
      <c r="Q120" s="104"/>
    </row>
    <row r="121" spans="1:17" s="99" customFormat="1" x14ac:dyDescent="0.25">
      <c r="A121" s="137">
        <f>Données!A121</f>
        <v>5607</v>
      </c>
      <c r="B121" s="276" t="str">
        <f>Données!B121</f>
        <v>Puidoux</v>
      </c>
      <c r="C121" s="137">
        <f>Données!AR121</f>
        <v>1</v>
      </c>
      <c r="D121" s="277">
        <f>Données!Z121</f>
        <v>2991</v>
      </c>
      <c r="E121" s="101">
        <f>Données!X121</f>
        <v>68.5</v>
      </c>
      <c r="F121" s="31">
        <f>VPI!L121</f>
        <v>7252234.7999999998</v>
      </c>
      <c r="G121" s="8">
        <f t="shared" si="8"/>
        <v>211744.08175182482</v>
      </c>
      <c r="H121" s="26">
        <f t="shared" si="9"/>
        <v>263780.26727224508</v>
      </c>
      <c r="I121" s="8">
        <f t="shared" si="10"/>
        <v>0</v>
      </c>
      <c r="J121" s="8">
        <f>VPI!R121</f>
        <v>117488.86391621709</v>
      </c>
      <c r="K121" s="174">
        <f t="shared" si="11"/>
        <v>145783.98062724975</v>
      </c>
      <c r="L121" s="266">
        <f t="shared" si="12"/>
        <v>145783.98062724975</v>
      </c>
      <c r="M121" s="102"/>
      <c r="N121" s="103"/>
      <c r="O121" s="100"/>
      <c r="P121" s="100"/>
      <c r="Q121" s="104"/>
    </row>
    <row r="122" spans="1:17" s="99" customFormat="1" x14ac:dyDescent="0.25">
      <c r="A122" s="137">
        <f>Données!A122</f>
        <v>5609</v>
      </c>
      <c r="B122" s="276" t="str">
        <f>Données!B122</f>
        <v>Rivaz</v>
      </c>
      <c r="C122" s="137">
        <f>Données!AR122</f>
        <v>1</v>
      </c>
      <c r="D122" s="277">
        <f>Données!Z122</f>
        <v>332</v>
      </c>
      <c r="E122" s="101">
        <f>Données!X122</f>
        <v>62</v>
      </c>
      <c r="F122" s="31">
        <f>VPI!L122</f>
        <v>863656.33000000007</v>
      </c>
      <c r="G122" s="8">
        <f t="shared" si="8"/>
        <v>27859.881612903228</v>
      </c>
      <c r="H122" s="26">
        <f t="shared" si="9"/>
        <v>29279.521475889454</v>
      </c>
      <c r="I122" s="8">
        <f t="shared" si="10"/>
        <v>0</v>
      </c>
      <c r="J122" s="8">
        <f>VPI!R122</f>
        <v>14930.074677419358</v>
      </c>
      <c r="K122" s="174">
        <f t="shared" si="11"/>
        <v>18525.719331905653</v>
      </c>
      <c r="L122" s="266">
        <f t="shared" si="12"/>
        <v>18525.719331905653</v>
      </c>
      <c r="M122" s="102"/>
      <c r="N122" s="103"/>
      <c r="O122" s="100"/>
      <c r="P122" s="100"/>
      <c r="Q122" s="104"/>
    </row>
    <row r="123" spans="1:17" s="99" customFormat="1" x14ac:dyDescent="0.25">
      <c r="A123" s="137">
        <f>Données!A123</f>
        <v>5610</v>
      </c>
      <c r="B123" s="276" t="str">
        <f>Données!B123</f>
        <v>St-Saphorin (Lavaux)</v>
      </c>
      <c r="C123" s="137">
        <f>Données!AR123</f>
        <v>1</v>
      </c>
      <c r="D123" s="277">
        <f>Données!Z123</f>
        <v>402</v>
      </c>
      <c r="E123" s="101">
        <f>Données!X123</f>
        <v>72</v>
      </c>
      <c r="F123" s="31">
        <f>VPI!L123</f>
        <v>1423748.85</v>
      </c>
      <c r="G123" s="8">
        <f t="shared" si="8"/>
        <v>39548.57916666667</v>
      </c>
      <c r="H123" s="26">
        <f t="shared" si="9"/>
        <v>35452.914558155302</v>
      </c>
      <c r="I123" s="8">
        <f t="shared" si="10"/>
        <v>0</v>
      </c>
      <c r="J123" s="8">
        <f>VPI!R123</f>
        <v>21326.365740740741</v>
      </c>
      <c r="K123" s="174">
        <f t="shared" si="11"/>
        <v>26462.444068017299</v>
      </c>
      <c r="L123" s="266">
        <f t="shared" si="12"/>
        <v>26462.444068017299</v>
      </c>
      <c r="M123" s="102"/>
      <c r="N123" s="103"/>
      <c r="O123" s="100"/>
      <c r="P123" s="100"/>
      <c r="Q123" s="104"/>
    </row>
    <row r="124" spans="1:17" s="99" customFormat="1" x14ac:dyDescent="0.25">
      <c r="A124" s="137">
        <f>Données!A124</f>
        <v>5611</v>
      </c>
      <c r="B124" s="276" t="str">
        <f>Données!B124</f>
        <v>Savigny</v>
      </c>
      <c r="C124" s="137">
        <f>Données!AR124</f>
        <v>1</v>
      </c>
      <c r="D124" s="277">
        <f>Données!Z124</f>
        <v>3421</v>
      </c>
      <c r="E124" s="101">
        <f>Données!X124</f>
        <v>69</v>
      </c>
      <c r="F124" s="31">
        <f>VPI!L124</f>
        <v>8947094.8599999994</v>
      </c>
      <c r="G124" s="8">
        <f t="shared" si="8"/>
        <v>259336.0828985507</v>
      </c>
      <c r="H124" s="26">
        <f t="shared" si="9"/>
        <v>301702.5390633067</v>
      </c>
      <c r="I124" s="8">
        <f t="shared" si="10"/>
        <v>0</v>
      </c>
      <c r="J124" s="8">
        <f>VPI!R124</f>
        <v>139625.83456521737</v>
      </c>
      <c r="K124" s="174">
        <f t="shared" si="11"/>
        <v>173252.24947136099</v>
      </c>
      <c r="L124" s="266">
        <f t="shared" si="12"/>
        <v>173252.24947136099</v>
      </c>
      <c r="M124" s="102"/>
      <c r="N124" s="103"/>
      <c r="O124" s="100"/>
      <c r="P124" s="100"/>
      <c r="Q124" s="104"/>
    </row>
    <row r="125" spans="1:17" s="99" customFormat="1" x14ac:dyDescent="0.25">
      <c r="A125" s="137">
        <f>Données!A125</f>
        <v>5613</v>
      </c>
      <c r="B125" s="276" t="str">
        <f>Données!B125</f>
        <v>Bourg-en-Lavaux</v>
      </c>
      <c r="C125" s="137">
        <f>Données!AR125</f>
        <v>1</v>
      </c>
      <c r="D125" s="277">
        <f>Données!Z125</f>
        <v>5389</v>
      </c>
      <c r="E125" s="101">
        <f>Données!X125</f>
        <v>62.5</v>
      </c>
      <c r="F125" s="31">
        <f>VPI!L125</f>
        <v>21313442.900000002</v>
      </c>
      <c r="G125" s="8">
        <f t="shared" si="8"/>
        <v>682030.17280000006</v>
      </c>
      <c r="H125" s="26">
        <f t="shared" si="9"/>
        <v>475263.07600472373</v>
      </c>
      <c r="I125" s="8">
        <f t="shared" si="10"/>
        <v>0</v>
      </c>
      <c r="J125" s="8">
        <f>VPI!R125</f>
        <v>367203.96533333336</v>
      </c>
      <c r="K125" s="174">
        <f t="shared" si="11"/>
        <v>455638.55146798148</v>
      </c>
      <c r="L125" s="266">
        <f t="shared" si="12"/>
        <v>455638.55146798148</v>
      </c>
      <c r="M125" s="102"/>
      <c r="N125" s="103"/>
      <c r="O125" s="100"/>
      <c r="P125" s="100"/>
      <c r="Q125" s="104"/>
    </row>
    <row r="126" spans="1:17" s="99" customFormat="1" x14ac:dyDescent="0.25">
      <c r="A126" s="137">
        <f>Données!A126</f>
        <v>5621</v>
      </c>
      <c r="B126" s="276" t="str">
        <f>Données!B126</f>
        <v>Aclens</v>
      </c>
      <c r="C126" s="137">
        <f>Données!AR126</f>
        <v>0</v>
      </c>
      <c r="D126" s="277">
        <f>Données!Z126</f>
        <v>557</v>
      </c>
      <c r="E126" s="101">
        <f>Données!X126</f>
        <v>62</v>
      </c>
      <c r="F126" s="31">
        <f>VPI!L126</f>
        <v>2091024.96</v>
      </c>
      <c r="G126" s="8">
        <f t="shared" si="8"/>
        <v>67452.418064516125</v>
      </c>
      <c r="H126" s="26">
        <f t="shared" si="9"/>
        <v>49122.57066888683</v>
      </c>
      <c r="I126" s="8">
        <f t="shared" si="10"/>
        <v>49122.57066888683</v>
      </c>
      <c r="J126" s="8">
        <f>VPI!R126</f>
        <v>39195.040043988265</v>
      </c>
      <c r="K126" s="174">
        <f t="shared" si="11"/>
        <v>48634.472817200789</v>
      </c>
      <c r="L126" s="266">
        <f t="shared" si="12"/>
        <v>97757.043486087612</v>
      </c>
      <c r="M126" s="102"/>
      <c r="N126" s="103"/>
      <c r="O126" s="100"/>
      <c r="P126" s="100"/>
      <c r="Q126" s="104"/>
    </row>
    <row r="127" spans="1:17" s="99" customFormat="1" x14ac:dyDescent="0.25">
      <c r="A127" s="137">
        <f>Données!A127</f>
        <v>5622</v>
      </c>
      <c r="B127" s="276" t="str">
        <f>Données!B127</f>
        <v>Bremblens</v>
      </c>
      <c r="C127" s="137">
        <f>Données!AR127</f>
        <v>0</v>
      </c>
      <c r="D127" s="277">
        <f>Données!Z127</f>
        <v>604</v>
      </c>
      <c r="E127" s="101">
        <f>Données!X127</f>
        <v>68</v>
      </c>
      <c r="F127" s="31">
        <f>VPI!L127</f>
        <v>1943726.5100000002</v>
      </c>
      <c r="G127" s="8">
        <f t="shared" si="8"/>
        <v>57168.426764705888</v>
      </c>
      <c r="H127" s="26">
        <f t="shared" si="9"/>
        <v>53267.563166979613</v>
      </c>
      <c r="I127" s="8">
        <f t="shared" si="10"/>
        <v>53267.563166979613</v>
      </c>
      <c r="J127" s="8">
        <f>VPI!R127</f>
        <v>30851.898676470591</v>
      </c>
      <c r="K127" s="174">
        <f t="shared" si="11"/>
        <v>38282.033284208461</v>
      </c>
      <c r="L127" s="266">
        <f t="shared" si="12"/>
        <v>91549.596451188074</v>
      </c>
      <c r="M127" s="102"/>
      <c r="N127" s="103"/>
      <c r="O127" s="100"/>
      <c r="P127" s="100"/>
      <c r="Q127" s="104"/>
    </row>
    <row r="128" spans="1:17" s="99" customFormat="1" x14ac:dyDescent="0.25">
      <c r="A128" s="137">
        <f>Données!A128</f>
        <v>5623</v>
      </c>
      <c r="B128" s="276" t="str">
        <f>Données!B128</f>
        <v>Buchillon</v>
      </c>
      <c r="C128" s="137">
        <f>Données!AR128</f>
        <v>1</v>
      </c>
      <c r="D128" s="277">
        <f>Données!Z128</f>
        <v>670</v>
      </c>
      <c r="E128" s="101">
        <f>Données!X128</f>
        <v>52</v>
      </c>
      <c r="F128" s="31">
        <f>VPI!L128</f>
        <v>4226005.25</v>
      </c>
      <c r="G128" s="8">
        <f t="shared" si="8"/>
        <v>162538.66346153847</v>
      </c>
      <c r="H128" s="26">
        <f t="shared" si="9"/>
        <v>59088.190930258839</v>
      </c>
      <c r="I128" s="8">
        <f t="shared" si="10"/>
        <v>0</v>
      </c>
      <c r="J128" s="8">
        <f>VPI!R128</f>
        <v>88400.607692307691</v>
      </c>
      <c r="K128" s="174">
        <f t="shared" si="11"/>
        <v>109690.33191471375</v>
      </c>
      <c r="L128" s="266">
        <f t="shared" si="12"/>
        <v>109690.33191471375</v>
      </c>
      <c r="M128" s="102"/>
      <c r="N128" s="103"/>
      <c r="O128" s="100"/>
      <c r="P128" s="100"/>
      <c r="Q128" s="104"/>
    </row>
    <row r="129" spans="1:17" s="99" customFormat="1" x14ac:dyDescent="0.25">
      <c r="A129" s="137">
        <f>Données!A129</f>
        <v>5624</v>
      </c>
      <c r="B129" s="276" t="str">
        <f>Données!B129</f>
        <v>Bussigny</v>
      </c>
      <c r="C129" s="137">
        <f>Données!AR129</f>
        <v>1</v>
      </c>
      <c r="D129" s="277">
        <f>Données!Z129</f>
        <v>10392</v>
      </c>
      <c r="E129" s="101">
        <f>Données!X129</f>
        <v>62.5</v>
      </c>
      <c r="F129" s="31">
        <f>VPI!L129</f>
        <v>21607454.269999996</v>
      </c>
      <c r="G129" s="8">
        <f t="shared" si="8"/>
        <v>691438.53663999983</v>
      </c>
      <c r="H129" s="26">
        <f t="shared" si="9"/>
        <v>916484.29872723867</v>
      </c>
      <c r="I129" s="8">
        <f t="shared" si="10"/>
        <v>0</v>
      </c>
      <c r="J129" s="8">
        <f>VPI!R129</f>
        <v>394274.86895999993</v>
      </c>
      <c r="K129" s="174">
        <f t="shared" si="11"/>
        <v>489229.00385916652</v>
      </c>
      <c r="L129" s="266">
        <f t="shared" si="12"/>
        <v>489229.00385916652</v>
      </c>
      <c r="M129" s="102"/>
      <c r="N129" s="103"/>
      <c r="O129" s="100"/>
      <c r="P129" s="100"/>
      <c r="Q129" s="104"/>
    </row>
    <row r="130" spans="1:17" s="99" customFormat="1" x14ac:dyDescent="0.25">
      <c r="A130" s="137">
        <f>Données!A130</f>
        <v>5627</v>
      </c>
      <c r="B130" s="276" t="str">
        <f>Données!B130</f>
        <v>Chavannes-près-Renens</v>
      </c>
      <c r="C130" s="137">
        <f>Données!AR130</f>
        <v>1</v>
      </c>
      <c r="D130" s="277">
        <f>Données!Z130</f>
        <v>8725</v>
      </c>
      <c r="E130" s="101">
        <f>Données!X130</f>
        <v>77.5</v>
      </c>
      <c r="F130" s="31">
        <f>VPI!L130</f>
        <v>13125391.630000001</v>
      </c>
      <c r="G130" s="8">
        <f t="shared" si="8"/>
        <v>338719.78400000004</v>
      </c>
      <c r="H130" s="26">
        <f t="shared" si="9"/>
        <v>769469.35203956475</v>
      </c>
      <c r="I130" s="8">
        <f t="shared" si="10"/>
        <v>0</v>
      </c>
      <c r="J130" s="8">
        <f>VPI!R130</f>
        <v>188678.11200000002</v>
      </c>
      <c r="K130" s="174">
        <f t="shared" si="11"/>
        <v>234117.90111622101</v>
      </c>
      <c r="L130" s="266">
        <f t="shared" si="12"/>
        <v>234117.90111622101</v>
      </c>
      <c r="M130" s="102"/>
      <c r="N130" s="103"/>
      <c r="O130" s="100"/>
      <c r="P130" s="100"/>
      <c r="Q130" s="104"/>
    </row>
    <row r="131" spans="1:17" s="99" customFormat="1" x14ac:dyDescent="0.25">
      <c r="A131" s="137">
        <f>Données!A131</f>
        <v>5628</v>
      </c>
      <c r="B131" s="276" t="str">
        <f>Données!B131</f>
        <v>Chigny</v>
      </c>
      <c r="C131" s="137">
        <f>Données!AR131</f>
        <v>0</v>
      </c>
      <c r="D131" s="277">
        <f>Données!Z131</f>
        <v>419</v>
      </c>
      <c r="E131" s="101">
        <f>Données!X131</f>
        <v>62</v>
      </c>
      <c r="F131" s="31">
        <f>VPI!L131</f>
        <v>1601750.26</v>
      </c>
      <c r="G131" s="8">
        <f t="shared" si="8"/>
        <v>51669.363225806454</v>
      </c>
      <c r="H131" s="26">
        <f t="shared" si="9"/>
        <v>36952.16716384844</v>
      </c>
      <c r="I131" s="8">
        <f t="shared" si="10"/>
        <v>36952.16716384844</v>
      </c>
      <c r="J131" s="8">
        <f>VPI!R131</f>
        <v>27627.246129032257</v>
      </c>
      <c r="K131" s="174">
        <f t="shared" si="11"/>
        <v>34280.780154034364</v>
      </c>
      <c r="L131" s="266">
        <f t="shared" si="12"/>
        <v>71232.947317882805</v>
      </c>
      <c r="M131" s="102"/>
      <c r="N131" s="103"/>
      <c r="O131" s="100"/>
      <c r="P131" s="100"/>
      <c r="Q131" s="104"/>
    </row>
    <row r="132" spans="1:17" s="99" customFormat="1" x14ac:dyDescent="0.25">
      <c r="A132" s="137">
        <f>Données!A132</f>
        <v>5629</v>
      </c>
      <c r="B132" s="276" t="str">
        <f>Données!B132</f>
        <v>Clarmont</v>
      </c>
      <c r="C132" s="137">
        <f>Données!AR132</f>
        <v>0</v>
      </c>
      <c r="D132" s="277">
        <f>Données!Z132</f>
        <v>213</v>
      </c>
      <c r="E132" s="101">
        <f>Données!X132</f>
        <v>72</v>
      </c>
      <c r="F132" s="31">
        <f>VPI!L132</f>
        <v>678166.47</v>
      </c>
      <c r="G132" s="8">
        <f t="shared" si="8"/>
        <v>18837.9575</v>
      </c>
      <c r="H132" s="26">
        <f t="shared" si="9"/>
        <v>18784.753236037512</v>
      </c>
      <c r="I132" s="8">
        <f t="shared" si="10"/>
        <v>18784.753236037512</v>
      </c>
      <c r="J132" s="8">
        <f>VPI!R132</f>
        <v>9964.5079166666674</v>
      </c>
      <c r="K132" s="174">
        <f t="shared" si="11"/>
        <v>12364.28356409443</v>
      </c>
      <c r="L132" s="266">
        <f t="shared" si="12"/>
        <v>31149.036800131944</v>
      </c>
      <c r="M132" s="102"/>
      <c r="N132" s="103"/>
      <c r="O132" s="100"/>
      <c r="P132" s="100"/>
      <c r="Q132" s="104"/>
    </row>
    <row r="133" spans="1:17" s="99" customFormat="1" x14ac:dyDescent="0.25">
      <c r="A133" s="137">
        <f>Données!A133</f>
        <v>5631</v>
      </c>
      <c r="B133" s="276" t="str">
        <f>Données!B133</f>
        <v>Denens</v>
      </c>
      <c r="C133" s="137">
        <f>Données!AR133</f>
        <v>0</v>
      </c>
      <c r="D133" s="277">
        <f>Données!Z133</f>
        <v>715</v>
      </c>
      <c r="E133" s="101">
        <f>Données!X133</f>
        <v>68</v>
      </c>
      <c r="F133" s="31">
        <f>VPI!L133</f>
        <v>2617094.7800000003</v>
      </c>
      <c r="G133" s="8">
        <f t="shared" si="8"/>
        <v>76973.37588235295</v>
      </c>
      <c r="H133" s="26">
        <f t="shared" si="9"/>
        <v>63056.800768858317</v>
      </c>
      <c r="I133" s="8">
        <f t="shared" si="10"/>
        <v>63056.800768858317</v>
      </c>
      <c r="J133" s="8">
        <f>VPI!R133</f>
        <v>41714.033529411769</v>
      </c>
      <c r="K133" s="174">
        <f t="shared" si="11"/>
        <v>51760.121370080022</v>
      </c>
      <c r="L133" s="266">
        <f t="shared" si="12"/>
        <v>114816.92213893833</v>
      </c>
      <c r="M133" s="102"/>
      <c r="N133" s="103"/>
      <c r="O133" s="100"/>
      <c r="P133" s="100"/>
      <c r="Q133" s="104"/>
    </row>
    <row r="134" spans="1:17" s="99" customFormat="1" x14ac:dyDescent="0.25">
      <c r="A134" s="137">
        <f>Données!A134</f>
        <v>5632</v>
      </c>
      <c r="B134" s="276" t="str">
        <f>Données!B134</f>
        <v>Denges</v>
      </c>
      <c r="C134" s="137">
        <f>Données!AR134</f>
        <v>0</v>
      </c>
      <c r="D134" s="277">
        <f>Données!Z134</f>
        <v>1778</v>
      </c>
      <c r="E134" s="101">
        <f>Données!X134</f>
        <v>62</v>
      </c>
      <c r="F134" s="31">
        <f>VPI!L134</f>
        <v>4640237.0799999991</v>
      </c>
      <c r="G134" s="8">
        <f t="shared" si="8"/>
        <v>149685.06709677418</v>
      </c>
      <c r="H134" s="26">
        <f t="shared" si="9"/>
        <v>156804.18428955256</v>
      </c>
      <c r="I134" s="8">
        <f t="shared" si="10"/>
        <v>149685.06709677418</v>
      </c>
      <c r="J134" s="8">
        <f>VPI!R134</f>
        <v>81638.998870967742</v>
      </c>
      <c r="K134" s="174">
        <f t="shared" si="11"/>
        <v>101300.30909414921</v>
      </c>
      <c r="L134" s="266">
        <f t="shared" si="12"/>
        <v>250985.37619092339</v>
      </c>
      <c r="M134" s="102"/>
      <c r="N134" s="103"/>
      <c r="O134" s="100"/>
      <c r="P134" s="100"/>
      <c r="Q134" s="104"/>
    </row>
    <row r="135" spans="1:17" s="99" customFormat="1" x14ac:dyDescent="0.25">
      <c r="A135" s="137">
        <f>Données!A135</f>
        <v>5633</v>
      </c>
      <c r="B135" s="276" t="str">
        <f>Données!B135</f>
        <v>Echandens</v>
      </c>
      <c r="C135" s="137">
        <f>Données!AR135</f>
        <v>0</v>
      </c>
      <c r="D135" s="277">
        <f>Données!Z135</f>
        <v>2891</v>
      </c>
      <c r="E135" s="101">
        <f>Données!X135</f>
        <v>60.5</v>
      </c>
      <c r="F135" s="31">
        <f>VPI!L135</f>
        <v>8361150.7400000002</v>
      </c>
      <c r="G135" s="8">
        <f t="shared" ref="G135:G198" si="13">F135/E135*2</f>
        <v>276401.67735537188</v>
      </c>
      <c r="H135" s="26">
        <f t="shared" ref="H135:H198" si="14">+$G$306/$D$306*D135</f>
        <v>254961.13429757956</v>
      </c>
      <c r="I135" s="8">
        <f t="shared" ref="I135:I198" si="15">IF(C135=1,0,IF(H135&gt;G135,G135,H135))</f>
        <v>254961.13429757956</v>
      </c>
      <c r="J135" s="8">
        <f>VPI!R135</f>
        <v>149828.14198347108</v>
      </c>
      <c r="K135" s="174">
        <f t="shared" ref="K135:K198" si="16">+$K$5*J135</f>
        <v>185911.60234480936</v>
      </c>
      <c r="L135" s="266">
        <f t="shared" ref="L135:L198" si="17">+K135+I135</f>
        <v>440872.73664238892</v>
      </c>
      <c r="M135" s="102"/>
      <c r="N135" s="103"/>
      <c r="O135" s="100"/>
      <c r="P135" s="100"/>
      <c r="Q135" s="104"/>
    </row>
    <row r="136" spans="1:17" s="99" customFormat="1" x14ac:dyDescent="0.25">
      <c r="A136" s="137">
        <f>Données!A136</f>
        <v>5634</v>
      </c>
      <c r="B136" s="276" t="str">
        <f>Données!B136</f>
        <v>Echichens</v>
      </c>
      <c r="C136" s="137">
        <f>Données!AR136</f>
        <v>0</v>
      </c>
      <c r="D136" s="277">
        <f>Données!Z136</f>
        <v>3211</v>
      </c>
      <c r="E136" s="101">
        <f>Données!X136</f>
        <v>66</v>
      </c>
      <c r="F136" s="31">
        <f>VPI!L136</f>
        <v>11298059.340000004</v>
      </c>
      <c r="G136" s="8">
        <f t="shared" si="13"/>
        <v>342365.43454545463</v>
      </c>
      <c r="H136" s="26">
        <f t="shared" si="14"/>
        <v>283182.35981650918</v>
      </c>
      <c r="I136" s="8">
        <f t="shared" si="15"/>
        <v>283182.35981650918</v>
      </c>
      <c r="J136" s="8">
        <f>VPI!R136</f>
        <v>183136.60893939398</v>
      </c>
      <c r="K136" s="174">
        <f t="shared" si="16"/>
        <v>227241.82496819278</v>
      </c>
      <c r="L136" s="266">
        <f t="shared" si="17"/>
        <v>510424.18478470197</v>
      </c>
      <c r="M136" s="102"/>
      <c r="N136" s="103"/>
      <c r="O136" s="100"/>
      <c r="P136" s="100"/>
      <c r="Q136" s="104"/>
    </row>
    <row r="137" spans="1:17" s="99" customFormat="1" x14ac:dyDescent="0.25">
      <c r="A137" s="137">
        <f>Données!A137</f>
        <v>5635</v>
      </c>
      <c r="B137" s="276" t="str">
        <f>Données!B137</f>
        <v>Ecublens</v>
      </c>
      <c r="C137" s="137">
        <f>Données!AR137</f>
        <v>1</v>
      </c>
      <c r="D137" s="277">
        <f>Données!Z137</f>
        <v>13129</v>
      </c>
      <c r="E137" s="101">
        <f>Données!X137</f>
        <v>62.5</v>
      </c>
      <c r="F137" s="31">
        <f>VPI!L137</f>
        <v>28981818.660000004</v>
      </c>
      <c r="G137" s="8">
        <f t="shared" si="13"/>
        <v>927418.19712000014</v>
      </c>
      <c r="H137" s="26">
        <f t="shared" si="14"/>
        <v>1157863.9682438334</v>
      </c>
      <c r="I137" s="8">
        <f t="shared" si="15"/>
        <v>0</v>
      </c>
      <c r="J137" s="8">
        <f>VPI!R137</f>
        <v>516098.45949333342</v>
      </c>
      <c r="K137" s="174">
        <f t="shared" si="16"/>
        <v>640391.65340966638</v>
      </c>
      <c r="L137" s="266">
        <f t="shared" si="17"/>
        <v>640391.65340966638</v>
      </c>
      <c r="M137" s="102"/>
      <c r="N137" s="103"/>
      <c r="O137" s="100"/>
      <c r="P137" s="100"/>
      <c r="Q137" s="104"/>
    </row>
    <row r="138" spans="1:17" s="99" customFormat="1" x14ac:dyDescent="0.25">
      <c r="A138" s="137">
        <f>Données!A138</f>
        <v>5636</v>
      </c>
      <c r="B138" s="276" t="str">
        <f>Données!B138</f>
        <v>Etoy</v>
      </c>
      <c r="C138" s="137">
        <f>Données!AR138</f>
        <v>0</v>
      </c>
      <c r="D138" s="277">
        <f>Données!Z138</f>
        <v>2938</v>
      </c>
      <c r="E138" s="101">
        <f>Données!X138</f>
        <v>60</v>
      </c>
      <c r="F138" s="31">
        <f>VPI!L138</f>
        <v>9903200.9000000004</v>
      </c>
      <c r="G138" s="8">
        <f t="shared" si="13"/>
        <v>330106.69666666666</v>
      </c>
      <c r="H138" s="26">
        <f t="shared" si="14"/>
        <v>259106.12679567235</v>
      </c>
      <c r="I138" s="8">
        <f t="shared" si="15"/>
        <v>259106.12679567235</v>
      </c>
      <c r="J138" s="8">
        <f>VPI!R138</f>
        <v>189426.47833333336</v>
      </c>
      <c r="K138" s="174">
        <f t="shared" si="16"/>
        <v>235046.4982564449</v>
      </c>
      <c r="L138" s="266">
        <f t="shared" si="17"/>
        <v>494152.62505211728</v>
      </c>
      <c r="M138" s="102"/>
      <c r="N138" s="103"/>
      <c r="O138" s="100"/>
      <c r="P138" s="100"/>
      <c r="Q138" s="104"/>
    </row>
    <row r="139" spans="1:17" s="99" customFormat="1" x14ac:dyDescent="0.25">
      <c r="A139" s="137">
        <f>Données!A139</f>
        <v>5637</v>
      </c>
      <c r="B139" s="276" t="str">
        <f>Données!B139</f>
        <v>Lavigny</v>
      </c>
      <c r="C139" s="137">
        <f>Données!AR139</f>
        <v>0</v>
      </c>
      <c r="D139" s="277">
        <f>Données!Z139</f>
        <v>1038</v>
      </c>
      <c r="E139" s="101">
        <f>Données!X139</f>
        <v>73</v>
      </c>
      <c r="F139" s="31">
        <f>VPI!L139</f>
        <v>2441375</v>
      </c>
      <c r="G139" s="8">
        <f t="shared" si="13"/>
        <v>66886.986301369863</v>
      </c>
      <c r="H139" s="26">
        <f t="shared" si="14"/>
        <v>91542.600277027872</v>
      </c>
      <c r="I139" s="8">
        <f t="shared" si="15"/>
        <v>66886.986301369863</v>
      </c>
      <c r="J139" s="8">
        <f>VPI!R139</f>
        <v>36293.251369863014</v>
      </c>
      <c r="K139" s="174">
        <f t="shared" si="16"/>
        <v>45033.839618851714</v>
      </c>
      <c r="L139" s="266">
        <f t="shared" si="17"/>
        <v>111920.82592022157</v>
      </c>
      <c r="M139" s="102"/>
      <c r="N139" s="103"/>
      <c r="O139" s="100"/>
      <c r="P139" s="100"/>
      <c r="Q139" s="104"/>
    </row>
    <row r="140" spans="1:17" s="99" customFormat="1" x14ac:dyDescent="0.25">
      <c r="A140" s="137">
        <f>Données!A140</f>
        <v>5638</v>
      </c>
      <c r="B140" s="276" t="str">
        <f>Données!B140</f>
        <v>Lonay</v>
      </c>
      <c r="C140" s="137">
        <f>Données!AR140</f>
        <v>0</v>
      </c>
      <c r="D140" s="277">
        <f>Données!Z140</f>
        <v>2675</v>
      </c>
      <c r="E140" s="101">
        <f>Données!X140</f>
        <v>55</v>
      </c>
      <c r="F140" s="31">
        <f>VPI!L140</f>
        <v>7675863.8500000006</v>
      </c>
      <c r="G140" s="8">
        <f t="shared" si="13"/>
        <v>279122.32181818184</v>
      </c>
      <c r="H140" s="26">
        <f t="shared" si="14"/>
        <v>235911.80707230209</v>
      </c>
      <c r="I140" s="8">
        <f t="shared" si="15"/>
        <v>235911.80707230209</v>
      </c>
      <c r="J140" s="8">
        <f>VPI!R140</f>
        <v>153885.49272727271</v>
      </c>
      <c r="K140" s="174">
        <f t="shared" si="16"/>
        <v>190946.09431720717</v>
      </c>
      <c r="L140" s="266">
        <f t="shared" si="17"/>
        <v>426857.90138950926</v>
      </c>
      <c r="M140" s="102"/>
      <c r="N140" s="103"/>
      <c r="O140" s="100"/>
      <c r="P140" s="100"/>
      <c r="Q140" s="104"/>
    </row>
    <row r="141" spans="1:17" s="99" customFormat="1" x14ac:dyDescent="0.25">
      <c r="A141" s="137">
        <f>Données!A141</f>
        <v>5639</v>
      </c>
      <c r="B141" s="276" t="str">
        <f>Données!B141</f>
        <v>Lully</v>
      </c>
      <c r="C141" s="137">
        <f>Données!AR141</f>
        <v>0</v>
      </c>
      <c r="D141" s="277">
        <f>Données!Z141</f>
        <v>825</v>
      </c>
      <c r="E141" s="101">
        <f>Données!X141</f>
        <v>61</v>
      </c>
      <c r="F141" s="31">
        <f>VPI!L141</f>
        <v>2972218.4999999995</v>
      </c>
      <c r="G141" s="8">
        <f t="shared" si="13"/>
        <v>97449.786885245892</v>
      </c>
      <c r="H141" s="26">
        <f t="shared" si="14"/>
        <v>72757.847040990368</v>
      </c>
      <c r="I141" s="8">
        <f t="shared" si="15"/>
        <v>72757.847040990368</v>
      </c>
      <c r="J141" s="8">
        <f>VPI!R141</f>
        <v>52241.230983606554</v>
      </c>
      <c r="K141" s="174">
        <f t="shared" si="16"/>
        <v>64822.608303445711</v>
      </c>
      <c r="L141" s="266">
        <f t="shared" si="17"/>
        <v>137580.45534443608</v>
      </c>
      <c r="M141" s="102"/>
      <c r="N141" s="103"/>
      <c r="O141" s="100"/>
      <c r="P141" s="100"/>
      <c r="Q141" s="104"/>
    </row>
    <row r="142" spans="1:17" s="99" customFormat="1" x14ac:dyDescent="0.25">
      <c r="A142" s="137">
        <f>Données!A142</f>
        <v>5640</v>
      </c>
      <c r="B142" s="276" t="str">
        <f>Données!B142</f>
        <v>Lussy-sur-Morges</v>
      </c>
      <c r="C142" s="137">
        <f>Données!AR142</f>
        <v>1</v>
      </c>
      <c r="D142" s="277">
        <f>Données!Z142</f>
        <v>730</v>
      </c>
      <c r="E142" s="101">
        <f>Données!X142</f>
        <v>64.5</v>
      </c>
      <c r="F142" s="31">
        <f>VPI!L142</f>
        <v>3495351.18</v>
      </c>
      <c r="G142" s="8">
        <f t="shared" si="13"/>
        <v>108382.9823255814</v>
      </c>
      <c r="H142" s="26">
        <f t="shared" si="14"/>
        <v>64379.670715058142</v>
      </c>
      <c r="I142" s="8">
        <f t="shared" si="15"/>
        <v>0</v>
      </c>
      <c r="J142" s="8">
        <f>VPI!R142</f>
        <v>57770.543875968993</v>
      </c>
      <c r="K142" s="174">
        <f t="shared" si="16"/>
        <v>71683.558496623154</v>
      </c>
      <c r="L142" s="266">
        <f t="shared" si="17"/>
        <v>71683.558496623154</v>
      </c>
      <c r="M142" s="102"/>
      <c r="N142" s="103"/>
      <c r="O142" s="100"/>
      <c r="P142" s="100"/>
      <c r="Q142" s="104"/>
    </row>
    <row r="143" spans="1:17" s="99" customFormat="1" x14ac:dyDescent="0.25">
      <c r="A143" s="137">
        <f>Données!A143</f>
        <v>5642</v>
      </c>
      <c r="B143" s="276" t="str">
        <f>Données!B143</f>
        <v>Morges</v>
      </c>
      <c r="C143" s="137">
        <f>Données!AR143</f>
        <v>1</v>
      </c>
      <c r="D143" s="277">
        <f>Données!Z143</f>
        <v>17530</v>
      </c>
      <c r="E143" s="101">
        <f>Données!X143</f>
        <v>67</v>
      </c>
      <c r="F143" s="31">
        <f>VPI!L143</f>
        <v>57640788.300000004</v>
      </c>
      <c r="G143" s="8">
        <f t="shared" si="13"/>
        <v>1720620.5462686568</v>
      </c>
      <c r="H143" s="26">
        <f t="shared" si="14"/>
        <v>1545994.0104588619</v>
      </c>
      <c r="I143" s="8">
        <f t="shared" si="15"/>
        <v>0</v>
      </c>
      <c r="J143" s="8">
        <f>VPI!R143</f>
        <v>920688.7619402986</v>
      </c>
      <c r="K143" s="174">
        <f t="shared" si="16"/>
        <v>1142420.3806255744</v>
      </c>
      <c r="L143" s="266">
        <f t="shared" si="17"/>
        <v>1142420.3806255744</v>
      </c>
      <c r="M143" s="102"/>
      <c r="N143" s="103"/>
      <c r="O143" s="100"/>
      <c r="P143" s="100"/>
      <c r="Q143" s="104"/>
    </row>
    <row r="144" spans="1:17" s="99" customFormat="1" x14ac:dyDescent="0.25">
      <c r="A144" s="137">
        <f>Données!A144</f>
        <v>5643</v>
      </c>
      <c r="B144" s="276" t="str">
        <f>Données!B144</f>
        <v>Préverenges</v>
      </c>
      <c r="C144" s="137">
        <f>Données!AR144</f>
        <v>1</v>
      </c>
      <c r="D144" s="277">
        <f>Données!Z144</f>
        <v>5209</v>
      </c>
      <c r="E144" s="101">
        <f>Données!X144</f>
        <v>62.5</v>
      </c>
      <c r="F144" s="31">
        <f>VPI!L144</f>
        <v>14525070.099999998</v>
      </c>
      <c r="G144" s="8">
        <f t="shared" si="13"/>
        <v>464802.24319999991</v>
      </c>
      <c r="H144" s="26">
        <f t="shared" si="14"/>
        <v>459388.63665032585</v>
      </c>
      <c r="I144" s="8">
        <f t="shared" si="15"/>
        <v>0</v>
      </c>
      <c r="J144" s="8">
        <f>VPI!R144</f>
        <v>252718.14639999994</v>
      </c>
      <c r="K144" s="174">
        <f t="shared" si="16"/>
        <v>313580.84614048846</v>
      </c>
      <c r="L144" s="266">
        <f t="shared" si="17"/>
        <v>313580.84614048846</v>
      </c>
      <c r="M144" s="102"/>
      <c r="N144" s="103"/>
      <c r="O144" s="100"/>
      <c r="P144" s="100"/>
      <c r="Q144" s="104"/>
    </row>
    <row r="145" spans="1:17" s="99" customFormat="1" x14ac:dyDescent="0.25">
      <c r="A145" s="137">
        <f>Données!A145</f>
        <v>5645</v>
      </c>
      <c r="B145" s="276" t="str">
        <f>Données!B145</f>
        <v>Romanel-sur-Morges</v>
      </c>
      <c r="C145" s="137">
        <f>Données!AR145</f>
        <v>0</v>
      </c>
      <c r="D145" s="277">
        <f>Données!Z145</f>
        <v>458</v>
      </c>
      <c r="E145" s="101">
        <f>Données!X145</f>
        <v>56</v>
      </c>
      <c r="F145" s="31">
        <f>VPI!L145</f>
        <v>1146746.6200000001</v>
      </c>
      <c r="G145" s="8">
        <f t="shared" si="13"/>
        <v>40955.236428571436</v>
      </c>
      <c r="H145" s="26">
        <f t="shared" si="14"/>
        <v>40391.62902396798</v>
      </c>
      <c r="I145" s="8">
        <f t="shared" si="15"/>
        <v>40391.62902396798</v>
      </c>
      <c r="J145" s="8">
        <f>VPI!R145</f>
        <v>23767.8325</v>
      </c>
      <c r="K145" s="174">
        <f t="shared" si="16"/>
        <v>29491.894952721934</v>
      </c>
      <c r="L145" s="266">
        <f t="shared" si="17"/>
        <v>69883.523976689918</v>
      </c>
      <c r="M145" s="102"/>
      <c r="N145" s="103"/>
      <c r="O145" s="100"/>
      <c r="P145" s="100"/>
      <c r="Q145" s="104"/>
    </row>
    <row r="146" spans="1:17" s="99" customFormat="1" x14ac:dyDescent="0.25">
      <c r="A146" s="137">
        <f>Données!A146</f>
        <v>5646</v>
      </c>
      <c r="B146" s="276" t="str">
        <f>Données!B146</f>
        <v>Saint-Prex</v>
      </c>
      <c r="C146" s="137">
        <f>Données!AR146</f>
        <v>1</v>
      </c>
      <c r="D146" s="277">
        <f>Données!Z146</f>
        <v>5876</v>
      </c>
      <c r="E146" s="101">
        <f>Données!X146</f>
        <v>59</v>
      </c>
      <c r="F146" s="31">
        <f>VPI!L146</f>
        <v>28524983.059999995</v>
      </c>
      <c r="G146" s="8">
        <f t="shared" si="13"/>
        <v>966948.57830508461</v>
      </c>
      <c r="H146" s="26">
        <f t="shared" si="14"/>
        <v>518212.25359134469</v>
      </c>
      <c r="I146" s="8">
        <f t="shared" si="15"/>
        <v>0</v>
      </c>
      <c r="J146" s="8">
        <f>VPI!R146</f>
        <v>515439.56415254233</v>
      </c>
      <c r="K146" s="174">
        <f t="shared" si="16"/>
        <v>639574.0747694833</v>
      </c>
      <c r="L146" s="266">
        <f t="shared" si="17"/>
        <v>639574.0747694833</v>
      </c>
      <c r="M146" s="102"/>
      <c r="N146" s="103"/>
      <c r="O146" s="100"/>
      <c r="P146" s="100"/>
      <c r="Q146" s="104"/>
    </row>
    <row r="147" spans="1:17" s="99" customFormat="1" x14ac:dyDescent="0.25">
      <c r="A147" s="137">
        <f>Données!A147</f>
        <v>5648</v>
      </c>
      <c r="B147" s="276" t="str">
        <f>Données!B147</f>
        <v>Saint-Sulpice</v>
      </c>
      <c r="C147" s="137">
        <f>Données!AR147</f>
        <v>1</v>
      </c>
      <c r="D147" s="277">
        <f>Données!Z147</f>
        <v>5036</v>
      </c>
      <c r="E147" s="101">
        <f>Données!X147</f>
        <v>55</v>
      </c>
      <c r="F147" s="31">
        <f>VPI!L147</f>
        <v>20862681.530000001</v>
      </c>
      <c r="G147" s="8">
        <f t="shared" si="13"/>
        <v>758642.96472727275</v>
      </c>
      <c r="H147" s="26">
        <f t="shared" si="14"/>
        <v>444131.53660415451</v>
      </c>
      <c r="I147" s="8">
        <f t="shared" si="15"/>
        <v>0</v>
      </c>
      <c r="J147" s="8">
        <f>VPI!R147</f>
        <v>417026.83077272732</v>
      </c>
      <c r="K147" s="174">
        <f t="shared" si="16"/>
        <v>517460.37362118822</v>
      </c>
      <c r="L147" s="266">
        <f t="shared" si="17"/>
        <v>517460.37362118822</v>
      </c>
      <c r="M147" s="102"/>
      <c r="N147" s="103"/>
      <c r="O147" s="100"/>
      <c r="P147" s="100"/>
      <c r="Q147" s="104"/>
    </row>
    <row r="148" spans="1:17" s="99" customFormat="1" x14ac:dyDescent="0.25">
      <c r="A148" s="137">
        <f>Données!A148</f>
        <v>5649</v>
      </c>
      <c r="B148" s="276" t="str">
        <f>Données!B148</f>
        <v>Tolochenaz</v>
      </c>
      <c r="C148" s="137">
        <f>Données!AR148</f>
        <v>1</v>
      </c>
      <c r="D148" s="277">
        <f>Données!Z148</f>
        <v>1890</v>
      </c>
      <c r="E148" s="101">
        <f>Données!X148</f>
        <v>64</v>
      </c>
      <c r="F148" s="31">
        <f>VPI!L148</f>
        <v>20461886.289999999</v>
      </c>
      <c r="G148" s="8">
        <f t="shared" si="13"/>
        <v>639433.94656249997</v>
      </c>
      <c r="H148" s="26">
        <f t="shared" si="14"/>
        <v>166681.61322117792</v>
      </c>
      <c r="I148" s="8">
        <f t="shared" si="15"/>
        <v>0</v>
      </c>
      <c r="J148" s="8">
        <f>VPI!R148</f>
        <v>329645.65999999997</v>
      </c>
      <c r="K148" s="174">
        <f t="shared" si="16"/>
        <v>409034.9919935143</v>
      </c>
      <c r="L148" s="266">
        <f t="shared" si="17"/>
        <v>409034.9919935143</v>
      </c>
      <c r="M148" s="102"/>
      <c r="N148" s="103"/>
      <c r="O148" s="100"/>
      <c r="P148" s="100"/>
      <c r="Q148" s="104"/>
    </row>
    <row r="149" spans="1:17" s="99" customFormat="1" x14ac:dyDescent="0.25">
      <c r="A149" s="137">
        <f>Données!A149</f>
        <v>5650</v>
      </c>
      <c r="B149" s="276" t="str">
        <f>Données!B149</f>
        <v>Vaux-sur-Morges</v>
      </c>
      <c r="C149" s="137">
        <f>Données!AR149</f>
        <v>0</v>
      </c>
      <c r="D149" s="277">
        <f>Données!Z149</f>
        <v>185</v>
      </c>
      <c r="E149" s="101">
        <f>Données!X149</f>
        <v>56</v>
      </c>
      <c r="F149" s="31">
        <f>VPI!L149</f>
        <v>5016516.9800000004</v>
      </c>
      <c r="G149" s="8">
        <f t="shared" si="13"/>
        <v>179161.32071428574</v>
      </c>
      <c r="H149" s="26">
        <f t="shared" si="14"/>
        <v>16315.396003131173</v>
      </c>
      <c r="I149" s="8">
        <f t="shared" si="15"/>
        <v>16315.396003131173</v>
      </c>
      <c r="J149" s="8">
        <f>VPI!R149</f>
        <v>90407.731785714292</v>
      </c>
      <c r="K149" s="174">
        <f t="shared" si="16"/>
        <v>112180.83637782896</v>
      </c>
      <c r="L149" s="266">
        <f t="shared" si="17"/>
        <v>128496.23238096014</v>
      </c>
      <c r="M149" s="102"/>
      <c r="N149" s="103"/>
      <c r="O149" s="100"/>
      <c r="P149" s="100"/>
      <c r="Q149" s="104"/>
    </row>
    <row r="150" spans="1:17" s="99" customFormat="1" x14ac:dyDescent="0.25">
      <c r="A150" s="137">
        <f>Données!A150</f>
        <v>5651</v>
      </c>
      <c r="B150" s="276" t="str">
        <f>Données!B150</f>
        <v>Villars-Sainte-Croix</v>
      </c>
      <c r="C150" s="137">
        <f>Données!AR150</f>
        <v>1</v>
      </c>
      <c r="D150" s="277">
        <f>Données!Z150</f>
        <v>978</v>
      </c>
      <c r="E150" s="101">
        <f>Données!X150</f>
        <v>60.5</v>
      </c>
      <c r="F150" s="31">
        <f>VPI!L150</f>
        <v>2993313.77</v>
      </c>
      <c r="G150" s="8">
        <f t="shared" si="13"/>
        <v>98952.521322314045</v>
      </c>
      <c r="H150" s="26">
        <f t="shared" si="14"/>
        <v>86251.120492228583</v>
      </c>
      <c r="I150" s="8">
        <f t="shared" si="15"/>
        <v>0</v>
      </c>
      <c r="J150" s="8">
        <f>VPI!R150</f>
        <v>55772.548264462814</v>
      </c>
      <c r="K150" s="174">
        <f t="shared" si="16"/>
        <v>69204.380948963313</v>
      </c>
      <c r="L150" s="266">
        <f t="shared" si="17"/>
        <v>69204.380948963313</v>
      </c>
      <c r="M150" s="102"/>
      <c r="N150" s="103"/>
      <c r="O150" s="100"/>
      <c r="P150" s="100"/>
      <c r="Q150" s="104"/>
    </row>
    <row r="151" spans="1:17" s="99" customFormat="1" x14ac:dyDescent="0.25">
      <c r="A151" s="137">
        <f>Données!A151</f>
        <v>5652</v>
      </c>
      <c r="B151" s="276" t="str">
        <f>Données!B151</f>
        <v>Villars-sous-Yens</v>
      </c>
      <c r="C151" s="137">
        <f>Données!AR151</f>
        <v>0</v>
      </c>
      <c r="D151" s="277">
        <f>Données!Z151</f>
        <v>615</v>
      </c>
      <c r="E151" s="101">
        <f>Données!X151</f>
        <v>76</v>
      </c>
      <c r="F151" s="31">
        <f>VPI!L151</f>
        <v>1855108.4000000001</v>
      </c>
      <c r="G151" s="8">
        <f t="shared" si="13"/>
        <v>48818.642105263163</v>
      </c>
      <c r="H151" s="26">
        <f t="shared" si="14"/>
        <v>54237.667794192814</v>
      </c>
      <c r="I151" s="8">
        <f t="shared" si="15"/>
        <v>48818.642105263163</v>
      </c>
      <c r="J151" s="8">
        <f>VPI!R151</f>
        <v>25957.116337719301</v>
      </c>
      <c r="K151" s="174">
        <f t="shared" si="16"/>
        <v>32208.42911559562</v>
      </c>
      <c r="L151" s="266">
        <f t="shared" si="17"/>
        <v>81027.071220858779</v>
      </c>
      <c r="M151" s="102"/>
      <c r="N151" s="103"/>
      <c r="O151" s="100"/>
      <c r="P151" s="100"/>
      <c r="Q151" s="104"/>
    </row>
    <row r="152" spans="1:17" s="99" customFormat="1" x14ac:dyDescent="0.25">
      <c r="A152" s="137">
        <f>Données!A152</f>
        <v>5653</v>
      </c>
      <c r="B152" s="276" t="str">
        <f>Données!B152</f>
        <v>Vufflens-le-Château</v>
      </c>
      <c r="C152" s="137">
        <f>Données!AR152</f>
        <v>0</v>
      </c>
      <c r="D152" s="277">
        <f>Données!Z152</f>
        <v>884</v>
      </c>
      <c r="E152" s="101">
        <f>Données!X152</f>
        <v>58.5</v>
      </c>
      <c r="F152" s="31">
        <f>VPI!L152</f>
        <v>3919041.2700000005</v>
      </c>
      <c r="G152" s="8">
        <f t="shared" si="13"/>
        <v>133984.31692307693</v>
      </c>
      <c r="H152" s="26">
        <f t="shared" si="14"/>
        <v>77961.135496043004</v>
      </c>
      <c r="I152" s="8">
        <f t="shared" si="15"/>
        <v>77961.135496043004</v>
      </c>
      <c r="J152" s="8">
        <f>VPI!R152</f>
        <v>71346.485811965817</v>
      </c>
      <c r="K152" s="174">
        <f t="shared" si="16"/>
        <v>88529.02614541573</v>
      </c>
      <c r="L152" s="266">
        <f t="shared" si="17"/>
        <v>166490.16164145875</v>
      </c>
      <c r="M152" s="102"/>
      <c r="N152" s="103"/>
      <c r="O152" s="100"/>
      <c r="P152" s="100"/>
      <c r="Q152" s="104"/>
    </row>
    <row r="153" spans="1:17" s="99" customFormat="1" x14ac:dyDescent="0.25">
      <c r="A153" s="137">
        <f>Données!A153</f>
        <v>5654</v>
      </c>
      <c r="B153" s="276" t="str">
        <f>Données!B153</f>
        <v>Vullierens</v>
      </c>
      <c r="C153" s="137">
        <f>Données!AR153</f>
        <v>0</v>
      </c>
      <c r="D153" s="277">
        <f>Données!Z153</f>
        <v>562</v>
      </c>
      <c r="E153" s="101">
        <f>Données!X153</f>
        <v>76</v>
      </c>
      <c r="F153" s="31">
        <f>VPI!L153</f>
        <v>1459289.6199999999</v>
      </c>
      <c r="G153" s="8">
        <f t="shared" si="13"/>
        <v>38402.358421052631</v>
      </c>
      <c r="H153" s="26">
        <f t="shared" si="14"/>
        <v>49563.527317620101</v>
      </c>
      <c r="I153" s="8">
        <f t="shared" si="15"/>
        <v>38402.358421052631</v>
      </c>
      <c r="J153" s="8">
        <f>VPI!R153</f>
        <v>20741.139078947366</v>
      </c>
      <c r="K153" s="174">
        <f t="shared" si="16"/>
        <v>25736.275906358373</v>
      </c>
      <c r="L153" s="266">
        <f t="shared" si="17"/>
        <v>64138.634327411004</v>
      </c>
      <c r="M153" s="102"/>
      <c r="N153" s="103"/>
      <c r="O153" s="100"/>
      <c r="P153" s="100"/>
      <c r="Q153" s="104"/>
    </row>
    <row r="154" spans="1:17" s="99" customFormat="1" x14ac:dyDescent="0.25">
      <c r="A154" s="137">
        <f>Données!A154</f>
        <v>5655</v>
      </c>
      <c r="B154" s="276" t="str">
        <f>Données!B154</f>
        <v>Yens</v>
      </c>
      <c r="C154" s="137">
        <f>Données!AR154</f>
        <v>0</v>
      </c>
      <c r="D154" s="277">
        <f>Données!Z154</f>
        <v>1513</v>
      </c>
      <c r="E154" s="101">
        <f>Données!X154</f>
        <v>71.5</v>
      </c>
      <c r="F154" s="31">
        <f>VPI!L154</f>
        <v>5370282.4899999993</v>
      </c>
      <c r="G154" s="8">
        <f t="shared" si="13"/>
        <v>150217.69202797202</v>
      </c>
      <c r="H154" s="26">
        <f t="shared" si="14"/>
        <v>133433.481906689</v>
      </c>
      <c r="I154" s="8">
        <f t="shared" si="15"/>
        <v>133433.481906689</v>
      </c>
      <c r="J154" s="8">
        <f>VPI!R154</f>
        <v>81487.913146853141</v>
      </c>
      <c r="K154" s="174">
        <f t="shared" si="16"/>
        <v>101112.83704323991</v>
      </c>
      <c r="L154" s="266">
        <f t="shared" si="17"/>
        <v>234546.31894992891</v>
      </c>
      <c r="M154" s="102"/>
      <c r="N154" s="103"/>
      <c r="O154" s="100"/>
      <c r="P154" s="100"/>
      <c r="Q154" s="104"/>
    </row>
    <row r="155" spans="1:17" s="99" customFormat="1" x14ac:dyDescent="0.25">
      <c r="A155" s="137">
        <f>Données!A155</f>
        <v>5656</v>
      </c>
      <c r="B155" s="276" t="str">
        <f>Données!B155</f>
        <v>Hautemorges</v>
      </c>
      <c r="C155" s="137">
        <f>Données!AR155</f>
        <v>0</v>
      </c>
      <c r="D155" s="277">
        <f>Données!Z155</f>
        <v>4257</v>
      </c>
      <c r="E155" s="101">
        <f>Données!X155</f>
        <v>72.5</v>
      </c>
      <c r="F155" s="31">
        <f>VPI!L155</f>
        <v>11332048.209999999</v>
      </c>
      <c r="G155" s="8">
        <f t="shared" si="13"/>
        <v>312608.22648275859</v>
      </c>
      <c r="H155" s="26">
        <f t="shared" si="14"/>
        <v>375430.49073151028</v>
      </c>
      <c r="I155" s="8">
        <f t="shared" si="15"/>
        <v>312608.22648275859</v>
      </c>
      <c r="J155" s="8">
        <f>VPI!R155</f>
        <v>168931.37668965515</v>
      </c>
      <c r="K155" s="174">
        <f t="shared" si="16"/>
        <v>209615.51355387617</v>
      </c>
      <c r="L155" s="266">
        <f t="shared" si="17"/>
        <v>522223.74003663473</v>
      </c>
      <c r="M155" s="102"/>
      <c r="N155" s="103"/>
      <c r="O155" s="100"/>
      <c r="P155" s="100"/>
      <c r="Q155" s="104"/>
    </row>
    <row r="156" spans="1:17" s="99" customFormat="1" x14ac:dyDescent="0.25">
      <c r="A156" s="137">
        <f>Données!A156</f>
        <v>5661</v>
      </c>
      <c r="B156" s="276" t="str">
        <f>Données!B156</f>
        <v>Boulens</v>
      </c>
      <c r="C156" s="137">
        <f>Données!AR156</f>
        <v>0</v>
      </c>
      <c r="D156" s="277">
        <f>Données!Z156</f>
        <v>383</v>
      </c>
      <c r="E156" s="101">
        <f>Données!X156</f>
        <v>71.5</v>
      </c>
      <c r="F156" s="31">
        <f>VPI!L156</f>
        <v>726547.46000000008</v>
      </c>
      <c r="G156" s="8">
        <f t="shared" si="13"/>
        <v>20323.005874125876</v>
      </c>
      <c r="H156" s="26">
        <f t="shared" si="14"/>
        <v>33777.279292968858</v>
      </c>
      <c r="I156" s="8">
        <f t="shared" si="15"/>
        <v>20323.005874125876</v>
      </c>
      <c r="J156" s="8">
        <f>VPI!R156</f>
        <v>11008.663776223777</v>
      </c>
      <c r="K156" s="174">
        <f t="shared" si="16"/>
        <v>13659.90591099238</v>
      </c>
      <c r="L156" s="266">
        <f t="shared" si="17"/>
        <v>33982.911785118253</v>
      </c>
      <c r="M156" s="102"/>
      <c r="N156" s="103"/>
      <c r="O156" s="100"/>
      <c r="P156" s="100"/>
      <c r="Q156" s="104"/>
    </row>
    <row r="157" spans="1:17" s="99" customFormat="1" x14ac:dyDescent="0.25">
      <c r="A157" s="137">
        <f>Données!A157</f>
        <v>5663</v>
      </c>
      <c r="B157" s="276" t="str">
        <f>Données!B157</f>
        <v>Bussy-sur-Moudon</v>
      </c>
      <c r="C157" s="137">
        <f>Données!AR157</f>
        <v>0</v>
      </c>
      <c r="D157" s="277">
        <f>Données!Z157</f>
        <v>246</v>
      </c>
      <c r="E157" s="101">
        <f>Données!X157</f>
        <v>78.5</v>
      </c>
      <c r="F157" s="31">
        <f>VPI!L157</f>
        <v>472324.87</v>
      </c>
      <c r="G157" s="8">
        <f t="shared" si="13"/>
        <v>12033.754649681528</v>
      </c>
      <c r="H157" s="26">
        <f t="shared" si="14"/>
        <v>21695.067117677128</v>
      </c>
      <c r="I157" s="8">
        <f t="shared" si="15"/>
        <v>12033.754649681528</v>
      </c>
      <c r="J157" s="8">
        <f>VPI!R157</f>
        <v>6463.7352866242045</v>
      </c>
      <c r="K157" s="174">
        <f t="shared" si="16"/>
        <v>8020.4117087800514</v>
      </c>
      <c r="L157" s="266">
        <f t="shared" si="17"/>
        <v>20054.166358461582</v>
      </c>
      <c r="M157" s="102"/>
      <c r="N157" s="103"/>
      <c r="O157" s="100"/>
      <c r="P157" s="100"/>
      <c r="Q157" s="104"/>
    </row>
    <row r="158" spans="1:17" s="99" customFormat="1" x14ac:dyDescent="0.25">
      <c r="A158" s="137">
        <f>Données!A158</f>
        <v>5665</v>
      </c>
      <c r="B158" s="276" t="str">
        <f>Données!B158</f>
        <v>Chavannes-sur-Moudon</v>
      </c>
      <c r="C158" s="137">
        <f>Données!AR158</f>
        <v>0</v>
      </c>
      <c r="D158" s="277">
        <f>Données!Z158</f>
        <v>218</v>
      </c>
      <c r="E158" s="101">
        <f>Données!X158</f>
        <v>70</v>
      </c>
      <c r="F158" s="31">
        <f>VPI!L158</f>
        <v>376436.42000000004</v>
      </c>
      <c r="G158" s="8">
        <f t="shared" si="13"/>
        <v>10755.326285714287</v>
      </c>
      <c r="H158" s="26">
        <f t="shared" si="14"/>
        <v>19225.709884770786</v>
      </c>
      <c r="I158" s="8">
        <f t="shared" si="15"/>
        <v>10755.326285714287</v>
      </c>
      <c r="J158" s="8">
        <f>VPI!R158</f>
        <v>5786.518857142858</v>
      </c>
      <c r="K158" s="174">
        <f t="shared" si="16"/>
        <v>7180.0996694503692</v>
      </c>
      <c r="L158" s="266">
        <f t="shared" si="17"/>
        <v>17935.425955164657</v>
      </c>
      <c r="M158" s="102"/>
      <c r="N158" s="103"/>
      <c r="O158" s="100"/>
      <c r="P158" s="100"/>
      <c r="Q158" s="104"/>
    </row>
    <row r="159" spans="1:17" s="99" customFormat="1" x14ac:dyDescent="0.25">
      <c r="A159" s="137">
        <f>Données!A159</f>
        <v>5669</v>
      </c>
      <c r="B159" s="276" t="str">
        <f>Données!B159</f>
        <v>Curtilles</v>
      </c>
      <c r="C159" s="137">
        <f>Données!AR159</f>
        <v>0</v>
      </c>
      <c r="D159" s="277">
        <f>Données!Z159</f>
        <v>294</v>
      </c>
      <c r="E159" s="101">
        <f>Données!X159</f>
        <v>73</v>
      </c>
      <c r="F159" s="31">
        <f>VPI!L159</f>
        <v>566581.24999999988</v>
      </c>
      <c r="G159" s="8">
        <f t="shared" si="13"/>
        <v>15522.773972602736</v>
      </c>
      <c r="H159" s="26">
        <f t="shared" si="14"/>
        <v>25928.250945516567</v>
      </c>
      <c r="I159" s="8">
        <f t="shared" si="15"/>
        <v>15522.773972602736</v>
      </c>
      <c r="J159" s="8">
        <f>VPI!R159</f>
        <v>8428.0239726027376</v>
      </c>
      <c r="K159" s="174">
        <f t="shared" si="16"/>
        <v>10457.764613538997</v>
      </c>
      <c r="L159" s="266">
        <f t="shared" si="17"/>
        <v>25980.538586141731</v>
      </c>
      <c r="M159" s="102"/>
      <c r="N159" s="103"/>
      <c r="O159" s="100"/>
      <c r="P159" s="100"/>
      <c r="Q159" s="104"/>
    </row>
    <row r="160" spans="1:17" s="99" customFormat="1" x14ac:dyDescent="0.25">
      <c r="A160" s="137">
        <f>Données!A160</f>
        <v>5671</v>
      </c>
      <c r="B160" s="276" t="str">
        <f>Données!B160</f>
        <v>Dompierre</v>
      </c>
      <c r="C160" s="137">
        <f>Données!AR160</f>
        <v>0</v>
      </c>
      <c r="D160" s="277">
        <f>Données!Z160</f>
        <v>248</v>
      </c>
      <c r="E160" s="101">
        <f>Données!X160</f>
        <v>78</v>
      </c>
      <c r="F160" s="31">
        <f>VPI!L160</f>
        <v>489245.56</v>
      </c>
      <c r="G160" s="8">
        <f t="shared" si="13"/>
        <v>12544.757948717948</v>
      </c>
      <c r="H160" s="26">
        <f t="shared" si="14"/>
        <v>21871.449777170437</v>
      </c>
      <c r="I160" s="8">
        <f t="shared" si="15"/>
        <v>12544.757948717948</v>
      </c>
      <c r="J160" s="8">
        <f>VPI!R160</f>
        <v>6751.3058974358974</v>
      </c>
      <c r="K160" s="174">
        <f t="shared" si="16"/>
        <v>8377.2386195027066</v>
      </c>
      <c r="L160" s="266">
        <f t="shared" si="17"/>
        <v>20921.996568220653</v>
      </c>
      <c r="M160" s="102"/>
      <c r="N160" s="103"/>
      <c r="O160" s="100"/>
      <c r="P160" s="100"/>
      <c r="Q160" s="104"/>
    </row>
    <row r="161" spans="1:17" s="99" customFormat="1" x14ac:dyDescent="0.25">
      <c r="A161" s="137">
        <f>Données!A161</f>
        <v>5673</v>
      </c>
      <c r="B161" s="276" t="str">
        <f>Données!B161</f>
        <v>Hermenches</v>
      </c>
      <c r="C161" s="137">
        <f>Données!AR161</f>
        <v>0</v>
      </c>
      <c r="D161" s="277">
        <f>Données!Z161</f>
        <v>374</v>
      </c>
      <c r="E161" s="101">
        <f>Données!X161</f>
        <v>73.5</v>
      </c>
      <c r="F161" s="31">
        <f>VPI!L161</f>
        <v>659272.35999999987</v>
      </c>
      <c r="G161" s="8">
        <f t="shared" si="13"/>
        <v>17939.383945578229</v>
      </c>
      <c r="H161" s="26">
        <f t="shared" si="14"/>
        <v>32983.557325248963</v>
      </c>
      <c r="I161" s="8">
        <f t="shared" si="15"/>
        <v>17939.383945578229</v>
      </c>
      <c r="J161" s="8">
        <f>VPI!R161</f>
        <v>9674.9504761904736</v>
      </c>
      <c r="K161" s="174">
        <f t="shared" si="16"/>
        <v>12004.99133089214</v>
      </c>
      <c r="L161" s="266">
        <f t="shared" si="17"/>
        <v>29944.375276470368</v>
      </c>
      <c r="M161" s="102"/>
      <c r="N161" s="103"/>
      <c r="O161" s="100"/>
      <c r="P161" s="100"/>
      <c r="Q161" s="104"/>
    </row>
    <row r="162" spans="1:17" s="99" customFormat="1" x14ac:dyDescent="0.25">
      <c r="A162" s="137">
        <f>Données!A162</f>
        <v>5674</v>
      </c>
      <c r="B162" s="276" t="str">
        <f>Données!B162</f>
        <v>Lovatens</v>
      </c>
      <c r="C162" s="137">
        <f>Données!AR162</f>
        <v>0</v>
      </c>
      <c r="D162" s="277">
        <f>Données!Z162</f>
        <v>143</v>
      </c>
      <c r="E162" s="101">
        <f>Données!X162</f>
        <v>75</v>
      </c>
      <c r="F162" s="31">
        <f>VPI!L162</f>
        <v>244161.58</v>
      </c>
      <c r="G162" s="8">
        <f t="shared" si="13"/>
        <v>6510.9754666666668</v>
      </c>
      <c r="H162" s="26">
        <f t="shared" si="14"/>
        <v>12611.360153771662</v>
      </c>
      <c r="I162" s="8">
        <f t="shared" si="15"/>
        <v>6510.9754666666668</v>
      </c>
      <c r="J162" s="8">
        <f>VPI!R162</f>
        <v>3538.9423999999999</v>
      </c>
      <c r="K162" s="174">
        <f t="shared" si="16"/>
        <v>4391.2341398625067</v>
      </c>
      <c r="L162" s="266">
        <f t="shared" si="17"/>
        <v>10902.209606529173</v>
      </c>
      <c r="M162" s="102"/>
      <c r="N162" s="103"/>
      <c r="O162" s="100"/>
      <c r="P162" s="100"/>
      <c r="Q162" s="104"/>
    </row>
    <row r="163" spans="1:17" s="99" customFormat="1" x14ac:dyDescent="0.25">
      <c r="A163" s="137">
        <f>Données!A163</f>
        <v>5675</v>
      </c>
      <c r="B163" s="276" t="str">
        <f>Données!B163</f>
        <v>Lucens</v>
      </c>
      <c r="C163" s="137">
        <f>Données!AR163</f>
        <v>0</v>
      </c>
      <c r="D163" s="277">
        <f>Données!Z163</f>
        <v>4420</v>
      </c>
      <c r="E163" s="101">
        <f>Données!X163</f>
        <v>69.5</v>
      </c>
      <c r="F163" s="31">
        <f>VPI!L163</f>
        <v>5722588.0999999996</v>
      </c>
      <c r="G163" s="8">
        <f t="shared" si="13"/>
        <v>164678.7942446043</v>
      </c>
      <c r="H163" s="154">
        <f t="shared" si="14"/>
        <v>389805.67748021503</v>
      </c>
      <c r="I163" s="8">
        <f t="shared" si="15"/>
        <v>164678.7942446043</v>
      </c>
      <c r="J163" s="8">
        <f>VPI!R163</f>
        <v>92799.568476128188</v>
      </c>
      <c r="K163" s="174">
        <f t="shared" si="16"/>
        <v>115148.70466862716</v>
      </c>
      <c r="L163" s="266">
        <f t="shared" si="17"/>
        <v>279827.49891323148</v>
      </c>
      <c r="M163" s="102"/>
      <c r="N163" s="103"/>
      <c r="O163" s="100"/>
      <c r="P163" s="100"/>
      <c r="Q163" s="104"/>
    </row>
    <row r="164" spans="1:17" s="99" customFormat="1" x14ac:dyDescent="0.25">
      <c r="A164" s="137">
        <f>Données!A164</f>
        <v>5678</v>
      </c>
      <c r="B164" s="276" t="str">
        <f>Données!B164</f>
        <v>Moudon</v>
      </c>
      <c r="C164" s="137">
        <f>Données!AR164</f>
        <v>0</v>
      </c>
      <c r="D164" s="277">
        <f>Données!Z164</f>
        <v>6132</v>
      </c>
      <c r="E164" s="101">
        <f>Données!X164</f>
        <v>72.5</v>
      </c>
      <c r="F164" s="31">
        <f>VPI!L164</f>
        <v>8498274.089999998</v>
      </c>
      <c r="G164" s="8">
        <f t="shared" si="13"/>
        <v>234435.14731034476</v>
      </c>
      <c r="H164" s="26">
        <f t="shared" si="14"/>
        <v>540789.23400648835</v>
      </c>
      <c r="I164" s="8">
        <f t="shared" si="15"/>
        <v>234435.14731034476</v>
      </c>
      <c r="J164" s="8">
        <f>VPI!R164</f>
        <v>130665.93158620689</v>
      </c>
      <c r="K164" s="174">
        <f t="shared" si="16"/>
        <v>162134.51219163398</v>
      </c>
      <c r="L164" s="266">
        <f t="shared" si="17"/>
        <v>396569.65950197878</v>
      </c>
      <c r="M164" s="102"/>
      <c r="N164" s="103"/>
      <c r="O164" s="100"/>
      <c r="P164" s="100"/>
      <c r="Q164" s="104"/>
    </row>
    <row r="165" spans="1:17" s="99" customFormat="1" x14ac:dyDescent="0.25">
      <c r="A165" s="137">
        <f>Données!A165</f>
        <v>5680</v>
      </c>
      <c r="B165" s="276" t="str">
        <f>Données!B165</f>
        <v>Ogens</v>
      </c>
      <c r="C165" s="137">
        <f>Données!AR165</f>
        <v>0</v>
      </c>
      <c r="D165" s="277">
        <f>Données!Z165</f>
        <v>324</v>
      </c>
      <c r="E165" s="101">
        <f>Données!X165</f>
        <v>78</v>
      </c>
      <c r="F165" s="31">
        <f>VPI!L165</f>
        <v>728517.82000000007</v>
      </c>
      <c r="G165" s="8">
        <f t="shared" si="13"/>
        <v>18679.944102564103</v>
      </c>
      <c r="H165" s="26">
        <f t="shared" si="14"/>
        <v>28573.990837916215</v>
      </c>
      <c r="I165" s="8">
        <f t="shared" si="15"/>
        <v>18679.944102564103</v>
      </c>
      <c r="J165" s="8">
        <f>VPI!R165</f>
        <v>10095.699401709404</v>
      </c>
      <c r="K165" s="174">
        <f t="shared" si="16"/>
        <v>12527.070200005466</v>
      </c>
      <c r="L165" s="266">
        <f t="shared" si="17"/>
        <v>31207.014302569569</v>
      </c>
      <c r="M165" s="102"/>
      <c r="N165" s="103"/>
      <c r="O165" s="100"/>
      <c r="P165" s="100"/>
      <c r="Q165" s="104"/>
    </row>
    <row r="166" spans="1:17" s="99" customFormat="1" x14ac:dyDescent="0.25">
      <c r="A166" s="137">
        <f>Données!A166</f>
        <v>5683</v>
      </c>
      <c r="B166" s="276" t="str">
        <f>Données!B166</f>
        <v>Prévonloup</v>
      </c>
      <c r="C166" s="137">
        <f>Données!AR166</f>
        <v>0</v>
      </c>
      <c r="D166" s="277">
        <f>Données!Z166</f>
        <v>220</v>
      </c>
      <c r="E166" s="101">
        <f>Données!X166</f>
        <v>72.5</v>
      </c>
      <c r="F166" s="31">
        <f>VPI!L166</f>
        <v>341777.34000000008</v>
      </c>
      <c r="G166" s="8">
        <f t="shared" si="13"/>
        <v>9428.3404137931066</v>
      </c>
      <c r="H166" s="26">
        <f t="shared" si="14"/>
        <v>19402.092544264098</v>
      </c>
      <c r="I166" s="8">
        <f t="shared" si="15"/>
        <v>9428.3404137931066</v>
      </c>
      <c r="J166" s="8">
        <f>VPI!R166</f>
        <v>5181.5288275862076</v>
      </c>
      <c r="K166" s="174">
        <f t="shared" si="16"/>
        <v>6429.4084821437909</v>
      </c>
      <c r="L166" s="266">
        <f t="shared" si="17"/>
        <v>15857.748895936897</v>
      </c>
      <c r="M166" s="102"/>
      <c r="N166" s="103"/>
      <c r="O166" s="100"/>
      <c r="P166" s="100"/>
      <c r="Q166" s="104"/>
    </row>
    <row r="167" spans="1:17" s="99" customFormat="1" x14ac:dyDescent="0.25">
      <c r="A167" s="137">
        <f>Données!A167</f>
        <v>5684</v>
      </c>
      <c r="B167" s="276" t="str">
        <f>Données!B167</f>
        <v>Rossenges</v>
      </c>
      <c r="C167" s="137">
        <f>Données!AR167</f>
        <v>0</v>
      </c>
      <c r="D167" s="277">
        <f>Données!Z167</f>
        <v>93</v>
      </c>
      <c r="E167" s="101">
        <f>Données!X167</f>
        <v>75</v>
      </c>
      <c r="F167" s="31">
        <f>VPI!L167</f>
        <v>263864.95</v>
      </c>
      <c r="G167" s="8">
        <f t="shared" si="13"/>
        <v>7036.3986666666669</v>
      </c>
      <c r="H167" s="26">
        <f t="shared" si="14"/>
        <v>8201.7936664389144</v>
      </c>
      <c r="I167" s="8">
        <f t="shared" si="15"/>
        <v>7036.3986666666669</v>
      </c>
      <c r="J167" s="8">
        <f>VPI!R167</f>
        <v>3699.9676666666669</v>
      </c>
      <c r="K167" s="174">
        <f t="shared" si="16"/>
        <v>4591.0394965044043</v>
      </c>
      <c r="L167" s="266">
        <f t="shared" si="17"/>
        <v>11627.438163171071</v>
      </c>
      <c r="M167" s="102"/>
      <c r="N167" s="103"/>
      <c r="O167" s="100"/>
      <c r="P167" s="100"/>
      <c r="Q167" s="104"/>
    </row>
    <row r="168" spans="1:17" s="99" customFormat="1" x14ac:dyDescent="0.25">
      <c r="A168" s="137">
        <f>Données!A168</f>
        <v>5688</v>
      </c>
      <c r="B168" s="276" t="str">
        <f>Données!B168</f>
        <v>Syens</v>
      </c>
      <c r="C168" s="137">
        <f>Données!AR168</f>
        <v>0</v>
      </c>
      <c r="D168" s="277">
        <f>Données!Z168</f>
        <v>164</v>
      </c>
      <c r="E168" s="101">
        <f>Données!X168</f>
        <v>65</v>
      </c>
      <c r="F168" s="31">
        <f>VPI!L168</f>
        <v>318286.68000000005</v>
      </c>
      <c r="G168" s="8">
        <f t="shared" si="13"/>
        <v>9793.4363076923091</v>
      </c>
      <c r="H168" s="26">
        <f t="shared" si="14"/>
        <v>14463.378078451418</v>
      </c>
      <c r="I168" s="8">
        <f t="shared" si="15"/>
        <v>9793.4363076923091</v>
      </c>
      <c r="J168" s="8">
        <f>VPI!R168</f>
        <v>5276.9227692307695</v>
      </c>
      <c r="K168" s="174">
        <f t="shared" si="16"/>
        <v>6547.7763689129151</v>
      </c>
      <c r="L168" s="266">
        <f t="shared" si="17"/>
        <v>16341.212676605224</v>
      </c>
      <c r="M168" s="102"/>
      <c r="N168" s="103"/>
      <c r="O168" s="100"/>
      <c r="P168" s="100"/>
      <c r="Q168" s="104"/>
    </row>
    <row r="169" spans="1:17" s="99" customFormat="1" x14ac:dyDescent="0.25">
      <c r="A169" s="137">
        <f>Données!A169</f>
        <v>5690</v>
      </c>
      <c r="B169" s="276" t="str">
        <f>Données!B169</f>
        <v>Villars-le-Comte</v>
      </c>
      <c r="C169" s="137">
        <f>Données!AR169</f>
        <v>0</v>
      </c>
      <c r="D169" s="277">
        <f>Données!Z169</f>
        <v>138</v>
      </c>
      <c r="E169" s="101">
        <f>Données!X169</f>
        <v>70</v>
      </c>
      <c r="F169" s="31">
        <f>VPI!L169</f>
        <v>280674.02</v>
      </c>
      <c r="G169" s="8">
        <f t="shared" si="13"/>
        <v>8019.2577142857144</v>
      </c>
      <c r="H169" s="26">
        <f t="shared" si="14"/>
        <v>12170.403505038388</v>
      </c>
      <c r="I169" s="8">
        <f t="shared" si="15"/>
        <v>8019.2577142857144</v>
      </c>
      <c r="J169" s="8">
        <f>VPI!R169</f>
        <v>4331.3648095238095</v>
      </c>
      <c r="K169" s="174">
        <f t="shared" si="16"/>
        <v>5374.4974837058717</v>
      </c>
      <c r="L169" s="266">
        <f t="shared" si="17"/>
        <v>13393.755197991586</v>
      </c>
      <c r="M169" s="102"/>
      <c r="N169" s="103"/>
      <c r="O169" s="100"/>
      <c r="P169" s="100"/>
      <c r="Q169" s="104"/>
    </row>
    <row r="170" spans="1:17" s="99" customFormat="1" x14ac:dyDescent="0.25">
      <c r="A170" s="137">
        <f>Données!A170</f>
        <v>5692</v>
      </c>
      <c r="B170" s="276" t="str">
        <f>Données!B170</f>
        <v>Vucherens</v>
      </c>
      <c r="C170" s="137">
        <f>Données!AR170</f>
        <v>0</v>
      </c>
      <c r="D170" s="277">
        <f>Données!Z170</f>
        <v>637</v>
      </c>
      <c r="E170" s="101">
        <f>Données!X170</f>
        <v>77</v>
      </c>
      <c r="F170" s="31">
        <f>VPI!L170</f>
        <v>1344855.3900000001</v>
      </c>
      <c r="G170" s="8">
        <f t="shared" si="13"/>
        <v>34931.308831168833</v>
      </c>
      <c r="H170" s="26">
        <f t="shared" si="14"/>
        <v>56177.87704861923</v>
      </c>
      <c r="I170" s="8">
        <f t="shared" si="15"/>
        <v>34931.308831168833</v>
      </c>
      <c r="J170" s="8">
        <f>VPI!R170</f>
        <v>18948.19272727273</v>
      </c>
      <c r="K170" s="174">
        <f t="shared" si="16"/>
        <v>23511.530109304542</v>
      </c>
      <c r="L170" s="266">
        <f t="shared" si="17"/>
        <v>58442.838940473375</v>
      </c>
      <c r="M170" s="102"/>
      <c r="N170" s="103"/>
      <c r="O170" s="100"/>
      <c r="P170" s="100"/>
      <c r="Q170" s="104"/>
    </row>
    <row r="171" spans="1:17" s="99" customFormat="1" x14ac:dyDescent="0.25">
      <c r="A171" s="137">
        <f>Données!A171</f>
        <v>5693</v>
      </c>
      <c r="B171" s="276" t="str">
        <f>Données!B171</f>
        <v>Montanaire</v>
      </c>
      <c r="C171" s="137">
        <f>Données!AR171</f>
        <v>0</v>
      </c>
      <c r="D171" s="277">
        <f>Données!Z171</f>
        <v>2820</v>
      </c>
      <c r="E171" s="101">
        <f>Données!X171</f>
        <v>70</v>
      </c>
      <c r="F171" s="31">
        <f>VPI!L171</f>
        <v>5150324.7399999993</v>
      </c>
      <c r="G171" s="8">
        <f t="shared" si="13"/>
        <v>147152.1354285714</v>
      </c>
      <c r="H171" s="26">
        <f t="shared" si="14"/>
        <v>248699.54988556707</v>
      </c>
      <c r="I171" s="8">
        <f t="shared" si="15"/>
        <v>147152.1354285714</v>
      </c>
      <c r="J171" s="8">
        <f>VPI!R171</f>
        <v>80076.194857142837</v>
      </c>
      <c r="K171" s="174">
        <f t="shared" si="16"/>
        <v>99361.13135013674</v>
      </c>
      <c r="L171" s="266">
        <f t="shared" si="17"/>
        <v>246513.26677870814</v>
      </c>
      <c r="M171" s="102"/>
      <c r="N171" s="103"/>
      <c r="O171" s="100"/>
      <c r="P171" s="100"/>
      <c r="Q171" s="104"/>
    </row>
    <row r="172" spans="1:17" s="99" customFormat="1" x14ac:dyDescent="0.25">
      <c r="A172" s="137">
        <f>Données!A172</f>
        <v>5701</v>
      </c>
      <c r="B172" s="276" t="str">
        <f>Données!B172</f>
        <v>Arnex-sur-Nyon</v>
      </c>
      <c r="C172" s="137">
        <f>Données!AR172</f>
        <v>0</v>
      </c>
      <c r="D172" s="277">
        <f>Données!Z172</f>
        <v>240</v>
      </c>
      <c r="E172" s="101">
        <f>Données!X172</f>
        <v>70</v>
      </c>
      <c r="F172" s="31">
        <f>VPI!L172</f>
        <v>835239.58</v>
      </c>
      <c r="G172" s="8">
        <f t="shared" si="13"/>
        <v>23863.987999999998</v>
      </c>
      <c r="H172" s="26">
        <f t="shared" si="14"/>
        <v>21165.919139197198</v>
      </c>
      <c r="I172" s="8">
        <f t="shared" si="15"/>
        <v>21165.919139197198</v>
      </c>
      <c r="J172" s="8">
        <f>VPI!R172</f>
        <v>12996.777571428571</v>
      </c>
      <c r="K172" s="174">
        <f t="shared" si="16"/>
        <v>16126.821781517683</v>
      </c>
      <c r="L172" s="266">
        <f t="shared" si="17"/>
        <v>37292.740920714881</v>
      </c>
      <c r="M172" s="102"/>
      <c r="N172" s="103"/>
      <c r="O172" s="100"/>
      <c r="P172" s="100"/>
      <c r="Q172" s="104"/>
    </row>
    <row r="173" spans="1:17" s="99" customFormat="1" x14ac:dyDescent="0.25">
      <c r="A173" s="137">
        <f>Données!A173</f>
        <v>5702</v>
      </c>
      <c r="B173" s="276" t="str">
        <f>Données!B173</f>
        <v>Arzier-Le Muids</v>
      </c>
      <c r="C173" s="137">
        <f>Données!AR173</f>
        <v>0</v>
      </c>
      <c r="D173" s="277">
        <f>Données!Z173</f>
        <v>2954</v>
      </c>
      <c r="E173" s="101">
        <f>Données!X173</f>
        <v>64</v>
      </c>
      <c r="F173" s="31">
        <f>VPI!L173</f>
        <v>11145744.860000001</v>
      </c>
      <c r="G173" s="8">
        <f t="shared" si="13"/>
        <v>348304.52687500004</v>
      </c>
      <c r="H173" s="26">
        <f t="shared" si="14"/>
        <v>260517.18807161882</v>
      </c>
      <c r="I173" s="8">
        <f t="shared" si="15"/>
        <v>260517.18807161882</v>
      </c>
      <c r="J173" s="8">
        <f>VPI!R173</f>
        <v>187982.65953125001</v>
      </c>
      <c r="K173" s="174">
        <f t="shared" si="16"/>
        <v>233254.96120981657</v>
      </c>
      <c r="L173" s="266">
        <f t="shared" si="17"/>
        <v>493772.14928143541</v>
      </c>
      <c r="M173" s="102"/>
      <c r="N173" s="103"/>
      <c r="O173" s="100"/>
      <c r="P173" s="100"/>
      <c r="Q173" s="104"/>
    </row>
    <row r="174" spans="1:17" s="99" customFormat="1" x14ac:dyDescent="0.25">
      <c r="A174" s="137">
        <f>Données!A174</f>
        <v>5703</v>
      </c>
      <c r="B174" s="276" t="str">
        <f>Données!B174</f>
        <v>Bassins</v>
      </c>
      <c r="C174" s="137">
        <f>Données!AR174</f>
        <v>0</v>
      </c>
      <c r="D174" s="277">
        <f>Données!Z174</f>
        <v>1478</v>
      </c>
      <c r="E174" s="101">
        <f>Données!X174</f>
        <v>72.5</v>
      </c>
      <c r="F174" s="31">
        <f>VPI!L174</f>
        <v>4399850.47</v>
      </c>
      <c r="G174" s="8">
        <f t="shared" si="13"/>
        <v>121375.18537931034</v>
      </c>
      <c r="H174" s="26">
        <f t="shared" si="14"/>
        <v>130346.78536555608</v>
      </c>
      <c r="I174" s="8">
        <f t="shared" si="15"/>
        <v>121375.18537931034</v>
      </c>
      <c r="J174" s="8">
        <f>VPI!R174</f>
        <v>65440.672492610829</v>
      </c>
      <c r="K174" s="174">
        <f t="shared" si="16"/>
        <v>81200.902050599616</v>
      </c>
      <c r="L174" s="266">
        <f t="shared" si="17"/>
        <v>202576.08742990997</v>
      </c>
      <c r="M174" s="102"/>
      <c r="N174" s="103"/>
      <c r="O174" s="100"/>
      <c r="P174" s="100"/>
      <c r="Q174" s="104"/>
    </row>
    <row r="175" spans="1:17" s="99" customFormat="1" x14ac:dyDescent="0.25">
      <c r="A175" s="137">
        <f>Données!A175</f>
        <v>5704</v>
      </c>
      <c r="B175" s="276" t="str">
        <f>Données!B175</f>
        <v>Begnins</v>
      </c>
      <c r="C175" s="137">
        <f>Données!AR175</f>
        <v>0</v>
      </c>
      <c r="D175" s="277">
        <f>Données!Z175</f>
        <v>1938</v>
      </c>
      <c r="E175" s="101">
        <f>Données!X175</f>
        <v>62.5</v>
      </c>
      <c r="F175" s="31">
        <f>VPI!L175</f>
        <v>7543480.29</v>
      </c>
      <c r="G175" s="8">
        <f t="shared" si="13"/>
        <v>241391.36928000001</v>
      </c>
      <c r="H175" s="26">
        <f t="shared" si="14"/>
        <v>170914.79704901736</v>
      </c>
      <c r="I175" s="8">
        <f t="shared" si="15"/>
        <v>170914.79704901736</v>
      </c>
      <c r="J175" s="8">
        <f>VPI!R175</f>
        <v>129766.74997333332</v>
      </c>
      <c r="K175" s="174">
        <f t="shared" si="16"/>
        <v>161018.77857687185</v>
      </c>
      <c r="L175" s="266">
        <f t="shared" si="17"/>
        <v>331933.57562588924</v>
      </c>
      <c r="M175" s="102"/>
      <c r="N175" s="103"/>
      <c r="O175" s="100"/>
      <c r="P175" s="100"/>
      <c r="Q175" s="104"/>
    </row>
    <row r="176" spans="1:17" s="99" customFormat="1" x14ac:dyDescent="0.25">
      <c r="A176" s="137">
        <f>Données!A176</f>
        <v>5705</v>
      </c>
      <c r="B176" s="276" t="str">
        <f>Données!B176</f>
        <v>Bogis-Bossey</v>
      </c>
      <c r="C176" s="137">
        <f>Données!AR176</f>
        <v>0</v>
      </c>
      <c r="D176" s="277">
        <f>Données!Z176</f>
        <v>923</v>
      </c>
      <c r="E176" s="101">
        <f>Données!X176</f>
        <v>74.5</v>
      </c>
      <c r="F176" s="31">
        <f>VPI!L176</f>
        <v>3560827.8799999994</v>
      </c>
      <c r="G176" s="8">
        <f t="shared" si="13"/>
        <v>95592.694765100649</v>
      </c>
      <c r="H176" s="26">
        <f t="shared" si="14"/>
        <v>81400.597356162558</v>
      </c>
      <c r="I176" s="8">
        <f t="shared" si="15"/>
        <v>81400.597356162558</v>
      </c>
      <c r="J176" s="8">
        <f>VPI!R176</f>
        <v>51043.487651006704</v>
      </c>
      <c r="K176" s="174">
        <f t="shared" si="16"/>
        <v>63336.409654689756</v>
      </c>
      <c r="L176" s="266">
        <f t="shared" si="17"/>
        <v>144737.00701085231</v>
      </c>
      <c r="M176" s="102"/>
      <c r="N176" s="103"/>
      <c r="O176" s="100"/>
      <c r="P176" s="100"/>
      <c r="Q176" s="104"/>
    </row>
    <row r="177" spans="1:17" s="99" customFormat="1" x14ac:dyDescent="0.25">
      <c r="A177" s="137">
        <f>Données!A177</f>
        <v>5706</v>
      </c>
      <c r="B177" s="276" t="str">
        <f>Données!B177</f>
        <v>Borex</v>
      </c>
      <c r="C177" s="137">
        <f>Données!AR177</f>
        <v>0</v>
      </c>
      <c r="D177" s="277">
        <f>Données!Z177</f>
        <v>1131</v>
      </c>
      <c r="E177" s="101">
        <f>Données!X177</f>
        <v>57</v>
      </c>
      <c r="F177" s="31">
        <f>VPI!L177</f>
        <v>3637996.87</v>
      </c>
      <c r="G177" s="8">
        <f t="shared" si="13"/>
        <v>127649.01298245614</v>
      </c>
      <c r="H177" s="26">
        <f t="shared" si="14"/>
        <v>99744.393943466785</v>
      </c>
      <c r="I177" s="8">
        <f t="shared" si="15"/>
        <v>99744.393943466785</v>
      </c>
      <c r="J177" s="8">
        <f>VPI!R177</f>
        <v>69138.234561403515</v>
      </c>
      <c r="K177" s="174">
        <f t="shared" si="16"/>
        <v>85788.956603491781</v>
      </c>
      <c r="L177" s="266">
        <f t="shared" si="17"/>
        <v>185533.35054695857</v>
      </c>
      <c r="M177" s="102"/>
      <c r="N177" s="103"/>
      <c r="O177" s="100"/>
      <c r="P177" s="100"/>
      <c r="Q177" s="104"/>
    </row>
    <row r="178" spans="1:17" s="99" customFormat="1" x14ac:dyDescent="0.25">
      <c r="A178" s="137">
        <f>Données!A178</f>
        <v>5707</v>
      </c>
      <c r="B178" s="276" t="str">
        <f>Données!B178</f>
        <v>Chavannes-de-Bogis</v>
      </c>
      <c r="C178" s="137">
        <f>Données!AR178</f>
        <v>0</v>
      </c>
      <c r="D178" s="277">
        <f>Données!Z178</f>
        <v>1314</v>
      </c>
      <c r="E178" s="101">
        <f>Données!X178</f>
        <v>58</v>
      </c>
      <c r="F178" s="31">
        <f>VPI!L178</f>
        <v>4468717.58</v>
      </c>
      <c r="G178" s="8">
        <f t="shared" si="13"/>
        <v>154093.70965517242</v>
      </c>
      <c r="H178" s="26">
        <f t="shared" si="14"/>
        <v>115883.40728710465</v>
      </c>
      <c r="I178" s="8">
        <f t="shared" si="15"/>
        <v>115883.40728710465</v>
      </c>
      <c r="J178" s="8">
        <f>VPI!R178</f>
        <v>86795.072643678155</v>
      </c>
      <c r="K178" s="174">
        <f t="shared" si="16"/>
        <v>107698.13212127044</v>
      </c>
      <c r="L178" s="266">
        <f t="shared" si="17"/>
        <v>223581.5394083751</v>
      </c>
      <c r="M178" s="102"/>
      <c r="N178" s="103"/>
      <c r="O178" s="100"/>
      <c r="P178" s="100"/>
      <c r="Q178" s="104"/>
    </row>
    <row r="179" spans="1:17" s="99" customFormat="1" x14ac:dyDescent="0.25">
      <c r="A179" s="137">
        <f>Données!A179</f>
        <v>5708</v>
      </c>
      <c r="B179" s="276" t="str">
        <f>Données!B179</f>
        <v>Chavannes-des-Bois</v>
      </c>
      <c r="C179" s="137">
        <f>Données!AR179</f>
        <v>0</v>
      </c>
      <c r="D179" s="277">
        <f>Données!Z179</f>
        <v>1019</v>
      </c>
      <c r="E179" s="101">
        <f>Données!X179</f>
        <v>68</v>
      </c>
      <c r="F179" s="31">
        <f>VPI!L179</f>
        <v>4370278.7599999988</v>
      </c>
      <c r="G179" s="8">
        <f t="shared" si="13"/>
        <v>128537.61058823526</v>
      </c>
      <c r="H179" s="26">
        <f t="shared" si="14"/>
        <v>89866.965011841428</v>
      </c>
      <c r="I179" s="8">
        <f t="shared" si="15"/>
        <v>89866.965011841428</v>
      </c>
      <c r="J179" s="8">
        <f>VPI!R179</f>
        <v>68805.474411764691</v>
      </c>
      <c r="K179" s="174">
        <f t="shared" si="16"/>
        <v>85376.057052066535</v>
      </c>
      <c r="L179" s="266">
        <f t="shared" si="17"/>
        <v>175243.02206390796</v>
      </c>
      <c r="M179" s="102"/>
      <c r="N179" s="103"/>
      <c r="O179" s="100"/>
      <c r="P179" s="100"/>
      <c r="Q179" s="104"/>
    </row>
    <row r="180" spans="1:17" s="99" customFormat="1" x14ac:dyDescent="0.25">
      <c r="A180" s="137">
        <f>Données!A180</f>
        <v>5709</v>
      </c>
      <c r="B180" s="276" t="str">
        <f>Données!B180</f>
        <v>Chéserex</v>
      </c>
      <c r="C180" s="137">
        <f>Données!AR180</f>
        <v>0</v>
      </c>
      <c r="D180" s="277">
        <f>Données!Z180</f>
        <v>1251</v>
      </c>
      <c r="E180" s="101">
        <f>Données!X180</f>
        <v>57</v>
      </c>
      <c r="F180" s="31">
        <f>VPI!L180</f>
        <v>4780477.3400000017</v>
      </c>
      <c r="G180" s="8">
        <f t="shared" si="13"/>
        <v>167736.04701754393</v>
      </c>
      <c r="H180" s="26">
        <f t="shared" si="14"/>
        <v>110327.35351306539</v>
      </c>
      <c r="I180" s="8">
        <f t="shared" si="15"/>
        <v>110327.35351306539</v>
      </c>
      <c r="J180" s="8">
        <f>VPI!R180</f>
        <v>90983.181403508803</v>
      </c>
      <c r="K180" s="174">
        <f t="shared" si="16"/>
        <v>112894.8728672135</v>
      </c>
      <c r="L180" s="266">
        <f t="shared" si="17"/>
        <v>223222.22638027888</v>
      </c>
      <c r="M180" s="102"/>
      <c r="N180" s="103"/>
      <c r="O180" s="100"/>
      <c r="P180" s="100"/>
      <c r="Q180" s="104"/>
    </row>
    <row r="181" spans="1:17" s="99" customFormat="1" x14ac:dyDescent="0.25">
      <c r="A181" s="137">
        <f>Données!A181</f>
        <v>5710</v>
      </c>
      <c r="B181" s="276" t="str">
        <f>Données!B181</f>
        <v>Coinsins</v>
      </c>
      <c r="C181" s="137">
        <f>Données!AR181</f>
        <v>0</v>
      </c>
      <c r="D181" s="277">
        <f>Données!Z181</f>
        <v>499</v>
      </c>
      <c r="E181" s="101">
        <f>Données!X181</f>
        <v>51</v>
      </c>
      <c r="F181" s="31">
        <f>VPI!L181</f>
        <v>1572490.46</v>
      </c>
      <c r="G181" s="8">
        <f t="shared" si="13"/>
        <v>61666.292549019607</v>
      </c>
      <c r="H181" s="26">
        <f t="shared" si="14"/>
        <v>44007.47354358084</v>
      </c>
      <c r="I181" s="8">
        <f t="shared" si="15"/>
        <v>44007.47354358084</v>
      </c>
      <c r="J181" s="8">
        <f>VPI!R181</f>
        <v>33546.798235294118</v>
      </c>
      <c r="K181" s="174">
        <f t="shared" si="16"/>
        <v>41625.95177980372</v>
      </c>
      <c r="L181" s="266">
        <f t="shared" si="17"/>
        <v>85633.425323384552</v>
      </c>
      <c r="M181" s="102"/>
      <c r="N181" s="103"/>
      <c r="O181" s="100"/>
      <c r="P181" s="100"/>
      <c r="Q181" s="104"/>
    </row>
    <row r="182" spans="1:17" s="99" customFormat="1" x14ac:dyDescent="0.25">
      <c r="A182" s="137">
        <f>Données!A182</f>
        <v>5711</v>
      </c>
      <c r="B182" s="276" t="str">
        <f>Données!B182</f>
        <v>Commugny</v>
      </c>
      <c r="C182" s="137">
        <f>Données!AR182</f>
        <v>0</v>
      </c>
      <c r="D182" s="277">
        <f>Données!Z182</f>
        <v>2983</v>
      </c>
      <c r="E182" s="101">
        <f>Données!X182</f>
        <v>57</v>
      </c>
      <c r="F182" s="31">
        <f>VPI!L182</f>
        <v>16412958.25</v>
      </c>
      <c r="G182" s="8">
        <f t="shared" si="13"/>
        <v>575893.27192982461</v>
      </c>
      <c r="H182" s="26">
        <f t="shared" si="14"/>
        <v>263074.7366342718</v>
      </c>
      <c r="I182" s="8">
        <f t="shared" si="15"/>
        <v>263074.7366342718</v>
      </c>
      <c r="J182" s="8">
        <f>VPI!R182</f>
        <v>305460.14325236168</v>
      </c>
      <c r="K182" s="174">
        <f t="shared" si="16"/>
        <v>379024.82092307089</v>
      </c>
      <c r="L182" s="266">
        <f t="shared" si="17"/>
        <v>642099.55755734269</v>
      </c>
      <c r="M182" s="102"/>
      <c r="N182" s="103"/>
      <c r="O182" s="100"/>
      <c r="P182" s="100"/>
      <c r="Q182" s="104"/>
    </row>
    <row r="183" spans="1:17" s="99" customFormat="1" x14ac:dyDescent="0.25">
      <c r="A183" s="137">
        <f>Données!A183</f>
        <v>5712</v>
      </c>
      <c r="B183" s="276" t="str">
        <f>Données!B183</f>
        <v>Coppet</v>
      </c>
      <c r="C183" s="137">
        <f>Données!AR183</f>
        <v>0</v>
      </c>
      <c r="D183" s="277">
        <f>Données!Z183</f>
        <v>3184</v>
      </c>
      <c r="E183" s="101">
        <f>Données!X183</f>
        <v>53</v>
      </c>
      <c r="F183" s="31">
        <f>VPI!L183</f>
        <v>21137684.34</v>
      </c>
      <c r="G183" s="8">
        <f t="shared" si="13"/>
        <v>797648.46566037741</v>
      </c>
      <c r="H183" s="26">
        <f t="shared" si="14"/>
        <v>280801.19391334947</v>
      </c>
      <c r="I183" s="8">
        <f t="shared" si="15"/>
        <v>280801.19391334947</v>
      </c>
      <c r="J183" s="8">
        <f>VPI!R183</f>
        <v>422775.96742138366</v>
      </c>
      <c r="K183" s="174">
        <f t="shared" si="16"/>
        <v>524594.08823782462</v>
      </c>
      <c r="L183" s="266">
        <f t="shared" si="17"/>
        <v>805395.28215117403</v>
      </c>
      <c r="M183" s="102"/>
      <c r="N183" s="103"/>
      <c r="O183" s="100"/>
      <c r="P183" s="100"/>
      <c r="Q183" s="104"/>
    </row>
    <row r="184" spans="1:17" s="99" customFormat="1" x14ac:dyDescent="0.25">
      <c r="A184" s="137">
        <f>Données!A184</f>
        <v>5713</v>
      </c>
      <c r="B184" s="276" t="str">
        <f>Données!B184</f>
        <v>Crans</v>
      </c>
      <c r="C184" s="137">
        <f>Données!AR184</f>
        <v>1</v>
      </c>
      <c r="D184" s="277">
        <f>Données!Z184</f>
        <v>2357</v>
      </c>
      <c r="E184" s="101">
        <f>Données!X184</f>
        <v>59</v>
      </c>
      <c r="F184" s="31">
        <f>VPI!L184</f>
        <v>15847418.41</v>
      </c>
      <c r="G184" s="8">
        <f t="shared" si="13"/>
        <v>537200.62406779663</v>
      </c>
      <c r="H184" s="26">
        <f t="shared" si="14"/>
        <v>207866.9642128658</v>
      </c>
      <c r="I184" s="8">
        <f t="shared" si="15"/>
        <v>0</v>
      </c>
      <c r="J184" s="8">
        <f>VPI!R184</f>
        <v>284268.21966101695</v>
      </c>
      <c r="K184" s="174">
        <f t="shared" si="16"/>
        <v>352729.19702038442</v>
      </c>
      <c r="L184" s="266">
        <f t="shared" si="17"/>
        <v>352729.19702038442</v>
      </c>
      <c r="M184" s="102"/>
      <c r="N184" s="103"/>
      <c r="O184" s="100"/>
      <c r="P184" s="100"/>
      <c r="Q184" s="104"/>
    </row>
    <row r="185" spans="1:17" s="99" customFormat="1" x14ac:dyDescent="0.25">
      <c r="A185" s="137">
        <f>Données!A185</f>
        <v>5714</v>
      </c>
      <c r="B185" s="276" t="str">
        <f>Données!B185</f>
        <v>Crassier</v>
      </c>
      <c r="C185" s="137">
        <f>Données!AR185</f>
        <v>0</v>
      </c>
      <c r="D185" s="277">
        <f>Données!Z185</f>
        <v>1233</v>
      </c>
      <c r="E185" s="101">
        <f>Données!X185</f>
        <v>66.5</v>
      </c>
      <c r="F185" s="31">
        <f>VPI!L185</f>
        <v>3846745.9800000004</v>
      </c>
      <c r="G185" s="8">
        <f t="shared" si="13"/>
        <v>115691.60842105265</v>
      </c>
      <c r="H185" s="26">
        <f t="shared" si="14"/>
        <v>108739.9095776256</v>
      </c>
      <c r="I185" s="8">
        <f t="shared" si="15"/>
        <v>108739.9095776256</v>
      </c>
      <c r="J185" s="8">
        <f>VPI!R185</f>
        <v>62524.177894736851</v>
      </c>
      <c r="K185" s="174">
        <f t="shared" si="16"/>
        <v>77582.021266637501</v>
      </c>
      <c r="L185" s="266">
        <f t="shared" si="17"/>
        <v>186321.93084426312</v>
      </c>
      <c r="M185" s="102"/>
      <c r="N185" s="103"/>
      <c r="O185" s="100"/>
      <c r="P185" s="100"/>
      <c r="Q185" s="104"/>
    </row>
    <row r="186" spans="1:17" s="99" customFormat="1" x14ac:dyDescent="0.25">
      <c r="A186" s="137">
        <f>Données!A186</f>
        <v>5715</v>
      </c>
      <c r="B186" s="276" t="str">
        <f>Données!B186</f>
        <v>Duillier</v>
      </c>
      <c r="C186" s="137">
        <f>Données!AR186</f>
        <v>0</v>
      </c>
      <c r="D186" s="277">
        <f>Données!Z186</f>
        <v>1116</v>
      </c>
      <c r="E186" s="101">
        <f>Données!X186</f>
        <v>66</v>
      </c>
      <c r="F186" s="31">
        <f>VPI!L186</f>
        <v>3693962.1100000003</v>
      </c>
      <c r="G186" s="8">
        <f t="shared" si="13"/>
        <v>111938.24575757577</v>
      </c>
      <c r="H186" s="26">
        <f t="shared" si="14"/>
        <v>98421.523997266966</v>
      </c>
      <c r="I186" s="8">
        <f t="shared" si="15"/>
        <v>98421.523997266966</v>
      </c>
      <c r="J186" s="8">
        <f>VPI!R186</f>
        <v>60549.503181818189</v>
      </c>
      <c r="K186" s="174">
        <f t="shared" si="16"/>
        <v>75131.781043882918</v>
      </c>
      <c r="L186" s="266">
        <f t="shared" si="17"/>
        <v>173553.3050411499</v>
      </c>
      <c r="M186" s="102"/>
      <c r="N186" s="103"/>
      <c r="O186" s="100"/>
      <c r="P186" s="100"/>
      <c r="Q186" s="104"/>
    </row>
    <row r="187" spans="1:17" s="99" customFormat="1" x14ac:dyDescent="0.25">
      <c r="A187" s="137">
        <f>Données!A187</f>
        <v>5716</v>
      </c>
      <c r="B187" s="276" t="str">
        <f>Données!B187</f>
        <v>Eysins</v>
      </c>
      <c r="C187" s="137">
        <f>Données!AR187</f>
        <v>0</v>
      </c>
      <c r="D187" s="277">
        <f>Données!Z187</f>
        <v>1768</v>
      </c>
      <c r="E187" s="101">
        <f>Données!X187</f>
        <v>59.5</v>
      </c>
      <c r="F187" s="31">
        <f>VPI!L187</f>
        <v>12937986.93</v>
      </c>
      <c r="G187" s="8">
        <f t="shared" si="13"/>
        <v>434890.31697478989</v>
      </c>
      <c r="H187" s="26">
        <f t="shared" si="14"/>
        <v>155922.27099208601</v>
      </c>
      <c r="I187" s="8">
        <f t="shared" si="15"/>
        <v>155922.27099208601</v>
      </c>
      <c r="J187" s="8">
        <f>VPI!R187</f>
        <v>232449.31983193275</v>
      </c>
      <c r="K187" s="174">
        <f t="shared" si="16"/>
        <v>288430.63086695113</v>
      </c>
      <c r="L187" s="266">
        <f t="shared" si="17"/>
        <v>444352.90185903711</v>
      </c>
      <c r="M187" s="102"/>
      <c r="N187" s="103"/>
      <c r="O187" s="100"/>
      <c r="P187" s="100"/>
      <c r="Q187" s="104"/>
    </row>
    <row r="188" spans="1:17" s="99" customFormat="1" x14ac:dyDescent="0.25">
      <c r="A188" s="137">
        <f>Données!A188</f>
        <v>5717</v>
      </c>
      <c r="B188" s="276" t="str">
        <f>Données!B188</f>
        <v>Founex</v>
      </c>
      <c r="C188" s="137">
        <f>Données!AR188</f>
        <v>0</v>
      </c>
      <c r="D188" s="277">
        <f>Données!Z188</f>
        <v>3763</v>
      </c>
      <c r="E188" s="101">
        <f>Données!X188</f>
        <v>57</v>
      </c>
      <c r="F188" s="31">
        <f>VPI!L188</f>
        <v>19170265.68</v>
      </c>
      <c r="G188" s="8">
        <f t="shared" si="13"/>
        <v>672640.90105263155</v>
      </c>
      <c r="H188" s="26">
        <f t="shared" si="14"/>
        <v>331863.97383666271</v>
      </c>
      <c r="I188" s="8">
        <f t="shared" si="15"/>
        <v>331863.97383666271</v>
      </c>
      <c r="J188" s="8">
        <f>VPI!R188</f>
        <v>361580.60666666663</v>
      </c>
      <c r="K188" s="174">
        <f t="shared" si="16"/>
        <v>448660.90623765544</v>
      </c>
      <c r="L188" s="266">
        <f t="shared" si="17"/>
        <v>780524.88007431815</v>
      </c>
      <c r="M188" s="102"/>
      <c r="N188" s="103"/>
      <c r="O188" s="100"/>
      <c r="P188" s="100"/>
      <c r="Q188" s="104"/>
    </row>
    <row r="189" spans="1:17" s="99" customFormat="1" x14ac:dyDescent="0.25">
      <c r="A189" s="137">
        <f>Données!A189</f>
        <v>5718</v>
      </c>
      <c r="B189" s="276" t="str">
        <f>Données!B189</f>
        <v>Genolier</v>
      </c>
      <c r="C189" s="137">
        <f>Données!AR189</f>
        <v>0</v>
      </c>
      <c r="D189" s="277">
        <f>Données!Z189</f>
        <v>2026</v>
      </c>
      <c r="E189" s="101">
        <f>Données!X189</f>
        <v>55</v>
      </c>
      <c r="F189" s="31">
        <f>VPI!L189</f>
        <v>10939060.519999998</v>
      </c>
      <c r="G189" s="8">
        <f t="shared" si="13"/>
        <v>397784.01890909084</v>
      </c>
      <c r="H189" s="26">
        <f t="shared" si="14"/>
        <v>178675.634066723</v>
      </c>
      <c r="I189" s="8">
        <f t="shared" si="15"/>
        <v>178675.634066723</v>
      </c>
      <c r="J189" s="8">
        <f>VPI!R189</f>
        <v>212690.22036363633</v>
      </c>
      <c r="K189" s="174">
        <f t="shared" si="16"/>
        <v>263912.90145770094</v>
      </c>
      <c r="L189" s="266">
        <f t="shared" si="17"/>
        <v>442588.53552442393</v>
      </c>
      <c r="M189" s="102"/>
      <c r="N189" s="103"/>
      <c r="O189" s="100"/>
      <c r="P189" s="100"/>
      <c r="Q189" s="104"/>
    </row>
    <row r="190" spans="1:17" s="99" customFormat="1" x14ac:dyDescent="0.25">
      <c r="A190" s="137">
        <f>Données!A190</f>
        <v>5719</v>
      </c>
      <c r="B190" s="276" t="str">
        <f>Données!B190</f>
        <v>Gingins</v>
      </c>
      <c r="C190" s="137">
        <f>Données!AR190</f>
        <v>0</v>
      </c>
      <c r="D190" s="277">
        <f>Données!Z190</f>
        <v>1270</v>
      </c>
      <c r="E190" s="101">
        <f>Données!X190</f>
        <v>60</v>
      </c>
      <c r="F190" s="31">
        <f>VPI!L190</f>
        <v>6743240.9999999991</v>
      </c>
      <c r="G190" s="8">
        <f t="shared" si="13"/>
        <v>224774.69999999998</v>
      </c>
      <c r="H190" s="26">
        <f t="shared" si="14"/>
        <v>112002.98877825183</v>
      </c>
      <c r="I190" s="8">
        <f t="shared" si="15"/>
        <v>112002.98877825183</v>
      </c>
      <c r="J190" s="8">
        <f>VPI!R190</f>
        <v>119942.45777777776</v>
      </c>
      <c r="K190" s="174">
        <f t="shared" si="16"/>
        <v>148828.47921254524</v>
      </c>
      <c r="L190" s="266">
        <f t="shared" si="17"/>
        <v>260831.46799079707</v>
      </c>
      <c r="M190" s="102"/>
      <c r="N190" s="103"/>
      <c r="O190" s="100"/>
      <c r="P190" s="100"/>
      <c r="Q190" s="104"/>
    </row>
    <row r="191" spans="1:17" s="99" customFormat="1" x14ac:dyDescent="0.25">
      <c r="A191" s="137">
        <f>Données!A191</f>
        <v>5720</v>
      </c>
      <c r="B191" s="276" t="str">
        <f>Données!B191</f>
        <v>Givrins</v>
      </c>
      <c r="C191" s="137">
        <f>Données!AR191</f>
        <v>0</v>
      </c>
      <c r="D191" s="277">
        <f>Données!Z191</f>
        <v>1024</v>
      </c>
      <c r="E191" s="101">
        <f>Données!X191</f>
        <v>67</v>
      </c>
      <c r="F191" s="31">
        <f>VPI!L191</f>
        <v>5357178.2300000004</v>
      </c>
      <c r="G191" s="8">
        <f t="shared" si="13"/>
        <v>159915.76805970151</v>
      </c>
      <c r="H191" s="26">
        <f t="shared" si="14"/>
        <v>90307.921660574706</v>
      </c>
      <c r="I191" s="8">
        <f t="shared" si="15"/>
        <v>90307.921660574706</v>
      </c>
      <c r="J191" s="8">
        <f>VPI!R191</f>
        <v>84867.165124378109</v>
      </c>
      <c r="K191" s="174">
        <f t="shared" si="16"/>
        <v>105305.92214428748</v>
      </c>
      <c r="L191" s="266">
        <f t="shared" si="17"/>
        <v>195613.84380486218</v>
      </c>
      <c r="M191" s="102"/>
      <c r="N191" s="103"/>
      <c r="O191" s="100"/>
      <c r="P191" s="100"/>
      <c r="Q191" s="104"/>
    </row>
    <row r="192" spans="1:17" s="99" customFormat="1" x14ac:dyDescent="0.25">
      <c r="A192" s="137">
        <f>Données!A192</f>
        <v>5721</v>
      </c>
      <c r="B192" s="276" t="str">
        <f>Données!B192</f>
        <v>Gland</v>
      </c>
      <c r="C192" s="137">
        <f>Données!AR192</f>
        <v>0</v>
      </c>
      <c r="D192" s="277">
        <f>Données!Z192</f>
        <v>13686</v>
      </c>
      <c r="E192" s="101">
        <f>Données!X192</f>
        <v>61</v>
      </c>
      <c r="F192" s="31">
        <f>VPI!L192</f>
        <v>38381642.259999998</v>
      </c>
      <c r="G192" s="8">
        <f t="shared" si="13"/>
        <v>1258414.5003278689</v>
      </c>
      <c r="H192" s="26">
        <f t="shared" si="14"/>
        <v>1206986.53891272</v>
      </c>
      <c r="I192" s="8">
        <f t="shared" si="15"/>
        <v>1206986.53891272</v>
      </c>
      <c r="J192" s="8">
        <f>VPI!R192</f>
        <v>688905.14770491805</v>
      </c>
      <c r="K192" s="174">
        <f t="shared" si="16"/>
        <v>854815.77878432244</v>
      </c>
      <c r="L192" s="266">
        <f t="shared" si="17"/>
        <v>2061802.3176970426</v>
      </c>
      <c r="M192" s="102"/>
      <c r="N192" s="103"/>
      <c r="O192" s="100"/>
      <c r="P192" s="100"/>
      <c r="Q192" s="104"/>
    </row>
    <row r="193" spans="1:17" s="99" customFormat="1" x14ac:dyDescent="0.25">
      <c r="A193" s="137">
        <f>Données!A193</f>
        <v>5722</v>
      </c>
      <c r="B193" s="276" t="str">
        <f>Données!B193</f>
        <v>Grens</v>
      </c>
      <c r="C193" s="137">
        <f>Données!AR193</f>
        <v>0</v>
      </c>
      <c r="D193" s="277">
        <f>Données!Z193</f>
        <v>400</v>
      </c>
      <c r="E193" s="101">
        <f>Données!X193</f>
        <v>62</v>
      </c>
      <c r="F193" s="31">
        <f>VPI!L193</f>
        <v>1194908.1199999999</v>
      </c>
      <c r="G193" s="8">
        <f t="shared" si="13"/>
        <v>38545.423225806451</v>
      </c>
      <c r="H193" s="26">
        <f t="shared" si="14"/>
        <v>35276.531898661997</v>
      </c>
      <c r="I193" s="8">
        <f t="shared" si="15"/>
        <v>35276.531898661997</v>
      </c>
      <c r="J193" s="8">
        <f>VPI!R193</f>
        <v>20912.601129032257</v>
      </c>
      <c r="K193" s="174">
        <f t="shared" si="16"/>
        <v>25949.03156127482</v>
      </c>
      <c r="L193" s="266">
        <f t="shared" si="17"/>
        <v>61225.56345993682</v>
      </c>
      <c r="M193" s="102"/>
      <c r="N193" s="103"/>
      <c r="O193" s="100"/>
      <c r="P193" s="100"/>
      <c r="Q193" s="104"/>
    </row>
    <row r="194" spans="1:17" s="99" customFormat="1" x14ac:dyDescent="0.25">
      <c r="A194" s="137">
        <f>Données!A194</f>
        <v>5723</v>
      </c>
      <c r="B194" s="276" t="str">
        <f>Données!B194</f>
        <v>Mies</v>
      </c>
      <c r="C194" s="137">
        <f>Données!AR194</f>
        <v>0</v>
      </c>
      <c r="D194" s="277">
        <f>Données!Z194</f>
        <v>2226</v>
      </c>
      <c r="E194" s="101">
        <f>Données!X194</f>
        <v>52</v>
      </c>
      <c r="F194" s="31">
        <f>VPI!L194</f>
        <v>12235525.410000002</v>
      </c>
      <c r="G194" s="8">
        <f t="shared" si="13"/>
        <v>470597.13115384622</v>
      </c>
      <c r="H194" s="26">
        <f t="shared" si="14"/>
        <v>196313.90001605399</v>
      </c>
      <c r="I194" s="8">
        <f t="shared" si="15"/>
        <v>196313.90001605399</v>
      </c>
      <c r="J194" s="8">
        <f>VPI!R194</f>
        <v>253768.06750000003</v>
      </c>
      <c r="K194" s="174">
        <f t="shared" si="16"/>
        <v>314883.62218411162</v>
      </c>
      <c r="L194" s="266">
        <f t="shared" si="17"/>
        <v>511197.52220016561</v>
      </c>
      <c r="M194" s="102"/>
      <c r="N194" s="103"/>
      <c r="O194" s="100"/>
      <c r="P194" s="100"/>
      <c r="Q194" s="104"/>
    </row>
    <row r="195" spans="1:17" s="99" customFormat="1" x14ac:dyDescent="0.25">
      <c r="A195" s="137">
        <f>Données!A195</f>
        <v>5724</v>
      </c>
      <c r="B195" s="276" t="str">
        <f>Données!B195</f>
        <v>Nyon</v>
      </c>
      <c r="C195" s="137">
        <f>Données!AR195</f>
        <v>1</v>
      </c>
      <c r="D195" s="277">
        <f>Données!Z195</f>
        <v>22461</v>
      </c>
      <c r="E195" s="101">
        <f>Données!X195</f>
        <v>61</v>
      </c>
      <c r="F195" s="31">
        <f>VPI!L195</f>
        <v>85878501.180000007</v>
      </c>
      <c r="G195" s="8">
        <f t="shared" si="13"/>
        <v>2815688.5632786886</v>
      </c>
      <c r="H195" s="26">
        <f t="shared" si="14"/>
        <v>1980865.4574396177</v>
      </c>
      <c r="I195" s="8">
        <f t="shared" si="15"/>
        <v>0</v>
      </c>
      <c r="J195" s="8">
        <f>VPI!R195</f>
        <v>1519986.9332786887</v>
      </c>
      <c r="K195" s="174">
        <f t="shared" si="16"/>
        <v>1886048.9262436971</v>
      </c>
      <c r="L195" s="266">
        <f t="shared" si="17"/>
        <v>1886048.9262436971</v>
      </c>
      <c r="M195" s="102"/>
      <c r="N195" s="103"/>
      <c r="O195" s="100"/>
      <c r="P195" s="100"/>
      <c r="Q195" s="104"/>
    </row>
    <row r="196" spans="1:17" s="99" customFormat="1" x14ac:dyDescent="0.25">
      <c r="A196" s="137">
        <f>Données!A196</f>
        <v>5725</v>
      </c>
      <c r="B196" s="276" t="str">
        <f>Données!B196</f>
        <v>Prangins</v>
      </c>
      <c r="C196" s="137">
        <f>Données!AR196</f>
        <v>1</v>
      </c>
      <c r="D196" s="277">
        <f>Données!Z196</f>
        <v>4277</v>
      </c>
      <c r="E196" s="101">
        <f>Données!X196</f>
        <v>55</v>
      </c>
      <c r="F196" s="31">
        <f>VPI!L196</f>
        <v>20159611.729999997</v>
      </c>
      <c r="G196" s="8">
        <f t="shared" si="13"/>
        <v>733076.79018181807</v>
      </c>
      <c r="H196" s="26">
        <f t="shared" si="14"/>
        <v>377194.31732644339</v>
      </c>
      <c r="I196" s="8">
        <f t="shared" si="15"/>
        <v>0</v>
      </c>
      <c r="J196" s="8">
        <f>VPI!R196</f>
        <v>388906.70535064931</v>
      </c>
      <c r="K196" s="174">
        <f t="shared" si="16"/>
        <v>482568.01290612132</v>
      </c>
      <c r="L196" s="266">
        <f t="shared" si="17"/>
        <v>482568.01290612132</v>
      </c>
      <c r="M196" s="102"/>
      <c r="N196" s="103"/>
      <c r="O196" s="100"/>
      <c r="P196" s="100"/>
      <c r="Q196" s="104"/>
    </row>
    <row r="197" spans="1:17" s="99" customFormat="1" x14ac:dyDescent="0.25">
      <c r="A197" s="137">
        <f>Données!A197</f>
        <v>5726</v>
      </c>
      <c r="B197" s="276" t="str">
        <f>Données!B197</f>
        <v>La Rippe</v>
      </c>
      <c r="C197" s="137">
        <f>Données!AR197</f>
        <v>0</v>
      </c>
      <c r="D197" s="277">
        <f>Données!Z197</f>
        <v>1197</v>
      </c>
      <c r="E197" s="101">
        <f>Données!X197</f>
        <v>64</v>
      </c>
      <c r="F197" s="31">
        <f>VPI!L197</f>
        <v>4179104.310000001</v>
      </c>
      <c r="G197" s="8">
        <f t="shared" si="13"/>
        <v>130597.00968750003</v>
      </c>
      <c r="H197" s="26">
        <f t="shared" si="14"/>
        <v>105565.02170674602</v>
      </c>
      <c r="I197" s="8">
        <f t="shared" si="15"/>
        <v>105565.02170674602</v>
      </c>
      <c r="J197" s="8">
        <f>VPI!R197</f>
        <v>69785.14234375002</v>
      </c>
      <c r="K197" s="174">
        <f t="shared" si="16"/>
        <v>86591.660693612794</v>
      </c>
      <c r="L197" s="266">
        <f t="shared" si="17"/>
        <v>192156.68240035881</v>
      </c>
      <c r="M197" s="102"/>
      <c r="N197" s="103"/>
      <c r="O197" s="100"/>
      <c r="P197" s="100"/>
      <c r="Q197" s="104"/>
    </row>
    <row r="198" spans="1:17" s="99" customFormat="1" x14ac:dyDescent="0.25">
      <c r="A198" s="137">
        <f>Données!A198</f>
        <v>5727</v>
      </c>
      <c r="B198" s="276" t="str">
        <f>Données!B198</f>
        <v>Saint-Cergue</v>
      </c>
      <c r="C198" s="137">
        <f>Données!AR198</f>
        <v>0</v>
      </c>
      <c r="D198" s="277">
        <f>Données!Z198</f>
        <v>2786</v>
      </c>
      <c r="E198" s="101">
        <f>Données!X198</f>
        <v>66</v>
      </c>
      <c r="F198" s="31">
        <f>VPI!L198</f>
        <v>6489232.1500000013</v>
      </c>
      <c r="G198" s="8">
        <f t="shared" si="13"/>
        <v>196643.39848484853</v>
      </c>
      <c r="H198" s="26">
        <f t="shared" si="14"/>
        <v>245701.0446741808</v>
      </c>
      <c r="I198" s="8">
        <f t="shared" si="15"/>
        <v>196643.39848484853</v>
      </c>
      <c r="J198" s="8">
        <f>VPI!R198</f>
        <v>107047.00984848487</v>
      </c>
      <c r="K198" s="174">
        <f t="shared" si="16"/>
        <v>132827.39052686046</v>
      </c>
      <c r="L198" s="266">
        <f t="shared" si="17"/>
        <v>329470.78901170898</v>
      </c>
      <c r="M198" s="102"/>
      <c r="N198" s="103"/>
      <c r="O198" s="100"/>
      <c r="P198" s="100"/>
      <c r="Q198" s="104"/>
    </row>
    <row r="199" spans="1:17" s="99" customFormat="1" x14ac:dyDescent="0.25">
      <c r="A199" s="137">
        <f>Données!A199</f>
        <v>5728</v>
      </c>
      <c r="B199" s="276" t="str">
        <f>Données!B199</f>
        <v>Signy-Avenex</v>
      </c>
      <c r="C199" s="137">
        <f>Données!AR199</f>
        <v>0</v>
      </c>
      <c r="D199" s="277">
        <f>Données!Z199</f>
        <v>583</v>
      </c>
      <c r="E199" s="101">
        <f>Données!X199</f>
        <v>58</v>
      </c>
      <c r="F199" s="31">
        <f>VPI!L199</f>
        <v>3513441.4</v>
      </c>
      <c r="G199" s="8">
        <f t="shared" ref="G199:G262" si="18">F199/E199*2</f>
        <v>121153.15172413793</v>
      </c>
      <c r="H199" s="26">
        <f t="shared" ref="H199:H262" si="19">+$G$306/$D$306*D199</f>
        <v>51415.545242299857</v>
      </c>
      <c r="I199" s="8">
        <f t="shared" ref="I199:I262" si="20">IF(C199=1,0,IF(H199&gt;G199,G199,H199))</f>
        <v>51415.545242299857</v>
      </c>
      <c r="J199" s="8">
        <f>VPI!R199</f>
        <v>65974.816379310345</v>
      </c>
      <c r="K199" s="174">
        <f t="shared" ref="K199:K262" si="21">+$K$5*J199</f>
        <v>81863.685053474648</v>
      </c>
      <c r="L199" s="266">
        <f t="shared" ref="L199:L262" si="22">+K199+I199</f>
        <v>133279.2302957745</v>
      </c>
      <c r="M199" s="102"/>
      <c r="N199" s="103"/>
      <c r="O199" s="100"/>
      <c r="P199" s="100"/>
      <c r="Q199" s="104"/>
    </row>
    <row r="200" spans="1:17" s="99" customFormat="1" x14ac:dyDescent="0.25">
      <c r="A200" s="137">
        <f>Données!A200</f>
        <v>5729</v>
      </c>
      <c r="B200" s="276" t="str">
        <f>Données!B200</f>
        <v>Tannay</v>
      </c>
      <c r="C200" s="137">
        <f>Données!AR200</f>
        <v>0</v>
      </c>
      <c r="D200" s="277">
        <f>Données!Z200</f>
        <v>1720</v>
      </c>
      <c r="E200" s="101">
        <f>Données!X200</f>
        <v>60.5</v>
      </c>
      <c r="F200" s="31">
        <f>VPI!L200</f>
        <v>10813970.380000003</v>
      </c>
      <c r="G200" s="8">
        <f t="shared" si="18"/>
        <v>357486.62413223152</v>
      </c>
      <c r="H200" s="26">
        <f t="shared" si="19"/>
        <v>151689.08716424656</v>
      </c>
      <c r="I200" s="8">
        <f t="shared" si="20"/>
        <v>151689.08716424656</v>
      </c>
      <c r="J200" s="8">
        <f>VPI!R200</f>
        <v>189083.86110192843</v>
      </c>
      <c r="K200" s="174">
        <f t="shared" si="21"/>
        <v>234621.36771929616</v>
      </c>
      <c r="L200" s="266">
        <f t="shared" si="22"/>
        <v>386310.45488354273</v>
      </c>
      <c r="M200" s="102"/>
      <c r="N200" s="103"/>
      <c r="O200" s="100"/>
      <c r="P200" s="100"/>
      <c r="Q200" s="104"/>
    </row>
    <row r="201" spans="1:17" s="99" customFormat="1" x14ac:dyDescent="0.25">
      <c r="A201" s="137">
        <f>Données!A201</f>
        <v>5730</v>
      </c>
      <c r="B201" s="276" t="str">
        <f>Données!B201</f>
        <v>Trélex</v>
      </c>
      <c r="C201" s="137">
        <f>Données!AR201</f>
        <v>0</v>
      </c>
      <c r="D201" s="277">
        <f>Données!Z201</f>
        <v>1427</v>
      </c>
      <c r="E201" s="101">
        <f>Données!X201</f>
        <v>55.5</v>
      </c>
      <c r="F201" s="31">
        <f>VPI!L201</f>
        <v>6270102.0100000007</v>
      </c>
      <c r="G201" s="8">
        <f t="shared" si="18"/>
        <v>225949.621981982</v>
      </c>
      <c r="H201" s="26">
        <f t="shared" si="19"/>
        <v>125849.02754847666</v>
      </c>
      <c r="I201" s="8">
        <f t="shared" si="20"/>
        <v>125849.02754847666</v>
      </c>
      <c r="J201" s="8">
        <f>VPI!R201</f>
        <v>121413.58176176177</v>
      </c>
      <c r="K201" s="174">
        <f t="shared" si="21"/>
        <v>150653.89741162109</v>
      </c>
      <c r="L201" s="266">
        <f t="shared" si="22"/>
        <v>276502.92496009776</v>
      </c>
      <c r="M201" s="102"/>
      <c r="N201" s="103"/>
      <c r="O201" s="100"/>
      <c r="P201" s="100"/>
      <c r="Q201" s="104"/>
    </row>
    <row r="202" spans="1:17" s="99" customFormat="1" x14ac:dyDescent="0.25">
      <c r="A202" s="137">
        <f>Données!A202</f>
        <v>5731</v>
      </c>
      <c r="B202" s="276" t="str">
        <f>Données!B202</f>
        <v>Le Vaud</v>
      </c>
      <c r="C202" s="137">
        <f>Données!AR202</f>
        <v>0</v>
      </c>
      <c r="D202" s="277">
        <f>Données!Z202</f>
        <v>1411</v>
      </c>
      <c r="E202" s="101">
        <f>Données!X202</f>
        <v>74</v>
      </c>
      <c r="F202" s="31">
        <f>VPI!L202</f>
        <v>4859070.16</v>
      </c>
      <c r="G202" s="8">
        <f t="shared" si="18"/>
        <v>131326.22054054055</v>
      </c>
      <c r="H202" s="26">
        <f t="shared" si="19"/>
        <v>124437.96627253019</v>
      </c>
      <c r="I202" s="8">
        <f t="shared" si="20"/>
        <v>124437.96627253019</v>
      </c>
      <c r="J202" s="8">
        <f>VPI!R202</f>
        <v>69610.281891891893</v>
      </c>
      <c r="K202" s="174">
        <f t="shared" si="21"/>
        <v>86374.688191909692</v>
      </c>
      <c r="L202" s="266">
        <f t="shared" si="22"/>
        <v>210812.6544644399</v>
      </c>
      <c r="M202" s="102"/>
      <c r="N202" s="103"/>
      <c r="O202" s="100"/>
      <c r="P202" s="100"/>
      <c r="Q202" s="104"/>
    </row>
    <row r="203" spans="1:17" s="99" customFormat="1" x14ac:dyDescent="0.25">
      <c r="A203" s="137">
        <f>Données!A203</f>
        <v>5732</v>
      </c>
      <c r="B203" s="276" t="str">
        <f>Données!B203</f>
        <v>Vich</v>
      </c>
      <c r="C203" s="137">
        <f>Données!AR203</f>
        <v>0</v>
      </c>
      <c r="D203" s="277">
        <f>Données!Z203</f>
        <v>1160</v>
      </c>
      <c r="E203" s="101">
        <f>Données!X203</f>
        <v>63</v>
      </c>
      <c r="F203" s="31">
        <f>VPI!L203</f>
        <v>4633166.6000000015</v>
      </c>
      <c r="G203" s="8">
        <f t="shared" si="18"/>
        <v>147084.65396825402</v>
      </c>
      <c r="H203" s="26">
        <f t="shared" si="19"/>
        <v>102301.94250611978</v>
      </c>
      <c r="I203" s="8">
        <f t="shared" si="20"/>
        <v>102301.94250611978</v>
      </c>
      <c r="J203" s="8">
        <f>VPI!R203</f>
        <v>79859.716666666689</v>
      </c>
      <c r="K203" s="174">
        <f t="shared" si="21"/>
        <v>99092.518212902709</v>
      </c>
      <c r="L203" s="266">
        <f t="shared" si="22"/>
        <v>201394.46071902249</v>
      </c>
      <c r="M203" s="102"/>
      <c r="N203" s="103"/>
      <c r="O203" s="100"/>
      <c r="P203" s="100"/>
      <c r="Q203" s="104"/>
    </row>
    <row r="204" spans="1:17" s="99" customFormat="1" x14ac:dyDescent="0.25">
      <c r="A204" s="137">
        <f>Données!A204</f>
        <v>5741</v>
      </c>
      <c r="B204" s="276" t="str">
        <f>Données!B204</f>
        <v>L'Abergement</v>
      </c>
      <c r="C204" s="137">
        <f>Données!AR204</f>
        <v>0</v>
      </c>
      <c r="D204" s="277">
        <f>Données!Z204</f>
        <v>260</v>
      </c>
      <c r="E204" s="101">
        <f>Données!X204</f>
        <v>80</v>
      </c>
      <c r="F204" s="31">
        <f>VPI!L204</f>
        <v>823017.60999999987</v>
      </c>
      <c r="G204" s="8">
        <f t="shared" si="18"/>
        <v>20575.440249999996</v>
      </c>
      <c r="H204" s="26">
        <f t="shared" si="19"/>
        <v>22929.745734130298</v>
      </c>
      <c r="I204" s="8">
        <f t="shared" si="20"/>
        <v>20575.440249999996</v>
      </c>
      <c r="J204" s="8">
        <f>VPI!R204</f>
        <v>10833.767520833331</v>
      </c>
      <c r="K204" s="174">
        <f t="shared" si="21"/>
        <v>13442.888983108885</v>
      </c>
      <c r="L204" s="266">
        <f t="shared" si="22"/>
        <v>34018.329233108881</v>
      </c>
      <c r="M204" s="102"/>
      <c r="N204" s="103"/>
      <c r="O204" s="100"/>
      <c r="P204" s="100"/>
      <c r="Q204" s="104"/>
    </row>
    <row r="205" spans="1:17" s="99" customFormat="1" x14ac:dyDescent="0.25">
      <c r="A205" s="137">
        <f>Données!A205</f>
        <v>5742</v>
      </c>
      <c r="B205" s="276" t="str">
        <f>Données!B205</f>
        <v>Agiez</v>
      </c>
      <c r="C205" s="137">
        <f>Données!AR205</f>
        <v>0</v>
      </c>
      <c r="D205" s="277">
        <f>Données!Z205</f>
        <v>381</v>
      </c>
      <c r="E205" s="101">
        <f>Données!X205</f>
        <v>76</v>
      </c>
      <c r="F205" s="31">
        <f>VPI!L205</f>
        <v>625027.72000000009</v>
      </c>
      <c r="G205" s="8">
        <f t="shared" si="18"/>
        <v>16448.097894736846</v>
      </c>
      <c r="H205" s="26">
        <f t="shared" si="19"/>
        <v>33600.896633475553</v>
      </c>
      <c r="I205" s="8">
        <f t="shared" si="20"/>
        <v>16448.097894736846</v>
      </c>
      <c r="J205" s="8">
        <f>VPI!R205</f>
        <v>9049.0200000000023</v>
      </c>
      <c r="K205" s="174">
        <f t="shared" si="21"/>
        <v>11228.316560421734</v>
      </c>
      <c r="L205" s="266">
        <f t="shared" si="22"/>
        <v>27676.414455158578</v>
      </c>
      <c r="M205" s="102"/>
      <c r="N205" s="103"/>
      <c r="O205" s="100"/>
      <c r="P205" s="100"/>
      <c r="Q205" s="104"/>
    </row>
    <row r="206" spans="1:17" s="99" customFormat="1" x14ac:dyDescent="0.25">
      <c r="A206" s="137">
        <f>Données!A206</f>
        <v>5743</v>
      </c>
      <c r="B206" s="276" t="str">
        <f>Données!B206</f>
        <v>Arnex-sur-Orbe</v>
      </c>
      <c r="C206" s="137">
        <f>Données!AR206</f>
        <v>0</v>
      </c>
      <c r="D206" s="277">
        <f>Données!Z206</f>
        <v>692</v>
      </c>
      <c r="E206" s="101">
        <f>Données!X206</f>
        <v>71</v>
      </c>
      <c r="F206" s="31">
        <f>VPI!L206</f>
        <v>1287313.8400000001</v>
      </c>
      <c r="G206" s="8">
        <f t="shared" si="18"/>
        <v>36262.361690140846</v>
      </c>
      <c r="H206" s="26">
        <f t="shared" si="19"/>
        <v>61028.400184685248</v>
      </c>
      <c r="I206" s="8">
        <f t="shared" si="20"/>
        <v>36262.361690140846</v>
      </c>
      <c r="J206" s="8">
        <f>VPI!R206</f>
        <v>19423.434366197183</v>
      </c>
      <c r="K206" s="174">
        <f t="shared" si="21"/>
        <v>24101.225298898265</v>
      </c>
      <c r="L206" s="266">
        <f t="shared" si="22"/>
        <v>60363.586989039111</v>
      </c>
      <c r="M206" s="102"/>
      <c r="N206" s="103"/>
      <c r="O206" s="100"/>
      <c r="P206" s="100"/>
      <c r="Q206" s="104"/>
    </row>
    <row r="207" spans="1:17" s="99" customFormat="1" x14ac:dyDescent="0.25">
      <c r="A207" s="137">
        <f>Données!A207</f>
        <v>5744</v>
      </c>
      <c r="B207" s="276" t="str">
        <f>Données!B207</f>
        <v>Ballaigues</v>
      </c>
      <c r="C207" s="137">
        <f>Données!AR207</f>
        <v>0</v>
      </c>
      <c r="D207" s="277">
        <f>Données!Z207</f>
        <v>1152</v>
      </c>
      <c r="E207" s="101">
        <f>Données!X207</f>
        <v>65</v>
      </c>
      <c r="F207" s="31">
        <f>VPI!L207</f>
        <v>3321440.7800000007</v>
      </c>
      <c r="G207" s="8">
        <f t="shared" si="18"/>
        <v>102198.17784615386</v>
      </c>
      <c r="H207" s="26">
        <f t="shared" si="19"/>
        <v>101596.41186814655</v>
      </c>
      <c r="I207" s="8">
        <f t="shared" si="20"/>
        <v>101596.41186814655</v>
      </c>
      <c r="J207" s="8">
        <f>VPI!R207</f>
        <v>54083.704307692322</v>
      </c>
      <c r="K207" s="174">
        <f t="shared" si="21"/>
        <v>67108.8087690174</v>
      </c>
      <c r="L207" s="266">
        <f t="shared" si="22"/>
        <v>168705.22063716396</v>
      </c>
      <c r="M207" s="102"/>
      <c r="N207" s="103"/>
      <c r="O207" s="100"/>
      <c r="P207" s="100"/>
      <c r="Q207" s="104"/>
    </row>
    <row r="208" spans="1:17" s="99" customFormat="1" x14ac:dyDescent="0.25">
      <c r="A208" s="137">
        <f>Données!A208</f>
        <v>5745</v>
      </c>
      <c r="B208" s="276" t="str">
        <f>Données!B208</f>
        <v>Baulmes</v>
      </c>
      <c r="C208" s="137">
        <f>Données!AR208</f>
        <v>0</v>
      </c>
      <c r="D208" s="277">
        <f>Données!Z208</f>
        <v>1132</v>
      </c>
      <c r="E208" s="101">
        <f>Données!X208</f>
        <v>76.5</v>
      </c>
      <c r="F208" s="31">
        <f>VPI!L208</f>
        <v>1961886.8900000001</v>
      </c>
      <c r="G208" s="8">
        <f t="shared" si="18"/>
        <v>51291.16052287582</v>
      </c>
      <c r="H208" s="26">
        <f t="shared" si="19"/>
        <v>99832.585273213452</v>
      </c>
      <c r="I208" s="8">
        <f t="shared" si="20"/>
        <v>51291.16052287582</v>
      </c>
      <c r="J208" s="8">
        <f>VPI!R208</f>
        <v>27704.620130718955</v>
      </c>
      <c r="K208" s="174">
        <f t="shared" si="21"/>
        <v>34376.78831673981</v>
      </c>
      <c r="L208" s="266">
        <f t="shared" si="22"/>
        <v>85667.948839615623</v>
      </c>
      <c r="M208" s="102"/>
      <c r="N208" s="103"/>
      <c r="O208" s="100"/>
      <c r="P208" s="100"/>
      <c r="Q208" s="104"/>
    </row>
    <row r="209" spans="1:17" s="99" customFormat="1" x14ac:dyDescent="0.25">
      <c r="A209" s="137">
        <f>Données!A209</f>
        <v>5746</v>
      </c>
      <c r="B209" s="276" t="str">
        <f>Données!B209</f>
        <v>Bavois</v>
      </c>
      <c r="C209" s="137">
        <f>Données!AR209</f>
        <v>0</v>
      </c>
      <c r="D209" s="277">
        <f>Données!Z209</f>
        <v>1009</v>
      </c>
      <c r="E209" s="101">
        <f>Données!X209</f>
        <v>72</v>
      </c>
      <c r="F209" s="31">
        <f>VPI!L209</f>
        <v>1911475.2699999998</v>
      </c>
      <c r="G209" s="8">
        <f t="shared" si="18"/>
        <v>53096.535277777773</v>
      </c>
      <c r="H209" s="26">
        <f t="shared" si="19"/>
        <v>88985.051714374888</v>
      </c>
      <c r="I209" s="8">
        <f t="shared" si="20"/>
        <v>53096.535277777773</v>
      </c>
      <c r="J209" s="8">
        <f>VPI!R209</f>
        <v>29513.069143518514</v>
      </c>
      <c r="K209" s="174">
        <f t="shared" si="21"/>
        <v>36620.770316900671</v>
      </c>
      <c r="L209" s="266">
        <f t="shared" si="22"/>
        <v>89717.305594678444</v>
      </c>
      <c r="M209" s="102"/>
      <c r="N209" s="103"/>
      <c r="O209" s="100"/>
      <c r="P209" s="100"/>
      <c r="Q209" s="104"/>
    </row>
    <row r="210" spans="1:17" s="99" customFormat="1" x14ac:dyDescent="0.25">
      <c r="A210" s="137">
        <f>Données!A210</f>
        <v>5747</v>
      </c>
      <c r="B210" s="276" t="str">
        <f>Données!B210</f>
        <v>Bofflens</v>
      </c>
      <c r="C210" s="137">
        <f>Données!AR210</f>
        <v>0</v>
      </c>
      <c r="D210" s="277">
        <f>Données!Z210</f>
        <v>204</v>
      </c>
      <c r="E210" s="101">
        <f>Données!X210</f>
        <v>69</v>
      </c>
      <c r="F210" s="31">
        <f>VPI!L210</f>
        <v>364380.2699999999</v>
      </c>
      <c r="G210" s="8">
        <f t="shared" si="18"/>
        <v>10561.746956521736</v>
      </c>
      <c r="H210" s="26">
        <f t="shared" si="19"/>
        <v>17991.031268317616</v>
      </c>
      <c r="I210" s="8">
        <f t="shared" si="20"/>
        <v>10561.746956521736</v>
      </c>
      <c r="J210" s="8">
        <f>VPI!R210</f>
        <v>5777.9618840579697</v>
      </c>
      <c r="K210" s="174">
        <f t="shared" si="21"/>
        <v>7169.4819006095295</v>
      </c>
      <c r="L210" s="266">
        <f t="shared" si="22"/>
        <v>17731.228857131267</v>
      </c>
      <c r="M210" s="102"/>
      <c r="N210" s="103"/>
      <c r="O210" s="100"/>
      <c r="P210" s="100"/>
      <c r="Q210" s="104"/>
    </row>
    <row r="211" spans="1:17" s="99" customFormat="1" x14ac:dyDescent="0.25">
      <c r="A211" s="137">
        <f>Données!A211</f>
        <v>5748</v>
      </c>
      <c r="B211" s="276" t="str">
        <f>Données!B211</f>
        <v>Bretonnières</v>
      </c>
      <c r="C211" s="137">
        <f>Données!AR211</f>
        <v>0</v>
      </c>
      <c r="D211" s="277">
        <f>Données!Z211</f>
        <v>264</v>
      </c>
      <c r="E211" s="101">
        <f>Données!X211</f>
        <v>70.5</v>
      </c>
      <c r="F211" s="31">
        <f>VPI!L211</f>
        <v>436178.79</v>
      </c>
      <c r="G211" s="8">
        <f t="shared" si="18"/>
        <v>12373.866382978722</v>
      </c>
      <c r="H211" s="26">
        <f t="shared" si="19"/>
        <v>23282.511053116916</v>
      </c>
      <c r="I211" s="8">
        <f t="shared" si="20"/>
        <v>12373.866382978722</v>
      </c>
      <c r="J211" s="8">
        <f>VPI!R211</f>
        <v>6762.44146572104</v>
      </c>
      <c r="K211" s="174">
        <f t="shared" si="21"/>
        <v>8391.0559926310416</v>
      </c>
      <c r="L211" s="266">
        <f t="shared" si="22"/>
        <v>20764.922375609764</v>
      </c>
      <c r="M211" s="102"/>
      <c r="N211" s="103"/>
      <c r="O211" s="100"/>
      <c r="P211" s="100"/>
      <c r="Q211" s="104"/>
    </row>
    <row r="212" spans="1:17" s="99" customFormat="1" x14ac:dyDescent="0.25">
      <c r="A212" s="137">
        <f>Données!A212</f>
        <v>5749</v>
      </c>
      <c r="B212" s="276" t="str">
        <f>Données!B212</f>
        <v>Chavornay</v>
      </c>
      <c r="C212" s="137">
        <f>Données!AR212</f>
        <v>0</v>
      </c>
      <c r="D212" s="277">
        <f>Données!Z212</f>
        <v>5405</v>
      </c>
      <c r="E212" s="101">
        <f>Données!X212</f>
        <v>70.5</v>
      </c>
      <c r="F212" s="31">
        <f>VPI!L212</f>
        <v>9257602.4099999983</v>
      </c>
      <c r="G212" s="8">
        <f t="shared" si="18"/>
        <v>262627.01872340421</v>
      </c>
      <c r="H212" s="26">
        <f t="shared" si="19"/>
        <v>476674.13728067023</v>
      </c>
      <c r="I212" s="8">
        <f t="shared" si="20"/>
        <v>262627.01872340421</v>
      </c>
      <c r="J212" s="8">
        <f>VPI!R212</f>
        <v>144688.12992907799</v>
      </c>
      <c r="K212" s="174">
        <f t="shared" si="21"/>
        <v>179533.70921703315</v>
      </c>
      <c r="L212" s="266">
        <f t="shared" si="22"/>
        <v>442160.72794043738</v>
      </c>
      <c r="M212" s="102"/>
      <c r="N212" s="103"/>
      <c r="O212" s="100"/>
      <c r="P212" s="100"/>
      <c r="Q212" s="104"/>
    </row>
    <row r="213" spans="1:17" s="99" customFormat="1" x14ac:dyDescent="0.25">
      <c r="A213" s="137">
        <f>Données!A213</f>
        <v>5750</v>
      </c>
      <c r="B213" s="276" t="str">
        <f>Données!B213</f>
        <v>Les Clées</v>
      </c>
      <c r="C213" s="137">
        <f>Données!AR213</f>
        <v>0</v>
      </c>
      <c r="D213" s="277">
        <f>Données!Z213</f>
        <v>186</v>
      </c>
      <c r="E213" s="101">
        <f>Données!X213</f>
        <v>80</v>
      </c>
      <c r="F213" s="31">
        <f>VPI!L213</f>
        <v>412878.56</v>
      </c>
      <c r="G213" s="8">
        <f t="shared" si="18"/>
        <v>10321.964</v>
      </c>
      <c r="H213" s="26">
        <f t="shared" si="19"/>
        <v>16403.587332877829</v>
      </c>
      <c r="I213" s="8">
        <f t="shared" si="20"/>
        <v>10321.964</v>
      </c>
      <c r="J213" s="8">
        <f>VPI!R213</f>
        <v>5460.4397083333333</v>
      </c>
      <c r="K213" s="174">
        <f t="shared" si="21"/>
        <v>6775.4901198432062</v>
      </c>
      <c r="L213" s="266">
        <f t="shared" si="22"/>
        <v>17097.454119843205</v>
      </c>
      <c r="M213" s="102"/>
      <c r="N213" s="103"/>
      <c r="O213" s="100"/>
      <c r="P213" s="100"/>
      <c r="Q213" s="104"/>
    </row>
    <row r="214" spans="1:17" s="99" customFormat="1" x14ac:dyDescent="0.25">
      <c r="A214" s="137">
        <f>Données!A214</f>
        <v>5752</v>
      </c>
      <c r="B214" s="276" t="str">
        <f>Données!B214</f>
        <v>Croy</v>
      </c>
      <c r="C214" s="137">
        <f>Données!AR214</f>
        <v>0</v>
      </c>
      <c r="D214" s="277">
        <f>Données!Z214</f>
        <v>386</v>
      </c>
      <c r="E214" s="101">
        <f>Données!X214</f>
        <v>74</v>
      </c>
      <c r="F214" s="31">
        <f>VPI!L214</f>
        <v>692054.36</v>
      </c>
      <c r="G214" s="8">
        <f t="shared" si="18"/>
        <v>18704.171891891892</v>
      </c>
      <c r="H214" s="26">
        <f t="shared" si="19"/>
        <v>34041.853282208824</v>
      </c>
      <c r="I214" s="8">
        <f t="shared" si="20"/>
        <v>18704.171891891892</v>
      </c>
      <c r="J214" s="8">
        <f>VPI!R214</f>
        <v>10204.205250965251</v>
      </c>
      <c r="K214" s="174">
        <f t="shared" si="21"/>
        <v>12661.707765631583</v>
      </c>
      <c r="L214" s="266">
        <f t="shared" si="22"/>
        <v>31365.879657523474</v>
      </c>
      <c r="M214" s="102"/>
      <c r="N214" s="103"/>
      <c r="O214" s="100"/>
      <c r="P214" s="100"/>
      <c r="Q214" s="104"/>
    </row>
    <row r="215" spans="1:17" s="99" customFormat="1" x14ac:dyDescent="0.25">
      <c r="A215" s="137">
        <f>Données!A215</f>
        <v>5754</v>
      </c>
      <c r="B215" s="276" t="str">
        <f>Données!B215</f>
        <v>Juriens</v>
      </c>
      <c r="C215" s="137">
        <f>Données!AR215</f>
        <v>0</v>
      </c>
      <c r="D215" s="277">
        <f>Données!Z215</f>
        <v>346</v>
      </c>
      <c r="E215" s="101">
        <f>Données!X215</f>
        <v>79</v>
      </c>
      <c r="F215" s="31">
        <f>VPI!L215</f>
        <v>632029.9099999998</v>
      </c>
      <c r="G215" s="8">
        <f t="shared" si="18"/>
        <v>16000.757215189868</v>
      </c>
      <c r="H215" s="26">
        <f t="shared" si="19"/>
        <v>30514.200092342624</v>
      </c>
      <c r="I215" s="8">
        <f t="shared" si="20"/>
        <v>16000.757215189868</v>
      </c>
      <c r="J215" s="8">
        <f>VPI!R215</f>
        <v>8633.221645569618</v>
      </c>
      <c r="K215" s="174">
        <f t="shared" si="21"/>
        <v>10712.380519961353</v>
      </c>
      <c r="L215" s="266">
        <f t="shared" si="22"/>
        <v>26713.13773515122</v>
      </c>
      <c r="M215" s="102"/>
      <c r="N215" s="103"/>
      <c r="O215" s="100"/>
      <c r="P215" s="100"/>
      <c r="Q215" s="104"/>
    </row>
    <row r="216" spans="1:17" s="99" customFormat="1" x14ac:dyDescent="0.25">
      <c r="A216" s="137">
        <f>Données!A216</f>
        <v>5755</v>
      </c>
      <c r="B216" s="276" t="str">
        <f>Données!B216</f>
        <v>Lignerolle</v>
      </c>
      <c r="C216" s="137">
        <f>Données!AR216</f>
        <v>0</v>
      </c>
      <c r="D216" s="277">
        <f>Données!Z216</f>
        <v>447</v>
      </c>
      <c r="E216" s="101">
        <f>Données!X216</f>
        <v>78.5</v>
      </c>
      <c r="F216" s="31">
        <f>VPI!L216</f>
        <v>790131.82000000007</v>
      </c>
      <c r="G216" s="8">
        <f t="shared" si="18"/>
        <v>20130.747006369427</v>
      </c>
      <c r="H216" s="26">
        <f t="shared" si="19"/>
        <v>39421.524396754779</v>
      </c>
      <c r="I216" s="8">
        <f t="shared" si="20"/>
        <v>20130.747006369427</v>
      </c>
      <c r="J216" s="8">
        <f>VPI!R216</f>
        <v>10920.772411282986</v>
      </c>
      <c r="K216" s="174">
        <f t="shared" si="21"/>
        <v>13550.84746394698</v>
      </c>
      <c r="L216" s="266">
        <f t="shared" si="22"/>
        <v>33681.594470316406</v>
      </c>
      <c r="M216" s="102"/>
      <c r="N216" s="103"/>
      <c r="O216" s="100"/>
      <c r="P216" s="100"/>
      <c r="Q216" s="104"/>
    </row>
    <row r="217" spans="1:17" s="99" customFormat="1" x14ac:dyDescent="0.25">
      <c r="A217" s="137">
        <f>Données!A217</f>
        <v>5756</v>
      </c>
      <c r="B217" s="276" t="str">
        <f>Données!B217</f>
        <v>Montcherand</v>
      </c>
      <c r="C217" s="137">
        <f>Données!AR217</f>
        <v>0</v>
      </c>
      <c r="D217" s="277">
        <f>Données!Z217</f>
        <v>496</v>
      </c>
      <c r="E217" s="101">
        <f>Données!X217</f>
        <v>72</v>
      </c>
      <c r="F217" s="31">
        <f>VPI!L217</f>
        <v>1170365.3999999999</v>
      </c>
      <c r="G217" s="8">
        <f t="shared" si="18"/>
        <v>32510.149999999998</v>
      </c>
      <c r="H217" s="26">
        <f t="shared" si="19"/>
        <v>43742.899554340875</v>
      </c>
      <c r="I217" s="8">
        <f t="shared" si="20"/>
        <v>32510.149999999998</v>
      </c>
      <c r="J217" s="8">
        <f>VPI!R217</f>
        <v>17503.013888888887</v>
      </c>
      <c r="K217" s="174">
        <f t="shared" si="21"/>
        <v>21718.305485666144</v>
      </c>
      <c r="L217" s="266">
        <f t="shared" si="22"/>
        <v>54228.455485666142</v>
      </c>
      <c r="M217" s="102"/>
      <c r="N217" s="103"/>
      <c r="O217" s="100"/>
      <c r="P217" s="100"/>
      <c r="Q217" s="104"/>
    </row>
    <row r="218" spans="1:17" s="99" customFormat="1" x14ac:dyDescent="0.25">
      <c r="A218" s="137">
        <f>Données!A218</f>
        <v>5757</v>
      </c>
      <c r="B218" s="276" t="str">
        <f>Données!B218</f>
        <v>Orbe</v>
      </c>
      <c r="C218" s="137">
        <f>Données!AR218</f>
        <v>0</v>
      </c>
      <c r="D218" s="277">
        <f>Données!Z218</f>
        <v>7617</v>
      </c>
      <c r="E218" s="101">
        <f>Données!X218</f>
        <v>75.5</v>
      </c>
      <c r="F218" s="31">
        <f>VPI!L218</f>
        <v>14861450.48</v>
      </c>
      <c r="G218" s="8">
        <f t="shared" si="18"/>
        <v>393680.80741721857</v>
      </c>
      <c r="H218" s="26">
        <f t="shared" si="19"/>
        <v>671753.35868027108</v>
      </c>
      <c r="I218" s="8">
        <f t="shared" si="20"/>
        <v>393680.80741721857</v>
      </c>
      <c r="J218" s="8">
        <f>VPI!R218</f>
        <v>217746.16132450331</v>
      </c>
      <c r="K218" s="174">
        <f t="shared" si="21"/>
        <v>270186.47645470803</v>
      </c>
      <c r="L218" s="266">
        <f t="shared" si="22"/>
        <v>663867.2838719266</v>
      </c>
      <c r="M218" s="102"/>
      <c r="N218" s="103"/>
      <c r="O218" s="100"/>
      <c r="P218" s="100"/>
      <c r="Q218" s="104"/>
    </row>
    <row r="219" spans="1:17" s="99" customFormat="1" x14ac:dyDescent="0.25">
      <c r="A219" s="137">
        <f>Données!A219</f>
        <v>5758</v>
      </c>
      <c r="B219" s="276" t="str">
        <f>Données!B219</f>
        <v>La Praz</v>
      </c>
      <c r="C219" s="137">
        <f>Données!AR219</f>
        <v>0</v>
      </c>
      <c r="D219" s="277">
        <f>Données!Z219</f>
        <v>183</v>
      </c>
      <c r="E219" s="101">
        <f>Données!X219</f>
        <v>83</v>
      </c>
      <c r="F219" s="31">
        <f>VPI!L219</f>
        <v>342205.21</v>
      </c>
      <c r="G219" s="8">
        <f t="shared" si="18"/>
        <v>8245.9086746987959</v>
      </c>
      <c r="H219" s="26">
        <f t="shared" si="19"/>
        <v>16139.013343637862</v>
      </c>
      <c r="I219" s="8">
        <f t="shared" si="20"/>
        <v>8245.9086746987959</v>
      </c>
      <c r="J219" s="8">
        <f>VPI!R219</f>
        <v>4500.7037349397597</v>
      </c>
      <c r="K219" s="174">
        <f t="shared" si="21"/>
        <v>5584.6186968949169</v>
      </c>
      <c r="L219" s="266">
        <f t="shared" si="22"/>
        <v>13830.527371593713</v>
      </c>
      <c r="M219" s="102"/>
      <c r="N219" s="103"/>
      <c r="O219" s="100"/>
      <c r="P219" s="100"/>
      <c r="Q219" s="104"/>
    </row>
    <row r="220" spans="1:17" s="99" customFormat="1" x14ac:dyDescent="0.25">
      <c r="A220" s="137">
        <f>Données!A220</f>
        <v>5759</v>
      </c>
      <c r="B220" s="276" t="str">
        <f>Données!B220</f>
        <v>Premier</v>
      </c>
      <c r="C220" s="137">
        <f>Données!AR220</f>
        <v>0</v>
      </c>
      <c r="D220" s="277">
        <f>Données!Z220</f>
        <v>236</v>
      </c>
      <c r="E220" s="101">
        <f>Données!X220</f>
        <v>79.5</v>
      </c>
      <c r="F220" s="31">
        <f>VPI!L220</f>
        <v>418123.68</v>
      </c>
      <c r="G220" s="8">
        <f t="shared" si="18"/>
        <v>10518.834716981131</v>
      </c>
      <c r="H220" s="26">
        <f t="shared" si="19"/>
        <v>20813.153820210577</v>
      </c>
      <c r="I220" s="8">
        <f t="shared" si="20"/>
        <v>10518.834716981131</v>
      </c>
      <c r="J220" s="8">
        <f>VPI!R220</f>
        <v>5667.0481761006295</v>
      </c>
      <c r="K220" s="174">
        <f t="shared" si="21"/>
        <v>7031.8565860632934</v>
      </c>
      <c r="L220" s="266">
        <f t="shared" si="22"/>
        <v>17550.691303044427</v>
      </c>
      <c r="M220" s="102"/>
      <c r="N220" s="103"/>
      <c r="O220" s="100"/>
      <c r="P220" s="100"/>
      <c r="Q220" s="104"/>
    </row>
    <row r="221" spans="1:17" s="99" customFormat="1" x14ac:dyDescent="0.25">
      <c r="A221" s="137">
        <f>Données!A221</f>
        <v>5760</v>
      </c>
      <c r="B221" s="276" t="str">
        <f>Données!B221</f>
        <v>Rances</v>
      </c>
      <c r="C221" s="137">
        <f>Données!AR221</f>
        <v>0</v>
      </c>
      <c r="D221" s="277">
        <f>Données!Z221</f>
        <v>521</v>
      </c>
      <c r="E221" s="101">
        <f>Données!X221</f>
        <v>76.5</v>
      </c>
      <c r="F221" s="31">
        <f>VPI!L221</f>
        <v>1162441.0399999998</v>
      </c>
      <c r="G221" s="8">
        <f t="shared" si="18"/>
        <v>30390.615424836597</v>
      </c>
      <c r="H221" s="26">
        <f t="shared" si="19"/>
        <v>45947.682798007248</v>
      </c>
      <c r="I221" s="8">
        <f t="shared" si="20"/>
        <v>30390.615424836597</v>
      </c>
      <c r="J221" s="8">
        <f>VPI!R221</f>
        <v>16308.667189542481</v>
      </c>
      <c r="K221" s="174">
        <f t="shared" si="21"/>
        <v>20236.321489260314</v>
      </c>
      <c r="L221" s="266">
        <f t="shared" si="22"/>
        <v>50626.936914096907</v>
      </c>
      <c r="M221" s="102"/>
      <c r="N221" s="103"/>
      <c r="O221" s="100"/>
      <c r="P221" s="100"/>
      <c r="Q221" s="104"/>
    </row>
    <row r="222" spans="1:17" s="99" customFormat="1" x14ac:dyDescent="0.25">
      <c r="A222" s="137">
        <f>Données!A222</f>
        <v>5761</v>
      </c>
      <c r="B222" s="276" t="str">
        <f>Données!B222</f>
        <v>Romainmôtier-Envy</v>
      </c>
      <c r="C222" s="137">
        <f>Données!AR222</f>
        <v>0</v>
      </c>
      <c r="D222" s="277">
        <f>Données!Z222</f>
        <v>559</v>
      </c>
      <c r="E222" s="101">
        <f>Données!X222</f>
        <v>81</v>
      </c>
      <c r="F222" s="31">
        <f>VPI!L222</f>
        <v>1075718.46</v>
      </c>
      <c r="G222" s="8">
        <f t="shared" si="18"/>
        <v>26560.949629629627</v>
      </c>
      <c r="H222" s="26">
        <f t="shared" si="19"/>
        <v>49298.953328380136</v>
      </c>
      <c r="I222" s="8">
        <f t="shared" si="20"/>
        <v>26560.949629629627</v>
      </c>
      <c r="J222" s="8">
        <f>VPI!R222</f>
        <v>14407.745072951739</v>
      </c>
      <c r="K222" s="174">
        <f t="shared" si="21"/>
        <v>17877.595872366135</v>
      </c>
      <c r="L222" s="266">
        <f t="shared" si="22"/>
        <v>44438.545501995759</v>
      </c>
      <c r="M222" s="102"/>
      <c r="N222" s="103"/>
      <c r="O222" s="100"/>
      <c r="P222" s="100"/>
      <c r="Q222" s="104"/>
    </row>
    <row r="223" spans="1:17" s="99" customFormat="1" x14ac:dyDescent="0.25">
      <c r="A223" s="137">
        <f>Données!A223</f>
        <v>5762</v>
      </c>
      <c r="B223" s="276" t="str">
        <f>Données!B223</f>
        <v>Sergey</v>
      </c>
      <c r="C223" s="137">
        <f>Données!AR223</f>
        <v>0</v>
      </c>
      <c r="D223" s="277">
        <f>Données!Z223</f>
        <v>140</v>
      </c>
      <c r="E223" s="101">
        <f>Données!X223</f>
        <v>78</v>
      </c>
      <c r="F223" s="31">
        <f>VPI!L223</f>
        <v>270906.92</v>
      </c>
      <c r="G223" s="8">
        <f t="shared" si="18"/>
        <v>6946.331282051282</v>
      </c>
      <c r="H223" s="26">
        <f t="shared" si="19"/>
        <v>12346.786164531699</v>
      </c>
      <c r="I223" s="8">
        <f t="shared" si="20"/>
        <v>6946.331282051282</v>
      </c>
      <c r="J223" s="8">
        <f>VPI!R223</f>
        <v>3741.3970512820511</v>
      </c>
      <c r="K223" s="174">
        <f t="shared" si="21"/>
        <v>4642.4464162995864</v>
      </c>
      <c r="L223" s="266">
        <f t="shared" si="22"/>
        <v>11588.777698350868</v>
      </c>
      <c r="M223" s="102"/>
      <c r="N223" s="103"/>
      <c r="O223" s="100"/>
      <c r="P223" s="100"/>
      <c r="Q223" s="104"/>
    </row>
    <row r="224" spans="1:17" s="99" customFormat="1" x14ac:dyDescent="0.25">
      <c r="A224" s="137">
        <f>Données!A224</f>
        <v>5763</v>
      </c>
      <c r="B224" s="276" t="str">
        <f>Données!B224</f>
        <v>Valeyres-sous-Rances</v>
      </c>
      <c r="C224" s="137">
        <f>Données!AR224</f>
        <v>0</v>
      </c>
      <c r="D224" s="277">
        <f>Données!Z224</f>
        <v>606</v>
      </c>
      <c r="E224" s="101">
        <f>Données!X224</f>
        <v>71</v>
      </c>
      <c r="F224" s="31">
        <f>VPI!L224</f>
        <v>1483424.11</v>
      </c>
      <c r="G224" s="8">
        <f t="shared" si="18"/>
        <v>41786.59464788733</v>
      </c>
      <c r="H224" s="26">
        <f t="shared" si="19"/>
        <v>53443.945826472918</v>
      </c>
      <c r="I224" s="8">
        <f t="shared" si="20"/>
        <v>41786.59464788733</v>
      </c>
      <c r="J224" s="8">
        <f>VPI!R224</f>
        <v>22296.785352112674</v>
      </c>
      <c r="K224" s="174">
        <f t="shared" si="21"/>
        <v>27666.572094358882</v>
      </c>
      <c r="L224" s="266">
        <f t="shared" si="22"/>
        <v>69453.16674224622</v>
      </c>
      <c r="M224" s="102"/>
      <c r="N224" s="103"/>
      <c r="O224" s="100"/>
      <c r="P224" s="100"/>
      <c r="Q224" s="104"/>
    </row>
    <row r="225" spans="1:17" s="99" customFormat="1" x14ac:dyDescent="0.25">
      <c r="A225" s="137">
        <f>Données!A225</f>
        <v>5764</v>
      </c>
      <c r="B225" s="276" t="str">
        <f>Données!B225</f>
        <v>Vallorbe</v>
      </c>
      <c r="C225" s="137">
        <f>Données!AR225</f>
        <v>0</v>
      </c>
      <c r="D225" s="277">
        <f>Données!Z225</f>
        <v>3987</v>
      </c>
      <c r="E225" s="101">
        <f>Données!X225</f>
        <v>71.5</v>
      </c>
      <c r="F225" s="31">
        <f>VPI!L225</f>
        <v>5432594.6600000001</v>
      </c>
      <c r="G225" s="8">
        <f t="shared" si="18"/>
        <v>151960.68979020978</v>
      </c>
      <c r="H225" s="26">
        <f t="shared" si="19"/>
        <v>351618.83169991343</v>
      </c>
      <c r="I225" s="8">
        <f t="shared" si="20"/>
        <v>151960.68979020978</v>
      </c>
      <c r="J225" s="8">
        <f>VPI!R225</f>
        <v>83714.253286713283</v>
      </c>
      <c r="K225" s="174">
        <f t="shared" si="21"/>
        <v>103875.35186379764</v>
      </c>
      <c r="L225" s="266">
        <f t="shared" si="22"/>
        <v>255836.04165400742</v>
      </c>
      <c r="M225" s="102"/>
      <c r="N225" s="103"/>
      <c r="O225" s="100"/>
      <c r="P225" s="100"/>
      <c r="Q225" s="104"/>
    </row>
    <row r="226" spans="1:17" s="99" customFormat="1" x14ac:dyDescent="0.25">
      <c r="A226" s="137">
        <f>Données!A226</f>
        <v>5765</v>
      </c>
      <c r="B226" s="276" t="str">
        <f>Données!B226</f>
        <v>Vaulion</v>
      </c>
      <c r="C226" s="137">
        <f>Données!AR226</f>
        <v>0</v>
      </c>
      <c r="D226" s="277">
        <f>Données!Z226</f>
        <v>483</v>
      </c>
      <c r="E226" s="101">
        <f>Données!X226</f>
        <v>81</v>
      </c>
      <c r="F226" s="31">
        <f>VPI!L226</f>
        <v>712805.47999999986</v>
      </c>
      <c r="G226" s="8">
        <f t="shared" si="18"/>
        <v>17600.135308641973</v>
      </c>
      <c r="H226" s="26">
        <f t="shared" si="19"/>
        <v>42596.412267634361</v>
      </c>
      <c r="I226" s="8">
        <f t="shared" si="20"/>
        <v>17600.135308641973</v>
      </c>
      <c r="J226" s="8">
        <f>VPI!R226</f>
        <v>9627.8182716049378</v>
      </c>
      <c r="K226" s="174">
        <f t="shared" si="21"/>
        <v>11946.508167712376</v>
      </c>
      <c r="L226" s="266">
        <f t="shared" si="22"/>
        <v>29546.643476354351</v>
      </c>
      <c r="M226" s="102"/>
      <c r="N226" s="103"/>
      <c r="O226" s="100"/>
      <c r="P226" s="100"/>
      <c r="Q226" s="104"/>
    </row>
    <row r="227" spans="1:17" s="99" customFormat="1" x14ac:dyDescent="0.25">
      <c r="A227" s="137">
        <f>Données!A227</f>
        <v>5766</v>
      </c>
      <c r="B227" s="276" t="str">
        <f>Données!B227</f>
        <v>Vuiteboeuf</v>
      </c>
      <c r="C227" s="137">
        <f>Données!AR227</f>
        <v>0</v>
      </c>
      <c r="D227" s="277">
        <f>Données!Z227</f>
        <v>592</v>
      </c>
      <c r="E227" s="101">
        <f>Données!X227</f>
        <v>75</v>
      </c>
      <c r="F227" s="31">
        <f>VPI!L227</f>
        <v>1070603.5300000003</v>
      </c>
      <c r="G227" s="8">
        <f t="shared" si="18"/>
        <v>28549.427466666675</v>
      </c>
      <c r="H227" s="26">
        <f t="shared" si="19"/>
        <v>52209.267210019752</v>
      </c>
      <c r="I227" s="8">
        <f t="shared" si="20"/>
        <v>28549.427466666675</v>
      </c>
      <c r="J227" s="8">
        <f>VPI!R227</f>
        <v>15422.129161904764</v>
      </c>
      <c r="K227" s="174">
        <f t="shared" si="21"/>
        <v>19136.276443811392</v>
      </c>
      <c r="L227" s="266">
        <f t="shared" si="22"/>
        <v>47685.703910478071</v>
      </c>
      <c r="M227" s="102"/>
      <c r="N227" s="103"/>
      <c r="O227" s="100"/>
      <c r="P227" s="100"/>
      <c r="Q227" s="104"/>
    </row>
    <row r="228" spans="1:17" s="99" customFormat="1" x14ac:dyDescent="0.25">
      <c r="A228" s="137">
        <f>Données!A228</f>
        <v>5785</v>
      </c>
      <c r="B228" s="276" t="str">
        <f>Données!B228</f>
        <v>Corcelles-le-Jorat</v>
      </c>
      <c r="C228" s="137">
        <f>Données!AR228</f>
        <v>0</v>
      </c>
      <c r="D228" s="277">
        <f>Données!Z228</f>
        <v>485</v>
      </c>
      <c r="E228" s="101">
        <f>Données!X228</f>
        <v>75</v>
      </c>
      <c r="F228" s="31">
        <f>VPI!L228</f>
        <v>1079391.1799999997</v>
      </c>
      <c r="G228" s="8">
        <f t="shared" si="18"/>
        <v>28783.764799999994</v>
      </c>
      <c r="H228" s="26">
        <f t="shared" si="19"/>
        <v>42772.794927127667</v>
      </c>
      <c r="I228" s="8">
        <f t="shared" si="20"/>
        <v>28783.764799999994</v>
      </c>
      <c r="J228" s="8">
        <f>VPI!R228</f>
        <v>15461.79373333333</v>
      </c>
      <c r="K228" s="174">
        <f t="shared" si="21"/>
        <v>19185.493526349986</v>
      </c>
      <c r="L228" s="266">
        <f t="shared" si="22"/>
        <v>47969.258326349984</v>
      </c>
      <c r="M228" s="102"/>
      <c r="N228" s="103"/>
      <c r="O228" s="100"/>
      <c r="P228" s="100"/>
      <c r="Q228" s="104"/>
    </row>
    <row r="229" spans="1:17" s="99" customFormat="1" x14ac:dyDescent="0.25">
      <c r="A229" s="137">
        <f>Données!A229</f>
        <v>5790</v>
      </c>
      <c r="B229" s="276" t="str">
        <f>Données!B229</f>
        <v>Maracon</v>
      </c>
      <c r="C229" s="137">
        <f>Données!AR229</f>
        <v>0</v>
      </c>
      <c r="D229" s="277">
        <f>Données!Z229</f>
        <v>544</v>
      </c>
      <c r="E229" s="101">
        <f>Données!X229</f>
        <v>74.5</v>
      </c>
      <c r="F229" s="31">
        <f>VPI!L229</f>
        <v>1117053.01</v>
      </c>
      <c r="G229" s="8">
        <f t="shared" si="18"/>
        <v>29988.000268456377</v>
      </c>
      <c r="H229" s="26">
        <f t="shared" si="19"/>
        <v>47976.08338218031</v>
      </c>
      <c r="I229" s="8">
        <f t="shared" si="20"/>
        <v>29988.000268456377</v>
      </c>
      <c r="J229" s="8">
        <f>VPI!R229</f>
        <v>16326.326308724832</v>
      </c>
      <c r="K229" s="174">
        <f t="shared" si="21"/>
        <v>20258.233495240813</v>
      </c>
      <c r="L229" s="266">
        <f t="shared" si="22"/>
        <v>50246.233763697193</v>
      </c>
      <c r="M229" s="102"/>
      <c r="N229" s="103"/>
      <c r="O229" s="100"/>
      <c r="P229" s="100"/>
      <c r="Q229" s="104"/>
    </row>
    <row r="230" spans="1:17" s="99" customFormat="1" x14ac:dyDescent="0.25">
      <c r="A230" s="137">
        <f>Données!A230</f>
        <v>5792</v>
      </c>
      <c r="B230" s="276" t="str">
        <f>Données!B230</f>
        <v>Montpreveyres</v>
      </c>
      <c r="C230" s="137">
        <f>Données!AR230</f>
        <v>0</v>
      </c>
      <c r="D230" s="277">
        <f>Données!Z230</f>
        <v>661</v>
      </c>
      <c r="E230" s="101">
        <f>Données!X230</f>
        <v>75.5</v>
      </c>
      <c r="F230" s="31">
        <f>VPI!L230</f>
        <v>1334677.3399999999</v>
      </c>
      <c r="G230" s="8">
        <f t="shared" si="18"/>
        <v>35355.691125827812</v>
      </c>
      <c r="H230" s="26">
        <f t="shared" si="19"/>
        <v>58294.468962538944</v>
      </c>
      <c r="I230" s="8">
        <f t="shared" si="20"/>
        <v>35355.691125827812</v>
      </c>
      <c r="J230" s="8">
        <f>VPI!R230</f>
        <v>19363.003178807943</v>
      </c>
      <c r="K230" s="174">
        <f t="shared" si="21"/>
        <v>24026.240327914828</v>
      </c>
      <c r="L230" s="266">
        <f t="shared" si="22"/>
        <v>59381.93145374264</v>
      </c>
      <c r="M230" s="102"/>
      <c r="N230" s="103"/>
      <c r="O230" s="100"/>
      <c r="P230" s="100"/>
      <c r="Q230" s="104"/>
    </row>
    <row r="231" spans="1:17" s="99" customFormat="1" x14ac:dyDescent="0.25">
      <c r="A231" s="137">
        <f>Données!A231</f>
        <v>5798</v>
      </c>
      <c r="B231" s="276" t="str">
        <f>Données!B231</f>
        <v>Ropraz</v>
      </c>
      <c r="C231" s="137">
        <f>Données!AR231</f>
        <v>0</v>
      </c>
      <c r="D231" s="277">
        <f>Données!Z231</f>
        <v>529</v>
      </c>
      <c r="E231" s="101">
        <f>Données!X231</f>
        <v>77.5</v>
      </c>
      <c r="F231" s="31">
        <f>VPI!L231</f>
        <v>1150401.32</v>
      </c>
      <c r="G231" s="8">
        <f t="shared" si="18"/>
        <v>29687.776000000002</v>
      </c>
      <c r="H231" s="26">
        <f t="shared" si="19"/>
        <v>46653.213435980491</v>
      </c>
      <c r="I231" s="8">
        <f t="shared" si="20"/>
        <v>29687.776000000002</v>
      </c>
      <c r="J231" s="8">
        <f>VPI!R231</f>
        <v>16208.095096774196</v>
      </c>
      <c r="K231" s="174">
        <f t="shared" si="21"/>
        <v>20111.528385173195</v>
      </c>
      <c r="L231" s="266">
        <f t="shared" si="22"/>
        <v>49799.304385173193</v>
      </c>
      <c r="M231" s="102"/>
      <c r="N231" s="103"/>
      <c r="O231" s="100"/>
      <c r="P231" s="100"/>
      <c r="Q231" s="104"/>
    </row>
    <row r="232" spans="1:17" s="99" customFormat="1" x14ac:dyDescent="0.25">
      <c r="A232" s="137">
        <f>Données!A232</f>
        <v>5799</v>
      </c>
      <c r="B232" s="276" t="str">
        <f>Données!B232</f>
        <v>Servion</v>
      </c>
      <c r="C232" s="137">
        <f>Données!AR232</f>
        <v>0</v>
      </c>
      <c r="D232" s="277">
        <f>Données!Z232</f>
        <v>2136</v>
      </c>
      <c r="E232" s="101">
        <f>Données!X232</f>
        <v>69</v>
      </c>
      <c r="F232" s="31">
        <f>VPI!L232</f>
        <v>4598068.9500000011</v>
      </c>
      <c r="G232" s="8">
        <f t="shared" si="18"/>
        <v>133277.36086956525</v>
      </c>
      <c r="H232" s="26">
        <f t="shared" si="19"/>
        <v>188376.68033885505</v>
      </c>
      <c r="I232" s="8">
        <f t="shared" si="20"/>
        <v>133277.36086956525</v>
      </c>
      <c r="J232" s="8">
        <f>VPI!R232</f>
        <v>73170.005797101461</v>
      </c>
      <c r="K232" s="174">
        <f t="shared" si="21"/>
        <v>90791.70869527843</v>
      </c>
      <c r="L232" s="266">
        <f t="shared" si="22"/>
        <v>224069.06956484367</v>
      </c>
      <c r="M232" s="102"/>
      <c r="N232" s="103"/>
      <c r="O232" s="100"/>
      <c r="P232" s="100"/>
      <c r="Q232" s="104"/>
    </row>
    <row r="233" spans="1:17" s="99" customFormat="1" x14ac:dyDescent="0.25">
      <c r="A233" s="137">
        <f>Données!A233</f>
        <v>5803</v>
      </c>
      <c r="B233" s="276" t="str">
        <f>Données!B233</f>
        <v>Vulliens</v>
      </c>
      <c r="C233" s="137">
        <f>Données!AR233</f>
        <v>0</v>
      </c>
      <c r="D233" s="277">
        <f>Données!Z233</f>
        <v>632</v>
      </c>
      <c r="E233" s="101">
        <f>Données!X233</f>
        <v>74</v>
      </c>
      <c r="F233" s="31">
        <f>VPI!L233</f>
        <v>1115686.2299999997</v>
      </c>
      <c r="G233" s="8">
        <f t="shared" si="18"/>
        <v>30153.681891891883</v>
      </c>
      <c r="H233" s="26">
        <f t="shared" si="19"/>
        <v>55736.920399885952</v>
      </c>
      <c r="I233" s="8">
        <f t="shared" si="20"/>
        <v>30153.681891891883</v>
      </c>
      <c r="J233" s="8">
        <f>VPI!R233</f>
        <v>16577.495675675673</v>
      </c>
      <c r="K233" s="174">
        <f t="shared" si="21"/>
        <v>20569.892565770522</v>
      </c>
      <c r="L233" s="266">
        <f t="shared" si="22"/>
        <v>50723.574457662406</v>
      </c>
      <c r="M233" s="102"/>
      <c r="N233" s="103"/>
      <c r="O233" s="100"/>
      <c r="P233" s="100"/>
      <c r="Q233" s="104"/>
    </row>
    <row r="234" spans="1:17" s="99" customFormat="1" x14ac:dyDescent="0.25">
      <c r="A234" s="137">
        <f>Données!A234</f>
        <v>5804</v>
      </c>
      <c r="B234" s="276" t="str">
        <f>Données!B234</f>
        <v>Jorat-Menthue</v>
      </c>
      <c r="C234" s="137">
        <f>Données!AR234</f>
        <v>0</v>
      </c>
      <c r="D234" s="277">
        <f>Données!Z234</f>
        <v>1565</v>
      </c>
      <c r="E234" s="101">
        <f>Données!X234</f>
        <v>70.5</v>
      </c>
      <c r="F234" s="31">
        <f>VPI!L234</f>
        <v>2895351.63</v>
      </c>
      <c r="G234" s="8">
        <f t="shared" si="18"/>
        <v>82137.634893617025</v>
      </c>
      <c r="H234" s="26">
        <f t="shared" si="19"/>
        <v>138019.43105351506</v>
      </c>
      <c r="I234" s="8">
        <f t="shared" si="20"/>
        <v>82137.634893617025</v>
      </c>
      <c r="J234" s="8">
        <f>VPI!R234</f>
        <v>45125.096170212761</v>
      </c>
      <c r="K234" s="174">
        <f t="shared" si="21"/>
        <v>55992.678170522682</v>
      </c>
      <c r="L234" s="266">
        <f t="shared" si="22"/>
        <v>138130.31306413971</v>
      </c>
      <c r="M234" s="102"/>
      <c r="N234" s="103"/>
      <c r="O234" s="100"/>
      <c r="P234" s="100"/>
      <c r="Q234" s="104"/>
    </row>
    <row r="235" spans="1:17" s="99" customFormat="1" x14ac:dyDescent="0.25">
      <c r="A235" s="137">
        <f>Données!A235</f>
        <v>5805</v>
      </c>
      <c r="B235" s="276" t="str">
        <f>Données!B235</f>
        <v>Oron</v>
      </c>
      <c r="C235" s="137">
        <f>Données!AR235</f>
        <v>0</v>
      </c>
      <c r="D235" s="277">
        <f>Données!Z235</f>
        <v>6119</v>
      </c>
      <c r="E235" s="101">
        <f>Données!X235</f>
        <v>69</v>
      </c>
      <c r="F235" s="31">
        <f>VPI!L235</f>
        <v>10908579.030000001</v>
      </c>
      <c r="G235" s="8">
        <f t="shared" si="18"/>
        <v>316190.69652173918</v>
      </c>
      <c r="H235" s="26">
        <f t="shared" si="19"/>
        <v>539642.74671978189</v>
      </c>
      <c r="I235" s="8">
        <f t="shared" si="20"/>
        <v>316190.69652173918</v>
      </c>
      <c r="J235" s="8">
        <f>VPI!R235</f>
        <v>174503.6837022398</v>
      </c>
      <c r="K235" s="174">
        <f t="shared" si="21"/>
        <v>216529.81224137582</v>
      </c>
      <c r="L235" s="266">
        <f t="shared" si="22"/>
        <v>532720.50876311504</v>
      </c>
      <c r="M235" s="102"/>
      <c r="N235" s="103"/>
      <c r="O235" s="100"/>
      <c r="P235" s="100"/>
      <c r="Q235" s="104"/>
    </row>
    <row r="236" spans="1:17" s="99" customFormat="1" x14ac:dyDescent="0.25">
      <c r="A236" s="137">
        <f>Données!A236</f>
        <v>5806</v>
      </c>
      <c r="B236" s="276" t="str">
        <f>Données!B236</f>
        <v>Jorat-Mézières</v>
      </c>
      <c r="C236" s="137">
        <f>Données!AR236</f>
        <v>0</v>
      </c>
      <c r="D236" s="277">
        <f>Données!Z236</f>
        <v>3110</v>
      </c>
      <c r="E236" s="101">
        <f>Données!X236</f>
        <v>73</v>
      </c>
      <c r="F236" s="31">
        <f>VPI!L236</f>
        <v>6913036.1899999995</v>
      </c>
      <c r="G236" s="8">
        <f t="shared" si="18"/>
        <v>189398.25178082191</v>
      </c>
      <c r="H236" s="26">
        <f t="shared" si="19"/>
        <v>274275.03551209701</v>
      </c>
      <c r="I236" s="8">
        <f t="shared" si="20"/>
        <v>189398.25178082191</v>
      </c>
      <c r="J236" s="8">
        <f>VPI!R236</f>
        <v>102976.58753424657</v>
      </c>
      <c r="K236" s="174">
        <f t="shared" si="21"/>
        <v>127776.67892727596</v>
      </c>
      <c r="L236" s="266">
        <f t="shared" si="22"/>
        <v>317174.93070809788</v>
      </c>
      <c r="M236" s="102"/>
      <c r="N236" s="103"/>
      <c r="O236" s="100"/>
      <c r="P236" s="100"/>
      <c r="Q236" s="104"/>
    </row>
    <row r="237" spans="1:17" s="99" customFormat="1" x14ac:dyDescent="0.25">
      <c r="A237" s="137">
        <f>Données!A237</f>
        <v>5812</v>
      </c>
      <c r="B237" s="276" t="str">
        <f>Données!B237</f>
        <v>Champtauroz</v>
      </c>
      <c r="C237" s="137">
        <f>Données!AR237</f>
        <v>0</v>
      </c>
      <c r="D237" s="277">
        <f>Données!Z237</f>
        <v>169</v>
      </c>
      <c r="E237" s="101">
        <f>Données!X237</f>
        <v>77</v>
      </c>
      <c r="F237" s="31">
        <f>VPI!L237</f>
        <v>258189.50999999998</v>
      </c>
      <c r="G237" s="8">
        <f t="shared" si="18"/>
        <v>6706.2210389610382</v>
      </c>
      <c r="H237" s="26">
        <f t="shared" si="19"/>
        <v>14904.334727184692</v>
      </c>
      <c r="I237" s="8">
        <f t="shared" si="20"/>
        <v>6706.2210389610382</v>
      </c>
      <c r="J237" s="8">
        <f>VPI!R237</f>
        <v>3659.2728571428574</v>
      </c>
      <c r="K237" s="174">
        <f t="shared" si="21"/>
        <v>4540.5440612308166</v>
      </c>
      <c r="L237" s="266">
        <f t="shared" si="22"/>
        <v>11246.765100191855</v>
      </c>
      <c r="M237" s="102"/>
      <c r="N237" s="103"/>
      <c r="O237" s="100"/>
      <c r="P237" s="100"/>
      <c r="Q237" s="104"/>
    </row>
    <row r="238" spans="1:17" s="99" customFormat="1" x14ac:dyDescent="0.25">
      <c r="A238" s="137">
        <f>Données!A238</f>
        <v>5813</v>
      </c>
      <c r="B238" s="276" t="str">
        <f>Données!B238</f>
        <v>Chevroux</v>
      </c>
      <c r="C238" s="137">
        <f>Données!AR238</f>
        <v>0</v>
      </c>
      <c r="D238" s="277">
        <f>Données!Z238</f>
        <v>522</v>
      </c>
      <c r="E238" s="101">
        <f>Données!X238</f>
        <v>68.5</v>
      </c>
      <c r="F238" s="31">
        <f>VPI!L238</f>
        <v>1099038.3400000001</v>
      </c>
      <c r="G238" s="8">
        <f t="shared" si="18"/>
        <v>32088.710656934309</v>
      </c>
      <c r="H238" s="26">
        <f t="shared" si="19"/>
        <v>46035.874127753901</v>
      </c>
      <c r="I238" s="8">
        <f t="shared" si="20"/>
        <v>32088.710656934309</v>
      </c>
      <c r="J238" s="8">
        <f>VPI!R238</f>
        <v>17497.520778588809</v>
      </c>
      <c r="K238" s="174">
        <f t="shared" si="21"/>
        <v>21711.489456819862</v>
      </c>
      <c r="L238" s="266">
        <f t="shared" si="22"/>
        <v>53800.200113754167</v>
      </c>
      <c r="M238" s="102"/>
      <c r="N238" s="103"/>
      <c r="O238" s="100"/>
      <c r="P238" s="100"/>
      <c r="Q238" s="104"/>
    </row>
    <row r="239" spans="1:17" s="99" customFormat="1" x14ac:dyDescent="0.25">
      <c r="A239" s="137">
        <f>Données!A239</f>
        <v>5816</v>
      </c>
      <c r="B239" s="276" t="str">
        <f>Données!B239</f>
        <v>Corcelles-près-Payerne</v>
      </c>
      <c r="C239" s="137">
        <f>Données!AR239</f>
        <v>0</v>
      </c>
      <c r="D239" s="277">
        <f>Données!Z239</f>
        <v>2856</v>
      </c>
      <c r="E239" s="101">
        <f>Données!X239</f>
        <v>68.5</v>
      </c>
      <c r="F239" s="31">
        <f>VPI!L239</f>
        <v>4050390.98</v>
      </c>
      <c r="G239" s="8">
        <f t="shared" si="18"/>
        <v>118259.59065693431</v>
      </c>
      <c r="H239" s="26">
        <f t="shared" si="19"/>
        <v>251874.43775644663</v>
      </c>
      <c r="I239" s="8">
        <f t="shared" si="20"/>
        <v>118259.59065693431</v>
      </c>
      <c r="J239" s="8">
        <f>VPI!R239</f>
        <v>65699.549864442117</v>
      </c>
      <c r="K239" s="174">
        <f t="shared" si="21"/>
        <v>81522.125462775934</v>
      </c>
      <c r="L239" s="266">
        <f t="shared" si="22"/>
        <v>199781.71611971024</v>
      </c>
      <c r="M239" s="102"/>
      <c r="N239" s="103"/>
      <c r="O239" s="100"/>
      <c r="P239" s="100"/>
      <c r="Q239" s="104"/>
    </row>
    <row r="240" spans="1:17" s="99" customFormat="1" x14ac:dyDescent="0.25">
      <c r="A240" s="137">
        <f>Données!A240</f>
        <v>5817</v>
      </c>
      <c r="B240" s="276" t="str">
        <f>Données!B240</f>
        <v>Grandcour</v>
      </c>
      <c r="C240" s="137">
        <f>Données!AR240</f>
        <v>0</v>
      </c>
      <c r="D240" s="277">
        <f>Données!Z240</f>
        <v>1001</v>
      </c>
      <c r="E240" s="101">
        <f>Données!X240</f>
        <v>73.5</v>
      </c>
      <c r="F240" s="31">
        <f>VPI!L240</f>
        <v>1758789.3699999999</v>
      </c>
      <c r="G240" s="8">
        <f t="shared" si="18"/>
        <v>47858.214149659863</v>
      </c>
      <c r="H240" s="26">
        <f t="shared" si="19"/>
        <v>88279.521076401637</v>
      </c>
      <c r="I240" s="8">
        <f t="shared" si="20"/>
        <v>47858.214149659863</v>
      </c>
      <c r="J240" s="8">
        <f>VPI!R240</f>
        <v>25916.533605442175</v>
      </c>
      <c r="K240" s="174">
        <f t="shared" si="21"/>
        <v>32158.072749393046</v>
      </c>
      <c r="L240" s="266">
        <f t="shared" si="22"/>
        <v>80016.28689905291</v>
      </c>
      <c r="M240" s="102"/>
      <c r="N240" s="103"/>
      <c r="O240" s="100"/>
      <c r="P240" s="100"/>
      <c r="Q240" s="104"/>
    </row>
    <row r="241" spans="1:17" s="99" customFormat="1" x14ac:dyDescent="0.25">
      <c r="A241" s="137">
        <f>Données!A241</f>
        <v>5819</v>
      </c>
      <c r="B241" s="276" t="str">
        <f>Données!B241</f>
        <v>Henniez</v>
      </c>
      <c r="C241" s="137">
        <f>Données!AR241</f>
        <v>0</v>
      </c>
      <c r="D241" s="277">
        <f>Données!Z241</f>
        <v>414</v>
      </c>
      <c r="E241" s="101">
        <f>Données!X241</f>
        <v>69</v>
      </c>
      <c r="F241" s="31">
        <f>VPI!L241</f>
        <v>615035.53</v>
      </c>
      <c r="G241" s="8">
        <f t="shared" si="18"/>
        <v>17827.116811594206</v>
      </c>
      <c r="H241" s="26">
        <f t="shared" si="19"/>
        <v>36511.210515115163</v>
      </c>
      <c r="I241" s="8">
        <f t="shared" si="20"/>
        <v>17827.116811594206</v>
      </c>
      <c r="J241" s="8">
        <f>VPI!R241</f>
        <v>10275.484492753623</v>
      </c>
      <c r="K241" s="174">
        <f t="shared" si="21"/>
        <v>12750.153353218602</v>
      </c>
      <c r="L241" s="266">
        <f t="shared" si="22"/>
        <v>30577.270164812806</v>
      </c>
      <c r="M241" s="102"/>
      <c r="N241" s="103"/>
      <c r="O241" s="100"/>
      <c r="P241" s="100"/>
      <c r="Q241" s="104"/>
    </row>
    <row r="242" spans="1:17" s="99" customFormat="1" x14ac:dyDescent="0.25">
      <c r="A242" s="137">
        <f>Données!A242</f>
        <v>5821</v>
      </c>
      <c r="B242" s="276" t="str">
        <f>Données!B242</f>
        <v>Missy</v>
      </c>
      <c r="C242" s="137">
        <f>Données!AR242</f>
        <v>0</v>
      </c>
      <c r="D242" s="277">
        <f>Données!Z242</f>
        <v>387</v>
      </c>
      <c r="E242" s="101">
        <f>Données!X242</f>
        <v>72</v>
      </c>
      <c r="F242" s="31">
        <f>VPI!L242</f>
        <v>545854.88000000012</v>
      </c>
      <c r="G242" s="8">
        <f t="shared" si="18"/>
        <v>15162.635555555558</v>
      </c>
      <c r="H242" s="26">
        <f t="shared" si="19"/>
        <v>34130.044611955476</v>
      </c>
      <c r="I242" s="8">
        <f t="shared" si="20"/>
        <v>15162.635555555558</v>
      </c>
      <c r="J242" s="8">
        <f>VPI!R242</f>
        <v>8375.9038888888899</v>
      </c>
      <c r="K242" s="174">
        <f t="shared" si="21"/>
        <v>10393.092328684421</v>
      </c>
      <c r="L242" s="266">
        <f t="shared" si="22"/>
        <v>25555.727884239979</v>
      </c>
      <c r="M242" s="102"/>
      <c r="N242" s="103"/>
      <c r="O242" s="100"/>
      <c r="P242" s="100"/>
      <c r="Q242" s="104"/>
    </row>
    <row r="243" spans="1:17" s="99" customFormat="1" x14ac:dyDescent="0.25">
      <c r="A243" s="137">
        <f>Données!A243</f>
        <v>5822</v>
      </c>
      <c r="B243" s="276" t="str">
        <f>Données!B243</f>
        <v>Payerne</v>
      </c>
      <c r="C243" s="137">
        <f>Données!AR243</f>
        <v>0</v>
      </c>
      <c r="D243" s="277">
        <f>Données!Z243</f>
        <v>10372</v>
      </c>
      <c r="E243" s="101">
        <f>Données!X243</f>
        <v>73</v>
      </c>
      <c r="F243" s="31">
        <f>VPI!L243</f>
        <v>14808345.959999999</v>
      </c>
      <c r="G243" s="8">
        <f t="shared" si="18"/>
        <v>405708.10849315068</v>
      </c>
      <c r="H243" s="154">
        <f t="shared" si="19"/>
        <v>914720.4721323055</v>
      </c>
      <c r="I243" s="8">
        <f t="shared" si="20"/>
        <v>405708.10849315068</v>
      </c>
      <c r="J243" s="8">
        <f>VPI!R243</f>
        <v>226829.36520547947</v>
      </c>
      <c r="K243" s="174">
        <f t="shared" si="21"/>
        <v>281457.20947977062</v>
      </c>
      <c r="L243" s="266">
        <f t="shared" si="22"/>
        <v>687165.3179729213</v>
      </c>
      <c r="M243" s="102"/>
      <c r="N243" s="103"/>
      <c r="O243" s="100"/>
      <c r="P243" s="100"/>
      <c r="Q243" s="104"/>
    </row>
    <row r="244" spans="1:17" s="99" customFormat="1" x14ac:dyDescent="0.25">
      <c r="A244" s="137">
        <f>Données!A244</f>
        <v>5827</v>
      </c>
      <c r="B244" s="276" t="str">
        <f>Données!B244</f>
        <v>Trey</v>
      </c>
      <c r="C244" s="137">
        <f>Données!AR244</f>
        <v>0</v>
      </c>
      <c r="D244" s="277">
        <f>Données!Z244</f>
        <v>302</v>
      </c>
      <c r="E244" s="101">
        <f>Données!X244</f>
        <v>78</v>
      </c>
      <c r="F244" s="31">
        <f>VPI!L244</f>
        <v>551981.21000000008</v>
      </c>
      <c r="G244" s="8">
        <f t="shared" si="18"/>
        <v>14153.364358974361</v>
      </c>
      <c r="H244" s="26">
        <f t="shared" si="19"/>
        <v>26633.781583489807</v>
      </c>
      <c r="I244" s="8">
        <f t="shared" si="20"/>
        <v>14153.364358974361</v>
      </c>
      <c r="J244" s="8">
        <f>VPI!R244</f>
        <v>7714.9719230769242</v>
      </c>
      <c r="K244" s="174">
        <f t="shared" si="21"/>
        <v>9572.98657833371</v>
      </c>
      <c r="L244" s="266">
        <f t="shared" si="22"/>
        <v>23726.350937308071</v>
      </c>
      <c r="M244" s="102"/>
      <c r="N244" s="103"/>
      <c r="O244" s="100"/>
      <c r="P244" s="100"/>
      <c r="Q244" s="104"/>
    </row>
    <row r="245" spans="1:17" s="99" customFormat="1" x14ac:dyDescent="0.25">
      <c r="A245" s="137">
        <f>Données!A245</f>
        <v>5828</v>
      </c>
      <c r="B245" s="276" t="str">
        <f>Données!B245</f>
        <v>Treytorrens (Payerne)</v>
      </c>
      <c r="C245" s="137">
        <f>Données!AR245</f>
        <v>0</v>
      </c>
      <c r="D245" s="277">
        <f>Données!Z245</f>
        <v>105</v>
      </c>
      <c r="E245" s="101">
        <f>Données!X245</f>
        <v>81.5</v>
      </c>
      <c r="F245" s="31">
        <f>VPI!L245</f>
        <v>215665.84</v>
      </c>
      <c r="G245" s="8">
        <f t="shared" si="18"/>
        <v>5292.4132515337424</v>
      </c>
      <c r="H245" s="26">
        <f t="shared" si="19"/>
        <v>9260.0896233987733</v>
      </c>
      <c r="I245" s="8">
        <f t="shared" si="20"/>
        <v>5292.4132515337424</v>
      </c>
      <c r="J245" s="8">
        <f>VPI!R245</f>
        <v>2864.8037627811859</v>
      </c>
      <c r="K245" s="174">
        <f t="shared" si="21"/>
        <v>3554.7411246736638</v>
      </c>
      <c r="L245" s="266">
        <f t="shared" si="22"/>
        <v>8847.154376207407</v>
      </c>
      <c r="M245" s="102"/>
      <c r="N245" s="103"/>
      <c r="O245" s="100"/>
      <c r="P245" s="100"/>
      <c r="Q245" s="104"/>
    </row>
    <row r="246" spans="1:17" s="99" customFormat="1" x14ac:dyDescent="0.25">
      <c r="A246" s="137">
        <f>Données!A246</f>
        <v>5830</v>
      </c>
      <c r="B246" s="276" t="str">
        <f>Données!B246</f>
        <v>Villarzel</v>
      </c>
      <c r="C246" s="137">
        <f>Données!AR246</f>
        <v>0</v>
      </c>
      <c r="D246" s="277">
        <f>Données!Z246</f>
        <v>486</v>
      </c>
      <c r="E246" s="101">
        <f>Données!X246</f>
        <v>75</v>
      </c>
      <c r="F246" s="31">
        <f>VPI!L246</f>
        <v>872644.26</v>
      </c>
      <c r="G246" s="8">
        <f t="shared" si="18"/>
        <v>23270.513600000002</v>
      </c>
      <c r="H246" s="26">
        <f t="shared" si="19"/>
        <v>42860.986256874327</v>
      </c>
      <c r="I246" s="8">
        <f t="shared" si="20"/>
        <v>23270.513600000002</v>
      </c>
      <c r="J246" s="8">
        <f>VPI!R246</f>
        <v>12474.066133333334</v>
      </c>
      <c r="K246" s="174">
        <f t="shared" si="21"/>
        <v>15478.224530468773</v>
      </c>
      <c r="L246" s="266">
        <f t="shared" si="22"/>
        <v>38748.738130468773</v>
      </c>
      <c r="M246" s="102"/>
      <c r="N246" s="103"/>
      <c r="O246" s="100"/>
      <c r="P246" s="100"/>
      <c r="Q246" s="104"/>
    </row>
    <row r="247" spans="1:17" s="99" customFormat="1" x14ac:dyDescent="0.25">
      <c r="A247" s="137">
        <f>Données!A247</f>
        <v>5831</v>
      </c>
      <c r="B247" s="276" t="str">
        <f>Données!B247</f>
        <v>Valbroye</v>
      </c>
      <c r="C247" s="137">
        <f>Données!AR247</f>
        <v>0</v>
      </c>
      <c r="D247" s="277">
        <f>Données!Z247</f>
        <v>3361</v>
      </c>
      <c r="E247" s="101">
        <f>Données!X247</f>
        <v>70.5</v>
      </c>
      <c r="F247" s="31">
        <f>VPI!L247</f>
        <v>5619851.5800000001</v>
      </c>
      <c r="G247" s="8">
        <f t="shared" si="18"/>
        <v>159428.41361702129</v>
      </c>
      <c r="H247" s="26">
        <f t="shared" si="19"/>
        <v>296411.05927850743</v>
      </c>
      <c r="I247" s="8">
        <f t="shared" si="20"/>
        <v>159428.41361702129</v>
      </c>
      <c r="J247" s="8">
        <f>VPI!R247</f>
        <v>87465.086477541365</v>
      </c>
      <c r="K247" s="174">
        <f t="shared" si="21"/>
        <v>108529.50694710549</v>
      </c>
      <c r="L247" s="266">
        <f t="shared" si="22"/>
        <v>267957.92056412681</v>
      </c>
      <c r="M247" s="102"/>
      <c r="N247" s="103"/>
      <c r="O247" s="100"/>
      <c r="P247" s="100"/>
      <c r="Q247" s="104"/>
    </row>
    <row r="248" spans="1:17" s="99" customFormat="1" x14ac:dyDescent="0.25">
      <c r="A248" s="137">
        <f>Données!A248</f>
        <v>5841</v>
      </c>
      <c r="B248" s="276" t="str">
        <f>Données!B248</f>
        <v>Château-d'Oex</v>
      </c>
      <c r="C248" s="137">
        <f>Données!AR248</f>
        <v>0</v>
      </c>
      <c r="D248" s="277">
        <f>Données!Z248</f>
        <v>3568</v>
      </c>
      <c r="E248" s="101">
        <f>Données!X248</f>
        <v>81.5</v>
      </c>
      <c r="F248" s="31">
        <f>VPI!L248</f>
        <v>9029957.9200000018</v>
      </c>
      <c r="G248" s="8">
        <f t="shared" si="18"/>
        <v>221594.0593865031</v>
      </c>
      <c r="H248" s="26">
        <f t="shared" si="19"/>
        <v>314666.66453606501</v>
      </c>
      <c r="I248" s="8">
        <f t="shared" si="20"/>
        <v>221594.0593865031</v>
      </c>
      <c r="J248" s="8">
        <f>VPI!R248</f>
        <v>123825.99529652353</v>
      </c>
      <c r="K248" s="174">
        <f t="shared" si="21"/>
        <v>153647.29811611184</v>
      </c>
      <c r="L248" s="266">
        <f t="shared" si="22"/>
        <v>375241.35750261496</v>
      </c>
      <c r="M248" s="102"/>
      <c r="N248" s="103"/>
      <c r="O248" s="100"/>
      <c r="P248" s="100"/>
      <c r="Q248" s="104"/>
    </row>
    <row r="249" spans="1:17" s="99" customFormat="1" x14ac:dyDescent="0.25">
      <c r="A249" s="137">
        <f>Données!A249</f>
        <v>5842</v>
      </c>
      <c r="B249" s="276" t="str">
        <f>Données!B249</f>
        <v>Rossinière</v>
      </c>
      <c r="C249" s="137">
        <f>Données!AR249</f>
        <v>0</v>
      </c>
      <c r="D249" s="277">
        <f>Données!Z249</f>
        <v>534</v>
      </c>
      <c r="E249" s="101">
        <f>Données!X249</f>
        <v>81</v>
      </c>
      <c r="F249" s="31">
        <f>VPI!L249</f>
        <v>1236380.5200000003</v>
      </c>
      <c r="G249" s="8">
        <f t="shared" si="18"/>
        <v>30527.91407407408</v>
      </c>
      <c r="H249" s="26">
        <f t="shared" si="19"/>
        <v>47094.170084713762</v>
      </c>
      <c r="I249" s="8">
        <f t="shared" si="20"/>
        <v>30527.91407407408</v>
      </c>
      <c r="J249" s="8">
        <f>VPI!R249</f>
        <v>16473.108683127575</v>
      </c>
      <c r="K249" s="174">
        <f t="shared" si="21"/>
        <v>20440.365810705287</v>
      </c>
      <c r="L249" s="266">
        <f t="shared" si="22"/>
        <v>50968.279884779367</v>
      </c>
      <c r="M249" s="102"/>
      <c r="N249" s="103"/>
      <c r="O249" s="100"/>
      <c r="P249" s="100"/>
      <c r="Q249" s="104"/>
    </row>
    <row r="250" spans="1:17" s="99" customFormat="1" x14ac:dyDescent="0.25">
      <c r="A250" s="137">
        <f>Données!A250</f>
        <v>5843</v>
      </c>
      <c r="B250" s="276" t="str">
        <f>Données!B250</f>
        <v>Rougemont</v>
      </c>
      <c r="C250" s="137">
        <f>Données!AR250</f>
        <v>0</v>
      </c>
      <c r="D250" s="277">
        <f>Données!Z250</f>
        <v>826</v>
      </c>
      <c r="E250" s="101">
        <f>Données!X250</f>
        <v>79</v>
      </c>
      <c r="F250" s="31">
        <f>VPI!L250</f>
        <v>6240383.5500000007</v>
      </c>
      <c r="G250" s="8">
        <f t="shared" si="18"/>
        <v>157984.39367088609</v>
      </c>
      <c r="H250" s="26">
        <f t="shared" si="19"/>
        <v>72846.03837073702</v>
      </c>
      <c r="I250" s="8">
        <f t="shared" si="20"/>
        <v>72846.03837073702</v>
      </c>
      <c r="J250" s="8">
        <f>VPI!R250</f>
        <v>89735.240928270054</v>
      </c>
      <c r="K250" s="174">
        <f t="shared" si="21"/>
        <v>111346.38798105525</v>
      </c>
      <c r="L250" s="266">
        <f t="shared" si="22"/>
        <v>184192.42635179227</v>
      </c>
      <c r="M250" s="102"/>
      <c r="N250" s="103"/>
      <c r="O250" s="100"/>
      <c r="P250" s="100"/>
      <c r="Q250" s="104"/>
    </row>
    <row r="251" spans="1:17" s="99" customFormat="1" x14ac:dyDescent="0.25">
      <c r="A251" s="137">
        <f>Données!A251</f>
        <v>5851</v>
      </c>
      <c r="B251" s="276" t="str">
        <f>Données!B251</f>
        <v>Allaman</v>
      </c>
      <c r="C251" s="137">
        <f>Données!AR251</f>
        <v>0</v>
      </c>
      <c r="D251" s="277">
        <f>Données!Z251</f>
        <v>420</v>
      </c>
      <c r="E251" s="101">
        <f>Données!X251</f>
        <v>65</v>
      </c>
      <c r="F251" s="31">
        <f>VPI!L251</f>
        <v>1367514.41</v>
      </c>
      <c r="G251" s="8">
        <f t="shared" si="18"/>
        <v>42077.366461538462</v>
      </c>
      <c r="H251" s="26">
        <f t="shared" si="19"/>
        <v>37040.358493595093</v>
      </c>
      <c r="I251" s="8">
        <f t="shared" si="20"/>
        <v>37040.358493595093</v>
      </c>
      <c r="J251" s="8">
        <f>VPI!R251</f>
        <v>24650.249641025639</v>
      </c>
      <c r="K251" s="174">
        <f t="shared" si="21"/>
        <v>30586.826668839058</v>
      </c>
      <c r="L251" s="266">
        <f t="shared" si="22"/>
        <v>67627.185162434151</v>
      </c>
      <c r="M251" s="102"/>
      <c r="N251" s="103"/>
      <c r="O251" s="100"/>
      <c r="P251" s="100"/>
      <c r="Q251" s="104"/>
    </row>
    <row r="252" spans="1:17" s="99" customFormat="1" x14ac:dyDescent="0.25">
      <c r="A252" s="137">
        <f>Données!A252</f>
        <v>5852</v>
      </c>
      <c r="B252" s="276" t="str">
        <f>Données!B252</f>
        <v>Bursinel</v>
      </c>
      <c r="C252" s="137">
        <f>Données!AR252</f>
        <v>0</v>
      </c>
      <c r="D252" s="277">
        <f>Données!Z252</f>
        <v>503</v>
      </c>
      <c r="E252" s="101">
        <f>Données!X252</f>
        <v>62</v>
      </c>
      <c r="F252" s="31">
        <f>VPI!L252</f>
        <v>2004738.77</v>
      </c>
      <c r="G252" s="8">
        <f t="shared" si="18"/>
        <v>64668.992580645165</v>
      </c>
      <c r="H252" s="26">
        <f t="shared" si="19"/>
        <v>44360.238862567458</v>
      </c>
      <c r="I252" s="8">
        <f t="shared" si="20"/>
        <v>44360.238862567458</v>
      </c>
      <c r="J252" s="8">
        <f>VPI!R252</f>
        <v>35648.966451612905</v>
      </c>
      <c r="K252" s="174">
        <f t="shared" si="21"/>
        <v>44234.390063295679</v>
      </c>
      <c r="L252" s="266">
        <f t="shared" si="22"/>
        <v>88594.62892586313</v>
      </c>
      <c r="M252" s="102"/>
      <c r="N252" s="103"/>
      <c r="O252" s="100"/>
      <c r="P252" s="100"/>
      <c r="Q252" s="104"/>
    </row>
    <row r="253" spans="1:17" s="99" customFormat="1" x14ac:dyDescent="0.25">
      <c r="A253" s="137">
        <f>Données!A253</f>
        <v>5853</v>
      </c>
      <c r="B253" s="276" t="str">
        <f>Données!B253</f>
        <v>Bursins</v>
      </c>
      <c r="C253" s="137">
        <f>Données!AR253</f>
        <v>0</v>
      </c>
      <c r="D253" s="277">
        <f>Données!Z253</f>
        <v>766</v>
      </c>
      <c r="E253" s="101">
        <f>Données!X253</f>
        <v>71</v>
      </c>
      <c r="F253" s="31">
        <f>VPI!L253</f>
        <v>3138076.2399999993</v>
      </c>
      <c r="G253" s="8">
        <f t="shared" si="18"/>
        <v>88396.513802816888</v>
      </c>
      <c r="H253" s="26">
        <f t="shared" si="19"/>
        <v>67554.558585937717</v>
      </c>
      <c r="I253" s="8">
        <f t="shared" si="20"/>
        <v>67554.558585937717</v>
      </c>
      <c r="J253" s="8">
        <f>VPI!R253</f>
        <v>47535.713943661962</v>
      </c>
      <c r="K253" s="174">
        <f t="shared" si="21"/>
        <v>58983.85063632192</v>
      </c>
      <c r="L253" s="266">
        <f t="shared" si="22"/>
        <v>126538.40922225964</v>
      </c>
      <c r="M253" s="102"/>
      <c r="N253" s="103"/>
      <c r="O253" s="100"/>
      <c r="P253" s="100"/>
      <c r="Q253" s="104"/>
    </row>
    <row r="254" spans="1:17" s="99" customFormat="1" x14ac:dyDescent="0.25">
      <c r="A254" s="137">
        <f>Données!A254</f>
        <v>5854</v>
      </c>
      <c r="B254" s="276" t="str">
        <f>Données!B254</f>
        <v>Burtigny</v>
      </c>
      <c r="C254" s="137">
        <f>Données!AR254</f>
        <v>0</v>
      </c>
      <c r="D254" s="277">
        <f>Données!Z254</f>
        <v>414</v>
      </c>
      <c r="E254" s="101">
        <f>Données!X254</f>
        <v>78.5</v>
      </c>
      <c r="F254" s="31">
        <f>VPI!L254</f>
        <v>1115716.55</v>
      </c>
      <c r="G254" s="8">
        <f t="shared" si="18"/>
        <v>28425.899363057328</v>
      </c>
      <c r="H254" s="26">
        <f t="shared" si="19"/>
        <v>36511.210515115163</v>
      </c>
      <c r="I254" s="8">
        <f t="shared" si="20"/>
        <v>28425.899363057328</v>
      </c>
      <c r="J254" s="8">
        <f>VPI!R254</f>
        <v>15260.82696390658</v>
      </c>
      <c r="K254" s="174">
        <f t="shared" si="21"/>
        <v>18936.127461820477</v>
      </c>
      <c r="L254" s="266">
        <f t="shared" si="22"/>
        <v>47362.026824877801</v>
      </c>
      <c r="M254" s="102"/>
      <c r="N254" s="103"/>
      <c r="O254" s="100"/>
      <c r="P254" s="100"/>
      <c r="Q254" s="104"/>
    </row>
    <row r="255" spans="1:17" s="99" customFormat="1" x14ac:dyDescent="0.25">
      <c r="A255" s="137">
        <f>Données!A255</f>
        <v>5855</v>
      </c>
      <c r="B255" s="276" t="str">
        <f>Données!B255</f>
        <v>Dully</v>
      </c>
      <c r="C255" s="137">
        <f>Données!AR255</f>
        <v>0</v>
      </c>
      <c r="D255" s="277">
        <f>Données!Z255</f>
        <v>631</v>
      </c>
      <c r="E255" s="101">
        <f>Données!X255</f>
        <v>53</v>
      </c>
      <c r="F255" s="31">
        <f>VPI!L255</f>
        <v>3964605.07</v>
      </c>
      <c r="G255" s="8">
        <f t="shared" si="18"/>
        <v>149607.73849056603</v>
      </c>
      <c r="H255" s="26">
        <f t="shared" si="19"/>
        <v>55648.729070139299</v>
      </c>
      <c r="I255" s="8">
        <f t="shared" si="20"/>
        <v>55648.729070139299</v>
      </c>
      <c r="J255" s="8">
        <f>VPI!R255</f>
        <v>82571.316415094334</v>
      </c>
      <c r="K255" s="174">
        <f t="shared" si="21"/>
        <v>102457.15884365671</v>
      </c>
      <c r="L255" s="266">
        <f t="shared" si="22"/>
        <v>158105.887913796</v>
      </c>
      <c r="M255" s="102"/>
      <c r="N255" s="103"/>
      <c r="O255" s="100"/>
      <c r="P255" s="100"/>
      <c r="Q255" s="104"/>
    </row>
    <row r="256" spans="1:17" s="99" customFormat="1" x14ac:dyDescent="0.25">
      <c r="A256" s="137">
        <f>Données!A256</f>
        <v>5856</v>
      </c>
      <c r="B256" s="276" t="str">
        <f>Données!B256</f>
        <v>Essertines-sur-Rolle</v>
      </c>
      <c r="C256" s="137">
        <f>Données!AR256</f>
        <v>0</v>
      </c>
      <c r="D256" s="277">
        <f>Données!Z256</f>
        <v>749</v>
      </c>
      <c r="E256" s="101">
        <f>Données!X256</f>
        <v>66.5</v>
      </c>
      <c r="F256" s="31">
        <f>VPI!L256</f>
        <v>2221445.2700000005</v>
      </c>
      <c r="G256" s="8">
        <f t="shared" si="18"/>
        <v>66810.384060150391</v>
      </c>
      <c r="H256" s="26">
        <f t="shared" si="19"/>
        <v>66055.305980244579</v>
      </c>
      <c r="I256" s="8">
        <f t="shared" si="20"/>
        <v>66055.305980244579</v>
      </c>
      <c r="J256" s="8">
        <f>VPI!R256</f>
        <v>36460.735639097751</v>
      </c>
      <c r="K256" s="174">
        <f t="shared" si="21"/>
        <v>45241.659514692205</v>
      </c>
      <c r="L256" s="266">
        <f t="shared" si="22"/>
        <v>111296.96549493678</v>
      </c>
      <c r="M256" s="102"/>
      <c r="N256" s="103"/>
      <c r="O256" s="100"/>
      <c r="P256" s="100"/>
      <c r="Q256" s="104"/>
    </row>
    <row r="257" spans="1:17" s="99" customFormat="1" x14ac:dyDescent="0.25">
      <c r="A257" s="137">
        <f>Données!A257</f>
        <v>5857</v>
      </c>
      <c r="B257" s="276" t="str">
        <f>Données!B257</f>
        <v>Gilly</v>
      </c>
      <c r="C257" s="137">
        <f>Données!AR257</f>
        <v>0</v>
      </c>
      <c r="D257" s="277">
        <f>Données!Z257</f>
        <v>1446</v>
      </c>
      <c r="E257" s="101">
        <f>Données!X257</f>
        <v>64.5</v>
      </c>
      <c r="F257" s="31">
        <f>VPI!L257</f>
        <v>5170117.3400000008</v>
      </c>
      <c r="G257" s="8">
        <f t="shared" si="18"/>
        <v>160313.71596899227</v>
      </c>
      <c r="H257" s="26">
        <f t="shared" si="19"/>
        <v>127524.6628136631</v>
      </c>
      <c r="I257" s="8">
        <f t="shared" si="20"/>
        <v>127524.6628136631</v>
      </c>
      <c r="J257" s="8">
        <f>VPI!R257</f>
        <v>87016.843255813976</v>
      </c>
      <c r="K257" s="174">
        <f t="shared" si="21"/>
        <v>107973.3122663977</v>
      </c>
      <c r="L257" s="266">
        <f t="shared" si="22"/>
        <v>235497.9750800608</v>
      </c>
      <c r="M257" s="102"/>
      <c r="N257" s="103"/>
      <c r="O257" s="100"/>
      <c r="P257" s="100"/>
      <c r="Q257" s="104"/>
    </row>
    <row r="258" spans="1:17" s="99" customFormat="1" x14ac:dyDescent="0.25">
      <c r="A258" s="137">
        <f>Données!A258</f>
        <v>5858</v>
      </c>
      <c r="B258" s="276" t="str">
        <f>Données!B258</f>
        <v>Luins</v>
      </c>
      <c r="C258" s="137">
        <f>Données!AR258</f>
        <v>0</v>
      </c>
      <c r="D258" s="277">
        <f>Données!Z258</f>
        <v>618</v>
      </c>
      <c r="E258" s="101">
        <f>Données!X258</f>
        <v>58.5</v>
      </c>
      <c r="F258" s="31">
        <f>VPI!L258</f>
        <v>2246967.94</v>
      </c>
      <c r="G258" s="8">
        <f t="shared" si="18"/>
        <v>76819.416752136749</v>
      </c>
      <c r="H258" s="26">
        <f t="shared" si="19"/>
        <v>54502.241783432779</v>
      </c>
      <c r="I258" s="8">
        <f t="shared" si="20"/>
        <v>54502.241783432779</v>
      </c>
      <c r="J258" s="8">
        <f>VPI!R258</f>
        <v>41161.497549857544</v>
      </c>
      <c r="K258" s="174">
        <f t="shared" si="21"/>
        <v>51074.51686379563</v>
      </c>
      <c r="L258" s="266">
        <f t="shared" si="22"/>
        <v>105576.75864722842</v>
      </c>
      <c r="M258" s="102"/>
      <c r="N258" s="103"/>
      <c r="O258" s="100"/>
      <c r="P258" s="100"/>
      <c r="Q258" s="104"/>
    </row>
    <row r="259" spans="1:17" s="99" customFormat="1" x14ac:dyDescent="0.25">
      <c r="A259" s="137">
        <f>Données!A259</f>
        <v>5859</v>
      </c>
      <c r="B259" s="276" t="str">
        <f>Données!B259</f>
        <v>Mont-sur-Rolle</v>
      </c>
      <c r="C259" s="137">
        <f>Données!AR259</f>
        <v>0</v>
      </c>
      <c r="D259" s="277">
        <f>Données!Z259</f>
        <v>2759</v>
      </c>
      <c r="E259" s="101">
        <f>Données!X259</f>
        <v>63.5</v>
      </c>
      <c r="F259" s="31">
        <f>VPI!L259</f>
        <v>9353036.7400000002</v>
      </c>
      <c r="G259" s="8">
        <f t="shared" si="18"/>
        <v>294583.83433070866</v>
      </c>
      <c r="H259" s="26">
        <f t="shared" si="19"/>
        <v>243319.87877102112</v>
      </c>
      <c r="I259" s="8">
        <f t="shared" si="20"/>
        <v>243319.87877102112</v>
      </c>
      <c r="J259" s="8">
        <f>VPI!R259</f>
        <v>158432.4612598425</v>
      </c>
      <c r="K259" s="174">
        <f t="shared" si="21"/>
        <v>196588.11987068917</v>
      </c>
      <c r="L259" s="266">
        <f t="shared" si="22"/>
        <v>439907.99864171026</v>
      </c>
      <c r="M259" s="102"/>
      <c r="N259" s="103"/>
      <c r="O259" s="100"/>
      <c r="P259" s="100"/>
      <c r="Q259" s="104"/>
    </row>
    <row r="260" spans="1:17" s="99" customFormat="1" x14ac:dyDescent="0.25">
      <c r="A260" s="137">
        <f>Données!A260</f>
        <v>5860</v>
      </c>
      <c r="B260" s="276" t="str">
        <f>Données!B260</f>
        <v>Perroy</v>
      </c>
      <c r="C260" s="137">
        <f>Données!AR260</f>
        <v>0</v>
      </c>
      <c r="D260" s="277">
        <f>Données!Z260</f>
        <v>1542</v>
      </c>
      <c r="E260" s="101">
        <f>Données!X260</f>
        <v>58.5</v>
      </c>
      <c r="F260" s="31">
        <f>VPI!L260</f>
        <v>7165274.04</v>
      </c>
      <c r="G260" s="8">
        <f t="shared" si="18"/>
        <v>244966.63384615385</v>
      </c>
      <c r="H260" s="26">
        <f t="shared" si="19"/>
        <v>135991.03046934199</v>
      </c>
      <c r="I260" s="8">
        <f t="shared" si="20"/>
        <v>135991.03046934199</v>
      </c>
      <c r="J260" s="8">
        <f>VPI!R260</f>
        <v>132372.96084155163</v>
      </c>
      <c r="K260" s="174">
        <f t="shared" si="21"/>
        <v>164252.64927796065</v>
      </c>
      <c r="L260" s="266">
        <f t="shared" si="22"/>
        <v>300243.67974730267</v>
      </c>
      <c r="M260" s="102"/>
      <c r="N260" s="103"/>
      <c r="O260" s="100"/>
      <c r="P260" s="100"/>
      <c r="Q260" s="104"/>
    </row>
    <row r="261" spans="1:17" s="99" customFormat="1" x14ac:dyDescent="0.25">
      <c r="A261" s="137">
        <f>Données!A261</f>
        <v>5861</v>
      </c>
      <c r="B261" s="276" t="str">
        <f>Données!B261</f>
        <v>Rolle</v>
      </c>
      <c r="C261" s="137">
        <f>Données!AR261</f>
        <v>0</v>
      </c>
      <c r="D261" s="277">
        <f>Données!Z261</f>
        <v>6321</v>
      </c>
      <c r="E261" s="101">
        <f>Données!X261</f>
        <v>59.5</v>
      </c>
      <c r="F261" s="31">
        <f>VPI!L261</f>
        <v>45113638.620000005</v>
      </c>
      <c r="G261" s="8">
        <f t="shared" si="18"/>
        <v>1516424.8275630253</v>
      </c>
      <c r="H261" s="26">
        <f t="shared" si="19"/>
        <v>557457.39532860613</v>
      </c>
      <c r="I261" s="8">
        <f t="shared" si="20"/>
        <v>557457.39532860613</v>
      </c>
      <c r="J261" s="8">
        <f>VPI!R261</f>
        <v>796252.79529411776</v>
      </c>
      <c r="K261" s="174">
        <f t="shared" si="21"/>
        <v>988016.21033913468</v>
      </c>
      <c r="L261" s="266">
        <f t="shared" si="22"/>
        <v>1545473.6056677408</v>
      </c>
      <c r="M261" s="102"/>
      <c r="N261" s="103"/>
      <c r="O261" s="100"/>
      <c r="P261" s="100"/>
      <c r="Q261" s="104"/>
    </row>
    <row r="262" spans="1:17" s="99" customFormat="1" x14ac:dyDescent="0.25">
      <c r="A262" s="137">
        <f>Données!A262</f>
        <v>5862</v>
      </c>
      <c r="B262" s="276" t="str">
        <f>Données!B262</f>
        <v>Tartegnin</v>
      </c>
      <c r="C262" s="137">
        <f>Données!AR262</f>
        <v>0</v>
      </c>
      <c r="D262" s="277">
        <f>Données!Z262</f>
        <v>249</v>
      </c>
      <c r="E262" s="101">
        <f>Données!X262</f>
        <v>79</v>
      </c>
      <c r="F262" s="31">
        <f>VPI!L262</f>
        <v>768716.99000000011</v>
      </c>
      <c r="G262" s="8">
        <f t="shared" si="18"/>
        <v>19461.189620253168</v>
      </c>
      <c r="H262" s="26">
        <f t="shared" si="19"/>
        <v>21959.64110691709</v>
      </c>
      <c r="I262" s="8">
        <f t="shared" si="20"/>
        <v>19461.189620253168</v>
      </c>
      <c r="J262" s="8">
        <f>VPI!R262</f>
        <v>10371.38594936709</v>
      </c>
      <c r="K262" s="174">
        <f t="shared" si="21"/>
        <v>12869.150980968519</v>
      </c>
      <c r="L262" s="266">
        <f t="shared" si="22"/>
        <v>32330.340601221687</v>
      </c>
      <c r="M262" s="102"/>
      <c r="N262" s="103"/>
      <c r="O262" s="100"/>
      <c r="P262" s="100"/>
      <c r="Q262" s="104"/>
    </row>
    <row r="263" spans="1:17" s="99" customFormat="1" x14ac:dyDescent="0.25">
      <c r="A263" s="137">
        <f>Données!A263</f>
        <v>5863</v>
      </c>
      <c r="B263" s="276" t="str">
        <f>Données!B263</f>
        <v>Vinzel</v>
      </c>
      <c r="C263" s="137">
        <f>Données!AR263</f>
        <v>0</v>
      </c>
      <c r="D263" s="277">
        <f>Données!Z263</f>
        <v>378</v>
      </c>
      <c r="E263" s="101">
        <f>Données!X263</f>
        <v>67</v>
      </c>
      <c r="F263" s="31">
        <f>VPI!L263</f>
        <v>1486440.69</v>
      </c>
      <c r="G263" s="8">
        <f t="shared" ref="G263:G305" si="23">F263/E263*2</f>
        <v>44371.363880597011</v>
      </c>
      <c r="H263" s="26">
        <f t="shared" ref="H263:H305" si="24">+$G$306/$D$306*D263</f>
        <v>33336.322644235588</v>
      </c>
      <c r="I263" s="8">
        <f t="shared" ref="I263:I305" si="25">IF(C263=1,0,IF(H263&gt;G263,G263,H263))</f>
        <v>33336.322644235588</v>
      </c>
      <c r="J263" s="8">
        <f>VPI!R263</f>
        <v>23660.86104477612</v>
      </c>
      <c r="K263" s="174">
        <f t="shared" ref="K263:K305" si="26">+$K$5*J263</f>
        <v>29359.161312815875</v>
      </c>
      <c r="L263" s="266">
        <f t="shared" ref="L263:L305" si="27">+K263+I263</f>
        <v>62695.48395705146</v>
      </c>
      <c r="M263" s="102"/>
      <c r="N263" s="103"/>
      <c r="O263" s="100"/>
      <c r="P263" s="100"/>
      <c r="Q263" s="104"/>
    </row>
    <row r="264" spans="1:17" s="99" customFormat="1" x14ac:dyDescent="0.25">
      <c r="A264" s="137">
        <f>Données!A264</f>
        <v>5871</v>
      </c>
      <c r="B264" s="276" t="str">
        <f>Données!B264</f>
        <v>L'Abbaye</v>
      </c>
      <c r="C264" s="137">
        <f>Données!AR264</f>
        <v>0</v>
      </c>
      <c r="D264" s="277">
        <f>Données!Z264</f>
        <v>1534</v>
      </c>
      <c r="E264" s="101">
        <f>Données!X264</f>
        <v>77.3</v>
      </c>
      <c r="F264" s="31">
        <f>VPI!L264</f>
        <v>3583168.5999999996</v>
      </c>
      <c r="G264" s="8">
        <f t="shared" si="23"/>
        <v>92708.113842173349</v>
      </c>
      <c r="H264" s="26">
        <f t="shared" si="24"/>
        <v>135285.49983136874</v>
      </c>
      <c r="I264" s="8">
        <f t="shared" si="25"/>
        <v>92708.113842173349</v>
      </c>
      <c r="J264" s="8">
        <f>VPI!R264</f>
        <v>50235.576326002578</v>
      </c>
      <c r="K264" s="174">
        <f t="shared" si="26"/>
        <v>62333.927163779568</v>
      </c>
      <c r="L264" s="266">
        <f t="shared" si="27"/>
        <v>155042.04100595292</v>
      </c>
      <c r="M264" s="102"/>
      <c r="N264" s="103"/>
      <c r="O264" s="100"/>
      <c r="P264" s="100"/>
      <c r="Q264" s="104"/>
    </row>
    <row r="265" spans="1:17" s="99" customFormat="1" x14ac:dyDescent="0.25">
      <c r="A265" s="137">
        <f>Données!A265</f>
        <v>5872</v>
      </c>
      <c r="B265" s="276" t="str">
        <f>Données!B265</f>
        <v>Le Chenit</v>
      </c>
      <c r="C265" s="137">
        <f>Données!AR265</f>
        <v>0</v>
      </c>
      <c r="D265" s="277">
        <f>Données!Z265</f>
        <v>4613</v>
      </c>
      <c r="E265" s="101">
        <f>Données!X265</f>
        <v>66.83</v>
      </c>
      <c r="F265" s="31">
        <f>VPI!L265</f>
        <v>20308997.41</v>
      </c>
      <c r="G265" s="8">
        <f t="shared" si="23"/>
        <v>607780.85919497232</v>
      </c>
      <c r="H265" s="26">
        <f t="shared" si="24"/>
        <v>406826.60412131943</v>
      </c>
      <c r="I265" s="8">
        <f t="shared" si="25"/>
        <v>406826.60412131943</v>
      </c>
      <c r="J265" s="8">
        <f>VPI!R265</f>
        <v>316919.42630555143</v>
      </c>
      <c r="K265" s="174">
        <f t="shared" si="26"/>
        <v>393243.86980092624</v>
      </c>
      <c r="L265" s="266">
        <f t="shared" si="27"/>
        <v>800070.47392224567</v>
      </c>
      <c r="M265" s="102"/>
      <c r="N265" s="103"/>
      <c r="O265" s="100"/>
      <c r="P265" s="100"/>
      <c r="Q265" s="104"/>
    </row>
    <row r="266" spans="1:17" s="99" customFormat="1" x14ac:dyDescent="0.25">
      <c r="A266" s="137">
        <f>Données!A266</f>
        <v>5873</v>
      </c>
      <c r="B266" s="276" t="str">
        <f>Données!B266</f>
        <v>Le Lieu</v>
      </c>
      <c r="C266" s="137">
        <f>Données!AR266</f>
        <v>0</v>
      </c>
      <c r="D266" s="277">
        <f>Données!Z266</f>
        <v>886</v>
      </c>
      <c r="E266" s="101">
        <f>Données!X266</f>
        <v>70</v>
      </c>
      <c r="F266" s="31">
        <f>VPI!L266</f>
        <v>2312784.7800000003</v>
      </c>
      <c r="G266" s="8">
        <f t="shared" si="23"/>
        <v>66079.565142857144</v>
      </c>
      <c r="H266" s="26">
        <f t="shared" si="24"/>
        <v>78137.518155536323</v>
      </c>
      <c r="I266" s="8">
        <f t="shared" si="25"/>
        <v>66079.565142857144</v>
      </c>
      <c r="J266" s="8">
        <f>VPI!R266</f>
        <v>35203.466500000002</v>
      </c>
      <c r="K266" s="174">
        <f t="shared" si="26"/>
        <v>43681.599320832713</v>
      </c>
      <c r="L266" s="266">
        <f t="shared" si="27"/>
        <v>109761.16446368986</v>
      </c>
      <c r="M266" s="102"/>
      <c r="N266" s="103"/>
      <c r="O266" s="100"/>
      <c r="P266" s="100"/>
      <c r="Q266" s="104"/>
    </row>
    <row r="267" spans="1:17" s="99" customFormat="1" x14ac:dyDescent="0.25">
      <c r="A267" s="137">
        <f>Données!A267</f>
        <v>5882</v>
      </c>
      <c r="B267" s="276" t="str">
        <f>Données!B267</f>
        <v>Chardonne</v>
      </c>
      <c r="C267" s="137">
        <f>Données!AR267</f>
        <v>1</v>
      </c>
      <c r="D267" s="277">
        <f>Données!Z267</f>
        <v>3192</v>
      </c>
      <c r="E267" s="101">
        <f>Données!X267</f>
        <v>68</v>
      </c>
      <c r="F267" s="31">
        <f>VPI!L267</f>
        <v>12611311.609999999</v>
      </c>
      <c r="G267" s="8">
        <f t="shared" si="23"/>
        <v>370920.92970588233</v>
      </c>
      <c r="H267" s="26">
        <f t="shared" si="24"/>
        <v>281506.7245513227</v>
      </c>
      <c r="I267" s="8">
        <f t="shared" si="25"/>
        <v>0</v>
      </c>
      <c r="J267" s="8">
        <f>VPI!R267</f>
        <v>201755.16911764705</v>
      </c>
      <c r="K267" s="174">
        <f t="shared" si="26"/>
        <v>250344.33635403207</v>
      </c>
      <c r="L267" s="266">
        <f t="shared" si="27"/>
        <v>250344.33635403207</v>
      </c>
      <c r="M267" s="102"/>
      <c r="N267" s="103"/>
      <c r="O267" s="100"/>
      <c r="P267" s="100"/>
      <c r="Q267" s="104"/>
    </row>
    <row r="268" spans="1:17" s="99" customFormat="1" x14ac:dyDescent="0.25">
      <c r="A268" s="137">
        <f>Données!A268</f>
        <v>5883</v>
      </c>
      <c r="B268" s="276" t="str">
        <f>Données!B268</f>
        <v>Corseaux</v>
      </c>
      <c r="C268" s="137">
        <f>Données!AR268</f>
        <v>1</v>
      </c>
      <c r="D268" s="277">
        <f>Données!Z268</f>
        <v>2307</v>
      </c>
      <c r="E268" s="101">
        <f>Données!X268</f>
        <v>67.5</v>
      </c>
      <c r="F268" s="31">
        <f>VPI!L268</f>
        <v>11461933.9</v>
      </c>
      <c r="G268" s="8">
        <f t="shared" si="23"/>
        <v>339612.85629629629</v>
      </c>
      <c r="H268" s="26">
        <f t="shared" si="24"/>
        <v>203457.39772553305</v>
      </c>
      <c r="I268" s="8">
        <f t="shared" si="25"/>
        <v>0</v>
      </c>
      <c r="J268" s="8">
        <f>VPI!R268</f>
        <v>180895.17037037041</v>
      </c>
      <c r="K268" s="174">
        <f t="shared" si="26"/>
        <v>224460.57552861419</v>
      </c>
      <c r="L268" s="266">
        <f t="shared" si="27"/>
        <v>224460.57552861419</v>
      </c>
      <c r="M268" s="102"/>
      <c r="N268" s="103"/>
      <c r="O268" s="100"/>
      <c r="P268" s="100"/>
      <c r="Q268" s="104"/>
    </row>
    <row r="269" spans="1:17" s="99" customFormat="1" x14ac:dyDescent="0.25">
      <c r="A269" s="137">
        <f>Données!A269</f>
        <v>5884</v>
      </c>
      <c r="B269" s="276" t="str">
        <f>Données!B269</f>
        <v>Corsier-sur-Vevey</v>
      </c>
      <c r="C269" s="137">
        <f>Données!AR269</f>
        <v>1</v>
      </c>
      <c r="D269" s="277">
        <f>Données!Z269</f>
        <v>3366</v>
      </c>
      <c r="E269" s="101">
        <f>Données!X269</f>
        <v>64.5</v>
      </c>
      <c r="F269" s="31">
        <f>VPI!L269</f>
        <v>7284041.8499999996</v>
      </c>
      <c r="G269" s="8">
        <f t="shared" si="23"/>
        <v>225861.76279069766</v>
      </c>
      <c r="H269" s="26">
        <f t="shared" si="24"/>
        <v>296852.01592724066</v>
      </c>
      <c r="I269" s="8">
        <f t="shared" si="25"/>
        <v>0</v>
      </c>
      <c r="J269" s="8">
        <f>VPI!R269</f>
        <v>128040.06408268733</v>
      </c>
      <c r="K269" s="174">
        <f t="shared" si="26"/>
        <v>158876.25090198693</v>
      </c>
      <c r="L269" s="266">
        <f t="shared" si="27"/>
        <v>158876.25090198693</v>
      </c>
      <c r="M269" s="102"/>
      <c r="N269" s="103"/>
      <c r="O269" s="100"/>
      <c r="P269" s="100"/>
      <c r="Q269" s="104"/>
    </row>
    <row r="270" spans="1:17" s="99" customFormat="1" x14ac:dyDescent="0.25">
      <c r="A270" s="137">
        <f>Données!A270</f>
        <v>5885</v>
      </c>
      <c r="B270" s="276" t="str">
        <f>Données!B270</f>
        <v>Jongny</v>
      </c>
      <c r="C270" s="137">
        <f>Données!AR270</f>
        <v>1</v>
      </c>
      <c r="D270" s="277">
        <f>Données!Z270</f>
        <v>1842</v>
      </c>
      <c r="E270" s="101">
        <f>Données!X270</f>
        <v>69.5</v>
      </c>
      <c r="F270" s="31">
        <f>VPI!L270</f>
        <v>6733097.0199999996</v>
      </c>
      <c r="G270" s="8">
        <f t="shared" si="23"/>
        <v>193758.18762589927</v>
      </c>
      <c r="H270" s="26">
        <f t="shared" si="24"/>
        <v>162448.42939333848</v>
      </c>
      <c r="I270" s="8">
        <f t="shared" si="25"/>
        <v>0</v>
      </c>
      <c r="J270" s="8">
        <f>VPI!R270</f>
        <v>104088.6996882494</v>
      </c>
      <c r="K270" s="174">
        <f t="shared" si="26"/>
        <v>129156.6236412711</v>
      </c>
      <c r="L270" s="266">
        <f t="shared" si="27"/>
        <v>129156.6236412711</v>
      </c>
      <c r="M270" s="102"/>
      <c r="N270" s="103"/>
      <c r="O270" s="100"/>
      <c r="P270" s="100"/>
      <c r="Q270" s="104"/>
    </row>
    <row r="271" spans="1:17" s="99" customFormat="1" x14ac:dyDescent="0.25">
      <c r="A271" s="137">
        <f>Données!A271</f>
        <v>5886</v>
      </c>
      <c r="B271" s="276" t="str">
        <f>Données!B271</f>
        <v>Montreux</v>
      </c>
      <c r="C271" s="137">
        <f>Données!AR271</f>
        <v>1</v>
      </c>
      <c r="D271" s="277">
        <f>Données!Z271</f>
        <v>26081</v>
      </c>
      <c r="E271" s="101">
        <f>Données!X271</f>
        <v>65</v>
      </c>
      <c r="F271" s="31">
        <f>VPI!L271</f>
        <v>66857021.32</v>
      </c>
      <c r="G271" s="8">
        <f t="shared" si="23"/>
        <v>2057139.1175384615</v>
      </c>
      <c r="H271" s="26">
        <f t="shared" si="24"/>
        <v>2300118.0711225085</v>
      </c>
      <c r="I271" s="8">
        <f t="shared" si="25"/>
        <v>0</v>
      </c>
      <c r="J271" s="8">
        <f>VPI!R271</f>
        <v>1153058.3310769231</v>
      </c>
      <c r="K271" s="174">
        <f t="shared" si="26"/>
        <v>1430752.0542515386</v>
      </c>
      <c r="L271" s="266">
        <f t="shared" si="27"/>
        <v>1430752.0542515386</v>
      </c>
      <c r="M271" s="102"/>
      <c r="N271" s="103"/>
      <c r="O271" s="100"/>
      <c r="P271" s="100"/>
      <c r="Q271" s="104"/>
    </row>
    <row r="272" spans="1:17" s="99" customFormat="1" x14ac:dyDescent="0.25">
      <c r="A272" s="137">
        <f>Données!A272</f>
        <v>5889</v>
      </c>
      <c r="B272" s="276" t="str">
        <f>Données!B272</f>
        <v>La Tour-de-Peilz</v>
      </c>
      <c r="C272" s="137">
        <f>Données!AR272</f>
        <v>1</v>
      </c>
      <c r="D272" s="277">
        <f>Données!Z272</f>
        <v>12400</v>
      </c>
      <c r="E272" s="101">
        <f>Données!X272</f>
        <v>64</v>
      </c>
      <c r="F272" s="31">
        <f>VPI!L272</f>
        <v>42466275.689999998</v>
      </c>
      <c r="G272" s="8">
        <f t="shared" si="23"/>
        <v>1327071.1153124999</v>
      </c>
      <c r="H272" s="26">
        <f t="shared" si="24"/>
        <v>1093572.4888585219</v>
      </c>
      <c r="I272" s="8">
        <f t="shared" si="25"/>
        <v>0</v>
      </c>
      <c r="J272" s="8">
        <f>VPI!R272</f>
        <v>709087.81846354157</v>
      </c>
      <c r="K272" s="174">
        <f t="shared" si="26"/>
        <v>879859.08914418379</v>
      </c>
      <c r="L272" s="266">
        <f t="shared" si="27"/>
        <v>879859.08914418379</v>
      </c>
      <c r="M272" s="102"/>
      <c r="N272" s="103"/>
      <c r="O272" s="100"/>
      <c r="P272" s="100"/>
      <c r="Q272" s="104"/>
    </row>
    <row r="273" spans="1:17" s="99" customFormat="1" x14ac:dyDescent="0.25">
      <c r="A273" s="137">
        <f>Données!A273</f>
        <v>5890</v>
      </c>
      <c r="B273" s="276" t="str">
        <f>Données!B273</f>
        <v>Vevey</v>
      </c>
      <c r="C273" s="137">
        <f>Données!AR273</f>
        <v>1</v>
      </c>
      <c r="D273" s="277">
        <f>Données!Z273</f>
        <v>19743</v>
      </c>
      <c r="E273" s="101">
        <f>Données!X273</f>
        <v>74.5</v>
      </c>
      <c r="F273" s="31">
        <f>VPI!L273</f>
        <v>65631941.20000001</v>
      </c>
      <c r="G273" s="8">
        <f t="shared" si="23"/>
        <v>1761931.3073825506</v>
      </c>
      <c r="H273" s="26">
        <f t="shared" si="24"/>
        <v>1741161.4231882093</v>
      </c>
      <c r="I273" s="8">
        <f t="shared" si="25"/>
        <v>0</v>
      </c>
      <c r="J273" s="8">
        <f>VPI!R273</f>
        <v>944872.98138702475</v>
      </c>
      <c r="K273" s="174">
        <f t="shared" si="26"/>
        <v>1172428.9419631057</v>
      </c>
      <c r="L273" s="266">
        <f t="shared" si="27"/>
        <v>1172428.9419631057</v>
      </c>
      <c r="M273" s="102"/>
      <c r="N273" s="103"/>
      <c r="O273" s="100"/>
      <c r="P273" s="100"/>
      <c r="Q273" s="104"/>
    </row>
    <row r="274" spans="1:17" s="99" customFormat="1" x14ac:dyDescent="0.25">
      <c r="A274" s="137">
        <f>Données!A274</f>
        <v>5891</v>
      </c>
      <c r="B274" s="276" t="str">
        <f>Données!B274</f>
        <v>Veytaux</v>
      </c>
      <c r="C274" s="137">
        <f>Données!AR274</f>
        <v>1</v>
      </c>
      <c r="D274" s="277">
        <f>Données!Z274</f>
        <v>970</v>
      </c>
      <c r="E274" s="101">
        <f>Données!X274</f>
        <v>69.5</v>
      </c>
      <c r="F274" s="31">
        <f>VPI!L274</f>
        <v>2542246.44</v>
      </c>
      <c r="G274" s="8">
        <f t="shared" si="23"/>
        <v>73158.170935251794</v>
      </c>
      <c r="H274" s="26">
        <f t="shared" si="24"/>
        <v>85545.589854255333</v>
      </c>
      <c r="I274" s="8">
        <f t="shared" si="25"/>
        <v>0</v>
      </c>
      <c r="J274" s="8">
        <f>VPI!R274</f>
        <v>41112.713045563549</v>
      </c>
      <c r="K274" s="174">
        <f t="shared" si="26"/>
        <v>51013.983473720662</v>
      </c>
      <c r="L274" s="266">
        <f t="shared" si="27"/>
        <v>51013.983473720662</v>
      </c>
      <c r="M274" s="102"/>
      <c r="N274" s="103"/>
      <c r="O274" s="100"/>
      <c r="P274" s="100"/>
      <c r="Q274" s="104"/>
    </row>
    <row r="275" spans="1:17" s="99" customFormat="1" x14ac:dyDescent="0.25">
      <c r="A275" s="137">
        <f>Données!A275</f>
        <v>5892</v>
      </c>
      <c r="B275" s="276" t="str">
        <f>Données!B275</f>
        <v>Blonay-St-Légier</v>
      </c>
      <c r="C275" s="137">
        <f>Données!AR275</f>
        <v>1</v>
      </c>
      <c r="D275" s="277">
        <f>Données!Z275</f>
        <v>12123</v>
      </c>
      <c r="E275" s="101">
        <f>Données!X275</f>
        <v>68.5</v>
      </c>
      <c r="F275" s="31">
        <f>VPI!L275</f>
        <v>47713565.759999998</v>
      </c>
      <c r="G275" s="8">
        <f t="shared" si="23"/>
        <v>1393096.8105109488</v>
      </c>
      <c r="H275" s="26">
        <f t="shared" si="24"/>
        <v>1069143.4905186985</v>
      </c>
      <c r="I275" s="8">
        <f t="shared" si="25"/>
        <v>0</v>
      </c>
      <c r="J275" s="8">
        <f>VPI!R275</f>
        <v>749721.2351824817</v>
      </c>
      <c r="K275" s="174">
        <f t="shared" si="26"/>
        <v>930278.34624073037</v>
      </c>
      <c r="L275" s="266">
        <f t="shared" si="27"/>
        <v>930278.34624073037</v>
      </c>
      <c r="M275" s="102"/>
      <c r="N275" s="103"/>
      <c r="O275" s="100"/>
      <c r="P275" s="100"/>
      <c r="Q275" s="104"/>
    </row>
    <row r="276" spans="1:17" s="99" customFormat="1" x14ac:dyDescent="0.25">
      <c r="A276" s="137">
        <f>Données!A276</f>
        <v>5902</v>
      </c>
      <c r="B276" s="276" t="str">
        <f>Données!B276</f>
        <v>Belmont-sur-Yverdon</v>
      </c>
      <c r="C276" s="137">
        <f>Données!AR276</f>
        <v>0</v>
      </c>
      <c r="D276" s="277">
        <f>Données!Z276</f>
        <v>434</v>
      </c>
      <c r="E276" s="101">
        <f>Données!X276</f>
        <v>70</v>
      </c>
      <c r="F276" s="31">
        <f>VPI!L276</f>
        <v>764460.62</v>
      </c>
      <c r="G276" s="8">
        <f t="shared" si="23"/>
        <v>21841.732</v>
      </c>
      <c r="H276" s="26">
        <f t="shared" si="24"/>
        <v>38275.037110048266</v>
      </c>
      <c r="I276" s="8">
        <f t="shared" si="25"/>
        <v>21841.732</v>
      </c>
      <c r="J276" s="8">
        <f>VPI!R276</f>
        <v>11917.701714285715</v>
      </c>
      <c r="K276" s="174">
        <f t="shared" si="26"/>
        <v>14787.869572691932</v>
      </c>
      <c r="L276" s="266">
        <f t="shared" si="27"/>
        <v>36629.601572691929</v>
      </c>
      <c r="M276" s="102"/>
      <c r="N276" s="103"/>
      <c r="O276" s="100"/>
      <c r="P276" s="100"/>
      <c r="Q276" s="104"/>
    </row>
    <row r="277" spans="1:17" s="99" customFormat="1" x14ac:dyDescent="0.25">
      <c r="A277" s="137">
        <f>Données!A277</f>
        <v>5903</v>
      </c>
      <c r="B277" s="276" t="str">
        <f>Données!B277</f>
        <v>Bioley-Magnoux</v>
      </c>
      <c r="C277" s="137">
        <f>Données!AR277</f>
        <v>0</v>
      </c>
      <c r="D277" s="277">
        <f>Données!Z277</f>
        <v>247</v>
      </c>
      <c r="E277" s="101">
        <f>Données!X277</f>
        <v>72</v>
      </c>
      <c r="F277" s="31">
        <f>VPI!L277</f>
        <v>412352.72000000003</v>
      </c>
      <c r="G277" s="8">
        <f t="shared" si="23"/>
        <v>11454.242222222223</v>
      </c>
      <c r="H277" s="26">
        <f t="shared" si="24"/>
        <v>21783.258447423781</v>
      </c>
      <c r="I277" s="8">
        <f t="shared" si="25"/>
        <v>11454.242222222223</v>
      </c>
      <c r="J277" s="8">
        <f>VPI!R277</f>
        <v>6275.3681349206354</v>
      </c>
      <c r="K277" s="174">
        <f t="shared" si="26"/>
        <v>7786.6796572526309</v>
      </c>
      <c r="L277" s="266">
        <f t="shared" si="27"/>
        <v>19240.921879474852</v>
      </c>
      <c r="M277" s="102"/>
      <c r="N277" s="103"/>
      <c r="O277" s="100"/>
      <c r="P277" s="100"/>
      <c r="Q277" s="104"/>
    </row>
    <row r="278" spans="1:17" s="99" customFormat="1" x14ac:dyDescent="0.25">
      <c r="A278" s="137">
        <f>Données!A278</f>
        <v>5904</v>
      </c>
      <c r="B278" s="276" t="str">
        <f>Données!B278</f>
        <v>Chamblon</v>
      </c>
      <c r="C278" s="137">
        <f>Données!AR278</f>
        <v>1</v>
      </c>
      <c r="D278" s="277">
        <f>Données!Z278</f>
        <v>567</v>
      </c>
      <c r="E278" s="101">
        <f>Données!X278</f>
        <v>66</v>
      </c>
      <c r="F278" s="31">
        <f>VPI!L278</f>
        <v>1142321.6100000001</v>
      </c>
      <c r="G278" s="8">
        <f t="shared" si="23"/>
        <v>34615.806363636366</v>
      </c>
      <c r="H278" s="26">
        <f t="shared" si="24"/>
        <v>50004.483966353378</v>
      </c>
      <c r="I278" s="8">
        <f t="shared" si="25"/>
        <v>0</v>
      </c>
      <c r="J278" s="8">
        <f>VPI!R278</f>
        <v>18889.911515151514</v>
      </c>
      <c r="K278" s="174">
        <f t="shared" si="26"/>
        <v>23439.2128971399</v>
      </c>
      <c r="L278" s="266">
        <f t="shared" si="27"/>
        <v>23439.2128971399</v>
      </c>
      <c r="M278" s="102"/>
      <c r="N278" s="103"/>
      <c r="O278" s="100"/>
      <c r="P278" s="100"/>
      <c r="Q278" s="104"/>
    </row>
    <row r="279" spans="1:17" s="99" customFormat="1" x14ac:dyDescent="0.25">
      <c r="A279" s="137">
        <f>Données!A279</f>
        <v>5905</v>
      </c>
      <c r="B279" s="276" t="str">
        <f>Données!B279</f>
        <v>Champvent</v>
      </c>
      <c r="C279" s="137">
        <f>Données!AR279</f>
        <v>0</v>
      </c>
      <c r="D279" s="277">
        <f>Données!Z279</f>
        <v>734</v>
      </c>
      <c r="E279" s="101">
        <f>Données!X279</f>
        <v>70</v>
      </c>
      <c r="F279" s="31">
        <f>VPI!L279</f>
        <v>1394757.78</v>
      </c>
      <c r="G279" s="8">
        <f t="shared" si="23"/>
        <v>39850.222285714284</v>
      </c>
      <c r="H279" s="26">
        <f t="shared" si="24"/>
        <v>64732.43603404476</v>
      </c>
      <c r="I279" s="8">
        <f t="shared" si="25"/>
        <v>39850.222285714284</v>
      </c>
      <c r="J279" s="8">
        <f>VPI!R279</f>
        <v>21532.633285714288</v>
      </c>
      <c r="K279" s="174">
        <f t="shared" si="26"/>
        <v>26718.387506213261</v>
      </c>
      <c r="L279" s="266">
        <f t="shared" si="27"/>
        <v>66568.609791927549</v>
      </c>
      <c r="M279" s="102"/>
      <c r="N279" s="103"/>
      <c r="O279" s="100"/>
      <c r="P279" s="100"/>
      <c r="Q279" s="104"/>
    </row>
    <row r="280" spans="1:17" s="99" customFormat="1" x14ac:dyDescent="0.25">
      <c r="A280" s="137">
        <f>Données!A280</f>
        <v>5907</v>
      </c>
      <c r="B280" s="276" t="str">
        <f>Données!B280</f>
        <v>Chavannes-le-Chêne</v>
      </c>
      <c r="C280" s="137">
        <f>Données!AR280</f>
        <v>0</v>
      </c>
      <c r="D280" s="277">
        <f>Données!Z280</f>
        <v>316</v>
      </c>
      <c r="E280" s="101">
        <f>Données!X280</f>
        <v>75</v>
      </c>
      <c r="F280" s="31">
        <f>VPI!L280</f>
        <v>581661.99</v>
      </c>
      <c r="G280" s="8">
        <f t="shared" si="23"/>
        <v>15510.9864</v>
      </c>
      <c r="H280" s="26">
        <f t="shared" si="24"/>
        <v>27868.460199942976</v>
      </c>
      <c r="I280" s="8">
        <f t="shared" si="25"/>
        <v>15510.9864</v>
      </c>
      <c r="J280" s="8">
        <f>VPI!R280</f>
        <v>8453.4518666666645</v>
      </c>
      <c r="K280" s="174">
        <f t="shared" si="26"/>
        <v>10489.316366548124</v>
      </c>
      <c r="L280" s="266">
        <f t="shared" si="27"/>
        <v>26000.302766548124</v>
      </c>
      <c r="M280" s="102"/>
      <c r="N280" s="103"/>
      <c r="O280" s="100"/>
      <c r="P280" s="100"/>
      <c r="Q280" s="104"/>
    </row>
    <row r="281" spans="1:17" s="99" customFormat="1" x14ac:dyDescent="0.25">
      <c r="A281" s="137">
        <f>Données!A281</f>
        <v>5908</v>
      </c>
      <c r="B281" s="276" t="str">
        <f>Données!B281</f>
        <v>Chêne-Pâquier</v>
      </c>
      <c r="C281" s="137">
        <f>Données!AR281</f>
        <v>0</v>
      </c>
      <c r="D281" s="277">
        <f>Données!Z281</f>
        <v>163</v>
      </c>
      <c r="E281" s="101">
        <f>Données!X281</f>
        <v>75</v>
      </c>
      <c r="F281" s="31">
        <f>VPI!L281</f>
        <v>345277.21000000008</v>
      </c>
      <c r="G281" s="8">
        <f t="shared" si="23"/>
        <v>9207.3922666666695</v>
      </c>
      <c r="H281" s="26">
        <f t="shared" si="24"/>
        <v>14375.186748704762</v>
      </c>
      <c r="I281" s="8">
        <f t="shared" si="25"/>
        <v>9207.3922666666695</v>
      </c>
      <c r="J281" s="8">
        <f>VPI!R281</f>
        <v>4917.7774666666683</v>
      </c>
      <c r="K281" s="174">
        <f t="shared" si="26"/>
        <v>6102.1372667363066</v>
      </c>
      <c r="L281" s="266">
        <f t="shared" si="27"/>
        <v>15309.529533402976</v>
      </c>
      <c r="M281" s="102"/>
      <c r="N281" s="103"/>
      <c r="O281" s="100"/>
      <c r="P281" s="100"/>
      <c r="Q281" s="104"/>
    </row>
    <row r="282" spans="1:17" s="99" customFormat="1" x14ac:dyDescent="0.25">
      <c r="A282" s="137">
        <f>Données!A282</f>
        <v>5909</v>
      </c>
      <c r="B282" s="276" t="str">
        <f>Données!B282</f>
        <v>Cheseaux-Noréaz</v>
      </c>
      <c r="C282" s="137">
        <f>Données!AR282</f>
        <v>1</v>
      </c>
      <c r="D282" s="277">
        <f>Données!Z282</f>
        <v>734</v>
      </c>
      <c r="E282" s="101">
        <f>Données!X282</f>
        <v>67</v>
      </c>
      <c r="F282" s="31">
        <f>VPI!L282</f>
        <v>2116965.27</v>
      </c>
      <c r="G282" s="8">
        <f t="shared" si="23"/>
        <v>63192.993134328361</v>
      </c>
      <c r="H282" s="26">
        <f t="shared" si="24"/>
        <v>64732.43603404476</v>
      </c>
      <c r="I282" s="8">
        <f t="shared" si="25"/>
        <v>0</v>
      </c>
      <c r="J282" s="8">
        <f>VPI!R282</f>
        <v>34184.486119402987</v>
      </c>
      <c r="K282" s="174">
        <f t="shared" si="26"/>
        <v>42417.215522122766</v>
      </c>
      <c r="L282" s="266">
        <f t="shared" si="27"/>
        <v>42417.215522122766</v>
      </c>
      <c r="M282" s="102"/>
      <c r="N282" s="103"/>
      <c r="O282" s="100"/>
      <c r="P282" s="100"/>
      <c r="Q282" s="104"/>
    </row>
    <row r="283" spans="1:17" s="99" customFormat="1" x14ac:dyDescent="0.25">
      <c r="A283" s="137">
        <f>Données!A283</f>
        <v>5910</v>
      </c>
      <c r="B283" s="276" t="str">
        <f>Données!B283</f>
        <v>Cronay</v>
      </c>
      <c r="C283" s="137">
        <f>Données!AR283</f>
        <v>0</v>
      </c>
      <c r="D283" s="277">
        <f>Données!Z283</f>
        <v>410</v>
      </c>
      <c r="E283" s="101">
        <f>Données!X283</f>
        <v>77</v>
      </c>
      <c r="F283" s="31">
        <f>VPI!L283</f>
        <v>751126.33</v>
      </c>
      <c r="G283" s="8">
        <f t="shared" si="23"/>
        <v>19509.774805194804</v>
      </c>
      <c r="H283" s="154">
        <f t="shared" si="24"/>
        <v>36158.445196128545</v>
      </c>
      <c r="I283" s="8">
        <f t="shared" si="25"/>
        <v>19509.774805194804</v>
      </c>
      <c r="J283" s="8">
        <f>VPI!R283</f>
        <v>10619.844545454544</v>
      </c>
      <c r="K283" s="174">
        <f t="shared" si="26"/>
        <v>13177.446439374831</v>
      </c>
      <c r="L283" s="266">
        <f t="shared" si="27"/>
        <v>32687.221244569635</v>
      </c>
      <c r="M283" s="102"/>
      <c r="N283" s="103"/>
      <c r="O283" s="100"/>
      <c r="P283" s="100"/>
      <c r="Q283" s="104"/>
    </row>
    <row r="284" spans="1:17" s="99" customFormat="1" x14ac:dyDescent="0.25">
      <c r="A284" s="137">
        <f>Données!A284</f>
        <v>5911</v>
      </c>
      <c r="B284" s="276" t="str">
        <f>Données!B284</f>
        <v>Cuarny</v>
      </c>
      <c r="C284" s="137">
        <f>Données!AR284</f>
        <v>0</v>
      </c>
      <c r="D284" s="277">
        <f>Données!Z284</f>
        <v>236</v>
      </c>
      <c r="E284" s="101">
        <f>Données!X284</f>
        <v>77</v>
      </c>
      <c r="F284" s="31">
        <f>VPI!L284</f>
        <v>547268.11999999988</v>
      </c>
      <c r="G284" s="8">
        <f t="shared" si="23"/>
        <v>14214.756363636361</v>
      </c>
      <c r="H284" s="26">
        <f t="shared" si="24"/>
        <v>20813.153820210577</v>
      </c>
      <c r="I284" s="8">
        <f t="shared" si="25"/>
        <v>14214.756363636361</v>
      </c>
      <c r="J284" s="8">
        <f>VPI!R284</f>
        <v>7630.6846753246737</v>
      </c>
      <c r="K284" s="174">
        <f t="shared" si="26"/>
        <v>9468.400236412821</v>
      </c>
      <c r="L284" s="266">
        <f t="shared" si="27"/>
        <v>23683.15660004918</v>
      </c>
      <c r="M284" s="102"/>
      <c r="N284" s="103"/>
      <c r="O284" s="100"/>
      <c r="P284" s="100"/>
      <c r="Q284" s="104"/>
    </row>
    <row r="285" spans="1:17" s="99" customFormat="1" x14ac:dyDescent="0.25">
      <c r="A285" s="137">
        <f>Données!A285</f>
        <v>5912</v>
      </c>
      <c r="B285" s="276" t="str">
        <f>Données!B285</f>
        <v>Démoret</v>
      </c>
      <c r="C285" s="137">
        <f>Données!AR285</f>
        <v>0</v>
      </c>
      <c r="D285" s="277">
        <f>Données!Z285</f>
        <v>167</v>
      </c>
      <c r="E285" s="101">
        <f>Données!X285</f>
        <v>78</v>
      </c>
      <c r="F285" s="31">
        <f>VPI!L285</f>
        <v>213372.87999999998</v>
      </c>
      <c r="G285" s="8">
        <f t="shared" si="23"/>
        <v>5471.0994871794865</v>
      </c>
      <c r="H285" s="26">
        <f t="shared" si="24"/>
        <v>14727.952067691383</v>
      </c>
      <c r="I285" s="8">
        <f t="shared" si="25"/>
        <v>5471.0994871794865</v>
      </c>
      <c r="J285" s="8">
        <f>VPI!R285</f>
        <v>3035.5676923076921</v>
      </c>
      <c r="K285" s="174">
        <f t="shared" si="26"/>
        <v>3766.6305290318328</v>
      </c>
      <c r="L285" s="266">
        <f t="shared" si="27"/>
        <v>9237.7300162113188</v>
      </c>
      <c r="M285" s="102"/>
      <c r="N285" s="103"/>
      <c r="O285" s="100"/>
      <c r="P285" s="100"/>
      <c r="Q285" s="104"/>
    </row>
    <row r="286" spans="1:17" s="99" customFormat="1" x14ac:dyDescent="0.25">
      <c r="A286" s="137">
        <f>Données!A286</f>
        <v>5913</v>
      </c>
      <c r="B286" s="276" t="str">
        <f>Données!B286</f>
        <v>Donneloye</v>
      </c>
      <c r="C286" s="137">
        <f>Données!AR286</f>
        <v>0</v>
      </c>
      <c r="D286" s="277">
        <f>Données!Z286</f>
        <v>905</v>
      </c>
      <c r="E286" s="101">
        <f>Données!X286</f>
        <v>73</v>
      </c>
      <c r="F286" s="31">
        <f>VPI!L286</f>
        <v>1475516.2200000002</v>
      </c>
      <c r="G286" s="8">
        <f t="shared" si="23"/>
        <v>40425.101917808228</v>
      </c>
      <c r="H286" s="26">
        <f t="shared" si="24"/>
        <v>79813.153420722767</v>
      </c>
      <c r="I286" s="8">
        <f t="shared" si="25"/>
        <v>40425.101917808228</v>
      </c>
      <c r="J286" s="8">
        <f>VPI!R286</f>
        <v>21868.154383561647</v>
      </c>
      <c r="K286" s="174">
        <f t="shared" si="26"/>
        <v>27134.712931433933</v>
      </c>
      <c r="L286" s="266">
        <f t="shared" si="27"/>
        <v>67559.814849242161</v>
      </c>
      <c r="M286" s="102"/>
      <c r="N286" s="103"/>
      <c r="O286" s="100"/>
      <c r="P286" s="100"/>
      <c r="Q286" s="104"/>
    </row>
    <row r="287" spans="1:17" s="99" customFormat="1" x14ac:dyDescent="0.25">
      <c r="A287" s="137">
        <f>Données!A287</f>
        <v>5914</v>
      </c>
      <c r="B287" s="276" t="str">
        <f>Données!B287</f>
        <v>Ependes</v>
      </c>
      <c r="C287" s="137">
        <f>Données!AR287</f>
        <v>1</v>
      </c>
      <c r="D287" s="277">
        <f>Données!Z287</f>
        <v>372</v>
      </c>
      <c r="E287" s="101">
        <f>Données!X287</f>
        <v>73.5</v>
      </c>
      <c r="F287" s="31">
        <f>VPI!L287</f>
        <v>648473.29999999993</v>
      </c>
      <c r="G287" s="8">
        <f t="shared" si="23"/>
        <v>17645.531972789115</v>
      </c>
      <c r="H287" s="26">
        <f t="shared" si="24"/>
        <v>32807.174665755658</v>
      </c>
      <c r="I287" s="8">
        <f t="shared" si="25"/>
        <v>0</v>
      </c>
      <c r="J287" s="8">
        <f>VPI!R287</f>
        <v>9825.9911564625836</v>
      </c>
      <c r="K287" s="174">
        <f t="shared" si="26"/>
        <v>12192.407489945464</v>
      </c>
      <c r="L287" s="266">
        <f t="shared" si="27"/>
        <v>12192.407489945464</v>
      </c>
      <c r="M287" s="102"/>
      <c r="N287" s="103"/>
      <c r="O287" s="100"/>
      <c r="P287" s="100"/>
      <c r="Q287" s="104"/>
    </row>
    <row r="288" spans="1:17" s="99" customFormat="1" x14ac:dyDescent="0.25">
      <c r="A288" s="137">
        <f>Données!A288</f>
        <v>5919</v>
      </c>
      <c r="B288" s="276" t="str">
        <f>Données!B288</f>
        <v>Mathod</v>
      </c>
      <c r="C288" s="137">
        <f>Données!AR288</f>
        <v>1</v>
      </c>
      <c r="D288" s="277">
        <f>Données!Z288</f>
        <v>684</v>
      </c>
      <c r="E288" s="101">
        <f>Données!X288</f>
        <v>72</v>
      </c>
      <c r="F288" s="31">
        <f>VPI!L288</f>
        <v>1362420.74</v>
      </c>
      <c r="G288" s="8">
        <f t="shared" si="23"/>
        <v>37845.020555555559</v>
      </c>
      <c r="H288" s="26">
        <f t="shared" si="24"/>
        <v>60322.869546712012</v>
      </c>
      <c r="I288" s="8">
        <f t="shared" si="25"/>
        <v>0</v>
      </c>
      <c r="J288" s="8">
        <f>VPI!R288</f>
        <v>20853.913634259261</v>
      </c>
      <c r="K288" s="174">
        <f t="shared" si="26"/>
        <v>25876.210220461198</v>
      </c>
      <c r="L288" s="266">
        <f t="shared" si="27"/>
        <v>25876.210220461198</v>
      </c>
      <c r="M288" s="102"/>
      <c r="N288" s="103"/>
      <c r="O288" s="100"/>
      <c r="P288" s="100"/>
      <c r="Q288" s="104"/>
    </row>
    <row r="289" spans="1:17" s="99" customFormat="1" x14ac:dyDescent="0.25">
      <c r="A289" s="137">
        <f>Données!A289</f>
        <v>5921</v>
      </c>
      <c r="B289" s="276" t="str">
        <f>Données!B289</f>
        <v>Molondin</v>
      </c>
      <c r="C289" s="137">
        <f>Données!AR289</f>
        <v>0</v>
      </c>
      <c r="D289" s="277">
        <f>Données!Z289</f>
        <v>257</v>
      </c>
      <c r="E289" s="101">
        <f>Données!X289</f>
        <v>81</v>
      </c>
      <c r="F289" s="31">
        <f>VPI!L289</f>
        <v>375057.16000000003</v>
      </c>
      <c r="G289" s="8">
        <f t="shared" si="23"/>
        <v>9260.6706172839513</v>
      </c>
      <c r="H289" s="26">
        <f t="shared" si="24"/>
        <v>22665.171744890333</v>
      </c>
      <c r="I289" s="8">
        <f t="shared" si="25"/>
        <v>9260.6706172839513</v>
      </c>
      <c r="J289" s="8">
        <f>VPI!R289</f>
        <v>5090.9581481481491</v>
      </c>
      <c r="K289" s="174">
        <f t="shared" si="26"/>
        <v>6317.0254550510235</v>
      </c>
      <c r="L289" s="266">
        <f t="shared" si="27"/>
        <v>15577.696072334975</v>
      </c>
      <c r="M289" s="102"/>
      <c r="N289" s="103"/>
      <c r="O289" s="100"/>
      <c r="P289" s="100"/>
      <c r="Q289" s="104"/>
    </row>
    <row r="290" spans="1:17" s="99" customFormat="1" x14ac:dyDescent="0.25">
      <c r="A290" s="137">
        <f>Données!A290</f>
        <v>5922</v>
      </c>
      <c r="B290" s="276" t="str">
        <f>Données!B290</f>
        <v>Montagny-près-Yverdon</v>
      </c>
      <c r="C290" s="137">
        <f>Données!AR290</f>
        <v>0</v>
      </c>
      <c r="D290" s="277">
        <f>Données!Z290</f>
        <v>770</v>
      </c>
      <c r="E290" s="101">
        <f>Données!X290</f>
        <v>64.5</v>
      </c>
      <c r="F290" s="31">
        <f>VPI!L290</f>
        <v>2164925.36</v>
      </c>
      <c r="G290" s="8">
        <f t="shared" si="23"/>
        <v>67129.468527131772</v>
      </c>
      <c r="H290" s="26">
        <f t="shared" si="24"/>
        <v>67907.323904924342</v>
      </c>
      <c r="I290" s="8">
        <f t="shared" si="25"/>
        <v>67129.468527131772</v>
      </c>
      <c r="J290" s="8">
        <f>VPI!R290</f>
        <v>39793.407325581393</v>
      </c>
      <c r="K290" s="174">
        <f t="shared" si="26"/>
        <v>49376.946284728394</v>
      </c>
      <c r="L290" s="266">
        <f t="shared" si="27"/>
        <v>116506.41481186016</v>
      </c>
      <c r="M290" s="102"/>
      <c r="N290" s="103"/>
      <c r="O290" s="100"/>
      <c r="P290" s="100"/>
      <c r="Q290" s="104"/>
    </row>
    <row r="291" spans="1:17" s="99" customFormat="1" x14ac:dyDescent="0.25">
      <c r="A291" s="137">
        <f>Données!A291</f>
        <v>5923</v>
      </c>
      <c r="B291" s="276" t="str">
        <f>Données!B291</f>
        <v>Oppens</v>
      </c>
      <c r="C291" s="137">
        <f>Données!AR291</f>
        <v>0</v>
      </c>
      <c r="D291" s="277">
        <f>Données!Z291</f>
        <v>202</v>
      </c>
      <c r="E291" s="101">
        <f>Données!X291</f>
        <v>81</v>
      </c>
      <c r="F291" s="31">
        <f>VPI!L291</f>
        <v>333838.55</v>
      </c>
      <c r="G291" s="8">
        <f t="shared" si="23"/>
        <v>8242.9271604938276</v>
      </c>
      <c r="H291" s="26">
        <f t="shared" si="24"/>
        <v>17814.648608824307</v>
      </c>
      <c r="I291" s="8">
        <f t="shared" si="25"/>
        <v>8242.9271604938276</v>
      </c>
      <c r="J291" s="8">
        <f>VPI!R291</f>
        <v>4459.1672839506173</v>
      </c>
      <c r="K291" s="174">
        <f t="shared" si="26"/>
        <v>5533.0789256818425</v>
      </c>
      <c r="L291" s="266">
        <f t="shared" si="27"/>
        <v>13776.00608617567</v>
      </c>
      <c r="M291" s="102"/>
      <c r="N291" s="201"/>
      <c r="O291" s="100"/>
      <c r="P291" s="100"/>
      <c r="Q291" s="104"/>
    </row>
    <row r="292" spans="1:17" s="99" customFormat="1" x14ac:dyDescent="0.25">
      <c r="A292" s="137">
        <f>Données!A292</f>
        <v>5924</v>
      </c>
      <c r="B292" s="276" t="str">
        <f>Données!B292</f>
        <v>Orges</v>
      </c>
      <c r="C292" s="137">
        <f>Données!AR292</f>
        <v>0</v>
      </c>
      <c r="D292" s="277">
        <f>Données!Z292</f>
        <v>407</v>
      </c>
      <c r="E292" s="101">
        <f>Données!X292</f>
        <v>74</v>
      </c>
      <c r="F292" s="31">
        <f>VPI!L292</f>
        <v>799413.7699999999</v>
      </c>
      <c r="G292" s="8">
        <f t="shared" si="23"/>
        <v>21605.777567567566</v>
      </c>
      <c r="H292" s="26">
        <f t="shared" si="24"/>
        <v>35893.87120688858</v>
      </c>
      <c r="I292" s="8">
        <f t="shared" si="25"/>
        <v>21605.777567567566</v>
      </c>
      <c r="J292" s="8">
        <f>VPI!R292</f>
        <v>11637.444864864863</v>
      </c>
      <c r="K292" s="174">
        <f t="shared" si="26"/>
        <v>14440.117813548535</v>
      </c>
      <c r="L292" s="266">
        <f t="shared" si="27"/>
        <v>36045.895381116105</v>
      </c>
      <c r="M292" s="102"/>
      <c r="N292" s="103"/>
      <c r="O292" s="100"/>
      <c r="P292" s="100"/>
      <c r="Q292" s="104"/>
    </row>
    <row r="293" spans="1:17" s="99" customFormat="1" x14ac:dyDescent="0.25">
      <c r="A293" s="137">
        <f>Données!A293</f>
        <v>5925</v>
      </c>
      <c r="B293" s="276" t="str">
        <f>Données!B293</f>
        <v>Orzens</v>
      </c>
      <c r="C293" s="137">
        <f>Données!AR293</f>
        <v>0</v>
      </c>
      <c r="D293" s="277">
        <f>Données!Z293</f>
        <v>212</v>
      </c>
      <c r="E293" s="101">
        <f>Données!X293</f>
        <v>79</v>
      </c>
      <c r="F293" s="31">
        <f>VPI!L293</f>
        <v>379496.90999999992</v>
      </c>
      <c r="G293" s="8">
        <f t="shared" si="23"/>
        <v>9607.5167088607577</v>
      </c>
      <c r="H293" s="26">
        <f t="shared" si="24"/>
        <v>18696.561906290855</v>
      </c>
      <c r="I293" s="8">
        <f t="shared" si="25"/>
        <v>9607.5167088607577</v>
      </c>
      <c r="J293" s="8">
        <f>VPI!R293</f>
        <v>5255.7039240506319</v>
      </c>
      <c r="K293" s="174">
        <f t="shared" si="26"/>
        <v>6521.4473398325108</v>
      </c>
      <c r="L293" s="266">
        <f t="shared" si="27"/>
        <v>16128.964048693269</v>
      </c>
      <c r="M293" s="102"/>
      <c r="N293" s="103"/>
      <c r="O293" s="100"/>
      <c r="P293" s="100"/>
      <c r="Q293" s="104"/>
    </row>
    <row r="294" spans="1:17" s="99" customFormat="1" x14ac:dyDescent="0.25">
      <c r="A294" s="137">
        <f>Données!A294</f>
        <v>5926</v>
      </c>
      <c r="B294" s="276" t="str">
        <f>Données!B294</f>
        <v>Pomy</v>
      </c>
      <c r="C294" s="137">
        <f>Données!AR294</f>
        <v>1</v>
      </c>
      <c r="D294" s="277">
        <f>Données!Z294</f>
        <v>868</v>
      </c>
      <c r="E294" s="101">
        <f>Données!X294</f>
        <v>71</v>
      </c>
      <c r="F294" s="31">
        <f>VPI!L294</f>
        <v>1761773.1999999997</v>
      </c>
      <c r="G294" s="8">
        <f t="shared" si="23"/>
        <v>49627.414084507036</v>
      </c>
      <c r="H294" s="26">
        <f t="shared" si="24"/>
        <v>76550.074220096532</v>
      </c>
      <c r="I294" s="8">
        <f t="shared" si="25"/>
        <v>0</v>
      </c>
      <c r="J294" s="8">
        <f>VPI!R294</f>
        <v>26782.091549295772</v>
      </c>
      <c r="K294" s="174">
        <f t="shared" si="26"/>
        <v>33232.085028620626</v>
      </c>
      <c r="L294" s="266">
        <f t="shared" si="27"/>
        <v>33232.085028620626</v>
      </c>
      <c r="M294" s="102"/>
      <c r="N294" s="103"/>
      <c r="O294" s="100"/>
      <c r="P294" s="100"/>
      <c r="Q294" s="104"/>
    </row>
    <row r="295" spans="1:17" s="99" customFormat="1" x14ac:dyDescent="0.25">
      <c r="A295" s="137">
        <f>Données!A295</f>
        <v>5928</v>
      </c>
      <c r="B295" s="276" t="str">
        <f>Données!B295</f>
        <v>Rovray</v>
      </c>
      <c r="C295" s="137">
        <f>Données!AR295</f>
        <v>0</v>
      </c>
      <c r="D295" s="277">
        <f>Données!Z295</f>
        <v>197</v>
      </c>
      <c r="E295" s="101">
        <f>Données!X295</f>
        <v>71.5</v>
      </c>
      <c r="F295" s="31">
        <f>VPI!L295</f>
        <v>338032.26</v>
      </c>
      <c r="G295" s="8">
        <f t="shared" si="23"/>
        <v>9455.4478321678325</v>
      </c>
      <c r="H295" s="26">
        <f t="shared" si="24"/>
        <v>17373.691960091033</v>
      </c>
      <c r="I295" s="8">
        <f t="shared" si="25"/>
        <v>9455.4478321678325</v>
      </c>
      <c r="J295" s="8">
        <f>VPI!R295</f>
        <v>5095.4959440559442</v>
      </c>
      <c r="K295" s="174">
        <f t="shared" si="26"/>
        <v>6322.656098915144</v>
      </c>
      <c r="L295" s="266">
        <f t="shared" si="27"/>
        <v>15778.103931082976</v>
      </c>
      <c r="M295" s="102"/>
      <c r="N295" s="103"/>
      <c r="O295" s="100"/>
      <c r="P295" s="100"/>
      <c r="Q295" s="104"/>
    </row>
    <row r="296" spans="1:17" s="99" customFormat="1" x14ac:dyDescent="0.25">
      <c r="A296" s="137">
        <f>Données!A296</f>
        <v>5929</v>
      </c>
      <c r="B296" s="276" t="str">
        <f>Données!B296</f>
        <v>Suchy</v>
      </c>
      <c r="C296" s="137">
        <f>Données!AR296</f>
        <v>1</v>
      </c>
      <c r="D296" s="277">
        <f>Données!Z296</f>
        <v>671</v>
      </c>
      <c r="E296" s="101">
        <f>Données!X296</f>
        <v>70</v>
      </c>
      <c r="F296" s="31">
        <f>VPI!L296</f>
        <v>1394219.7399999998</v>
      </c>
      <c r="G296" s="8">
        <f t="shared" si="23"/>
        <v>39834.849714285709</v>
      </c>
      <c r="H296" s="26">
        <f t="shared" si="24"/>
        <v>59176.382260005499</v>
      </c>
      <c r="I296" s="8">
        <f t="shared" si="25"/>
        <v>0</v>
      </c>
      <c r="J296" s="8">
        <f>VPI!R296</f>
        <v>21602.649857142853</v>
      </c>
      <c r="K296" s="174">
        <f t="shared" si="26"/>
        <v>26805.266331597148</v>
      </c>
      <c r="L296" s="266">
        <f t="shared" si="27"/>
        <v>26805.266331597148</v>
      </c>
      <c r="M296" s="102"/>
      <c r="N296" s="103"/>
      <c r="O296" s="100"/>
      <c r="P296" s="100"/>
      <c r="Q296" s="104"/>
    </row>
    <row r="297" spans="1:17" s="99" customFormat="1" x14ac:dyDescent="0.25">
      <c r="A297" s="137">
        <f>Données!A297</f>
        <v>5930</v>
      </c>
      <c r="B297" s="276" t="str">
        <f>Données!B297</f>
        <v>Suscévaz</v>
      </c>
      <c r="C297" s="137">
        <f>Données!AR297</f>
        <v>1</v>
      </c>
      <c r="D297" s="277">
        <f>Données!Z297</f>
        <v>220</v>
      </c>
      <c r="E297" s="101">
        <f>Données!X297</f>
        <v>72</v>
      </c>
      <c r="F297" s="31">
        <f>VPI!L297</f>
        <v>381589.23</v>
      </c>
      <c r="G297" s="8">
        <f t="shared" si="23"/>
        <v>10599.700833333332</v>
      </c>
      <c r="H297" s="26">
        <f t="shared" si="24"/>
        <v>19402.092544264098</v>
      </c>
      <c r="I297" s="8">
        <f t="shared" si="25"/>
        <v>0</v>
      </c>
      <c r="J297" s="8">
        <f>VPI!R297</f>
        <v>5749.1573611111107</v>
      </c>
      <c r="K297" s="174">
        <f t="shared" si="26"/>
        <v>7133.7403173199282</v>
      </c>
      <c r="L297" s="266">
        <f t="shared" si="27"/>
        <v>7133.7403173199282</v>
      </c>
      <c r="M297" s="102"/>
      <c r="N297" s="103"/>
      <c r="O297" s="100"/>
      <c r="P297" s="100"/>
      <c r="Q297" s="104"/>
    </row>
    <row r="298" spans="1:17" s="99" customFormat="1" x14ac:dyDescent="0.25">
      <c r="A298" s="137">
        <f>Données!A298</f>
        <v>5931</v>
      </c>
      <c r="B298" s="276" t="str">
        <f>Données!B298</f>
        <v>Treycovagnes</v>
      </c>
      <c r="C298" s="137">
        <f>Données!AR298</f>
        <v>1</v>
      </c>
      <c r="D298" s="277">
        <f>Données!Z298</f>
        <v>520</v>
      </c>
      <c r="E298" s="101">
        <f>Données!X298</f>
        <v>75</v>
      </c>
      <c r="F298" s="31">
        <f>VPI!L298</f>
        <v>1136163.4899999998</v>
      </c>
      <c r="G298" s="8">
        <f t="shared" si="23"/>
        <v>30297.693066666659</v>
      </c>
      <c r="H298" s="26">
        <f t="shared" si="24"/>
        <v>45859.491468260596</v>
      </c>
      <c r="I298" s="8">
        <f t="shared" si="25"/>
        <v>0</v>
      </c>
      <c r="J298" s="8">
        <f>VPI!R298</f>
        <v>16306.589199999997</v>
      </c>
      <c r="K298" s="174">
        <f t="shared" si="26"/>
        <v>20233.743052656984</v>
      </c>
      <c r="L298" s="266">
        <f t="shared" si="27"/>
        <v>20233.743052656984</v>
      </c>
      <c r="M298" s="102"/>
      <c r="N298" s="103"/>
      <c r="O298" s="100"/>
      <c r="P298" s="100"/>
      <c r="Q298" s="104"/>
    </row>
    <row r="299" spans="1:17" s="99" customFormat="1" x14ac:dyDescent="0.25">
      <c r="A299" s="137">
        <f>Données!A299</f>
        <v>5932</v>
      </c>
      <c r="B299" s="276" t="str">
        <f>Données!B299</f>
        <v>Ursins</v>
      </c>
      <c r="C299" s="137">
        <f>Données!AR299</f>
        <v>0</v>
      </c>
      <c r="D299" s="277">
        <f>Données!Z299</f>
        <v>230</v>
      </c>
      <c r="E299" s="101">
        <f>Données!X299</f>
        <v>75</v>
      </c>
      <c r="F299" s="31">
        <f>VPI!L299</f>
        <v>560073.23</v>
      </c>
      <c r="G299" s="8">
        <f t="shared" si="23"/>
        <v>14935.286133333333</v>
      </c>
      <c r="H299" s="26">
        <f t="shared" si="24"/>
        <v>20284.005841730646</v>
      </c>
      <c r="I299" s="8">
        <f t="shared" si="25"/>
        <v>14935.286133333333</v>
      </c>
      <c r="J299" s="8">
        <f>VPI!R299</f>
        <v>7945.6270666666669</v>
      </c>
      <c r="K299" s="174">
        <f t="shared" si="26"/>
        <v>9859.1909373156959</v>
      </c>
      <c r="L299" s="266">
        <f t="shared" si="27"/>
        <v>24794.477070649031</v>
      </c>
      <c r="M299" s="102"/>
      <c r="N299" s="103"/>
      <c r="O299" s="100"/>
      <c r="P299" s="100"/>
      <c r="Q299" s="104"/>
    </row>
    <row r="300" spans="1:17" s="99" customFormat="1" x14ac:dyDescent="0.25">
      <c r="A300" s="137">
        <f>Données!A300</f>
        <v>5933</v>
      </c>
      <c r="B300" s="276" t="str">
        <f>Données!B300</f>
        <v>Valeyres-sous-Montagny</v>
      </c>
      <c r="C300" s="137">
        <f>Données!AR300</f>
        <v>0</v>
      </c>
      <c r="D300" s="277">
        <f>Données!Z300</f>
        <v>703</v>
      </c>
      <c r="E300" s="101">
        <f>Données!X300</f>
        <v>70.5</v>
      </c>
      <c r="F300" s="31">
        <f>VPI!L300</f>
        <v>1528588.4300000002</v>
      </c>
      <c r="G300" s="8">
        <f t="shared" si="23"/>
        <v>43364.210780141846</v>
      </c>
      <c r="H300" s="26">
        <f t="shared" si="24"/>
        <v>61998.504811898456</v>
      </c>
      <c r="I300" s="8">
        <f t="shared" si="25"/>
        <v>43364.210780141846</v>
      </c>
      <c r="J300" s="8">
        <f>VPI!R300</f>
        <v>23478.000425531918</v>
      </c>
      <c r="K300" s="174">
        <f t="shared" si="26"/>
        <v>29132.261944783906</v>
      </c>
      <c r="L300" s="266">
        <f t="shared" si="27"/>
        <v>72496.472724925756</v>
      </c>
      <c r="M300" s="102"/>
      <c r="N300" s="103"/>
      <c r="O300" s="100"/>
      <c r="P300" s="100"/>
      <c r="Q300" s="104"/>
    </row>
    <row r="301" spans="1:17" s="99" customFormat="1" x14ac:dyDescent="0.25">
      <c r="A301" s="137">
        <f>Données!A301</f>
        <v>5934</v>
      </c>
      <c r="B301" s="276" t="str">
        <f>Données!B301</f>
        <v>Valeyres-sous-Ursins</v>
      </c>
      <c r="C301" s="137">
        <f>Données!AR301</f>
        <v>0</v>
      </c>
      <c r="D301" s="277">
        <f>Données!Z301</f>
        <v>241</v>
      </c>
      <c r="E301" s="101">
        <f>Données!X301</f>
        <v>77</v>
      </c>
      <c r="F301" s="31">
        <f>VPI!L301</f>
        <v>501169.64999999991</v>
      </c>
      <c r="G301" s="8">
        <f t="shared" si="23"/>
        <v>13017.393506493505</v>
      </c>
      <c r="H301" s="26">
        <f t="shared" si="24"/>
        <v>21254.110468943851</v>
      </c>
      <c r="I301" s="8">
        <f t="shared" si="25"/>
        <v>13017.393506493505</v>
      </c>
      <c r="J301" s="8">
        <f>VPI!R301</f>
        <v>6917.5551948051934</v>
      </c>
      <c r="K301" s="174">
        <f t="shared" si="26"/>
        <v>8583.5261223273374</v>
      </c>
      <c r="L301" s="266">
        <f t="shared" si="27"/>
        <v>21600.91962882084</v>
      </c>
      <c r="M301" s="102"/>
      <c r="N301" s="103"/>
      <c r="O301" s="100"/>
      <c r="P301" s="100"/>
      <c r="Q301" s="104"/>
    </row>
    <row r="302" spans="1:17" s="99" customFormat="1" x14ac:dyDescent="0.25">
      <c r="A302" s="137">
        <f>Données!A302</f>
        <v>5935</v>
      </c>
      <c r="B302" s="276" t="str">
        <f>Données!B302</f>
        <v>Villars-Epeney</v>
      </c>
      <c r="C302" s="137">
        <f>Données!AR302</f>
        <v>0</v>
      </c>
      <c r="D302" s="277">
        <f>Données!Z302</f>
        <v>92</v>
      </c>
      <c r="E302" s="101">
        <f>Données!X302</f>
        <v>68</v>
      </c>
      <c r="F302" s="31">
        <f>VPI!L302</f>
        <v>436396.04000000004</v>
      </c>
      <c r="G302" s="8">
        <f t="shared" si="23"/>
        <v>12835.177647058825</v>
      </c>
      <c r="H302" s="26">
        <f t="shared" si="24"/>
        <v>8113.6023366922591</v>
      </c>
      <c r="I302" s="8">
        <f t="shared" si="25"/>
        <v>8113.6023366922591</v>
      </c>
      <c r="J302" s="8">
        <f>VPI!R302</f>
        <v>6724.3836764705884</v>
      </c>
      <c r="K302" s="174">
        <f t="shared" si="26"/>
        <v>8343.8326573644736</v>
      </c>
      <c r="L302" s="266">
        <f t="shared" si="27"/>
        <v>16457.434994056734</v>
      </c>
      <c r="M302" s="102"/>
      <c r="N302" s="103"/>
      <c r="O302" s="100"/>
      <c r="P302" s="100"/>
      <c r="Q302" s="104"/>
    </row>
    <row r="303" spans="1:17" s="99" customFormat="1" x14ac:dyDescent="0.25">
      <c r="A303" s="137">
        <f>Données!A303</f>
        <v>5937</v>
      </c>
      <c r="B303" s="276" t="str">
        <f>Données!B303</f>
        <v>Vugelles-La Mothe</v>
      </c>
      <c r="C303" s="137">
        <f>Données!AR303</f>
        <v>0</v>
      </c>
      <c r="D303" s="277">
        <f>Données!Z303</f>
        <v>137</v>
      </c>
      <c r="E303" s="101">
        <f>Données!X303</f>
        <v>70</v>
      </c>
      <c r="F303" s="31">
        <f>VPI!L303</f>
        <v>216166.36000000002</v>
      </c>
      <c r="G303" s="8">
        <f t="shared" si="23"/>
        <v>6176.1817142857144</v>
      </c>
      <c r="H303" s="26">
        <f t="shared" si="24"/>
        <v>12082.212175291734</v>
      </c>
      <c r="I303" s="8">
        <f t="shared" si="25"/>
        <v>6176.1817142857144</v>
      </c>
      <c r="J303" s="8">
        <f>VPI!R303</f>
        <v>3343.8780000000002</v>
      </c>
      <c r="K303" s="174">
        <f t="shared" si="26"/>
        <v>4149.1919261345311</v>
      </c>
      <c r="L303" s="266">
        <f t="shared" si="27"/>
        <v>10325.373640420246</v>
      </c>
      <c r="M303" s="102"/>
      <c r="N303" s="103"/>
      <c r="O303" s="100"/>
      <c r="P303" s="100"/>
      <c r="Q303" s="104"/>
    </row>
    <row r="304" spans="1:17" s="99" customFormat="1" x14ac:dyDescent="0.25">
      <c r="A304" s="137">
        <f>Données!A304</f>
        <v>5938</v>
      </c>
      <c r="B304" s="276" t="str">
        <f>Données!B304</f>
        <v>Yverdon-les-Bains</v>
      </c>
      <c r="C304" s="137">
        <f>Données!AR304</f>
        <v>1</v>
      </c>
      <c r="D304" s="277">
        <f>Données!Z304</f>
        <v>29877</v>
      </c>
      <c r="E304" s="101">
        <f>Données!X304</f>
        <v>75</v>
      </c>
      <c r="F304" s="31">
        <f>VPI!L304</f>
        <v>53109485.970000006</v>
      </c>
      <c r="G304" s="8">
        <f t="shared" si="23"/>
        <v>1416252.9592000002</v>
      </c>
      <c r="H304" s="26">
        <f t="shared" si="24"/>
        <v>2634892.3588408111</v>
      </c>
      <c r="I304" s="8">
        <f t="shared" si="25"/>
        <v>0</v>
      </c>
      <c r="J304" s="8">
        <f>VPI!R304</f>
        <v>780545.69493333355</v>
      </c>
      <c r="K304" s="174">
        <f t="shared" si="26"/>
        <v>968526.33241896215</v>
      </c>
      <c r="L304" s="266">
        <f t="shared" si="27"/>
        <v>968526.33241896215</v>
      </c>
      <c r="M304" s="102"/>
      <c r="N304" s="103"/>
      <c r="O304" s="100"/>
      <c r="P304" s="100"/>
      <c r="Q304" s="104"/>
    </row>
    <row r="305" spans="1:17" s="99" customFormat="1" x14ac:dyDescent="0.25">
      <c r="A305" s="138">
        <f>Données!A305</f>
        <v>5939</v>
      </c>
      <c r="B305" s="276" t="str">
        <f>Données!B305</f>
        <v>Yvonand</v>
      </c>
      <c r="C305" s="138">
        <f>Données!AR305</f>
        <v>0</v>
      </c>
      <c r="D305" s="277">
        <f>Données!Z305</f>
        <v>3531</v>
      </c>
      <c r="E305" s="101">
        <f>Données!X305</f>
        <v>71.5</v>
      </c>
      <c r="F305" s="31">
        <f>VPI!L305</f>
        <v>6312402.3900000006</v>
      </c>
      <c r="G305" s="163">
        <f t="shared" si="23"/>
        <v>176570.69622377623</v>
      </c>
      <c r="H305" s="69">
        <f t="shared" si="24"/>
        <v>311403.58533543878</v>
      </c>
      <c r="I305" s="8">
        <f t="shared" si="25"/>
        <v>176570.69622377623</v>
      </c>
      <c r="J305" s="163">
        <f>VPI!R305</f>
        <v>97389.711048951052</v>
      </c>
      <c r="K305" s="51">
        <f t="shared" si="26"/>
        <v>120844.30196702231</v>
      </c>
      <c r="L305" s="267">
        <f t="shared" si="27"/>
        <v>297414.99819079856</v>
      </c>
      <c r="M305" s="102"/>
      <c r="N305" s="103"/>
      <c r="O305" s="100"/>
      <c r="P305" s="100"/>
      <c r="Q305" s="104"/>
    </row>
    <row r="306" spans="1:17" s="99" customFormat="1" x14ac:dyDescent="0.25">
      <c r="A306" s="25"/>
      <c r="B306" s="73">
        <f>COUNTA(B6:B305)</f>
        <v>300</v>
      </c>
      <c r="C306" s="138">
        <f>SUM(C6:C305)</f>
        <v>49</v>
      </c>
      <c r="D306" s="110">
        <f>SUM(D6:D305)</f>
        <v>830791</v>
      </c>
      <c r="E306" s="110"/>
      <c r="F306" s="110">
        <f t="shared" ref="F306:J306" si="28">SUM(F6:F305)</f>
        <v>2478324021.7399979</v>
      </c>
      <c r="G306" s="113">
        <f>SUM(G6:G305)</f>
        <v>73268563.031553239</v>
      </c>
      <c r="H306" s="110">
        <f t="shared" si="28"/>
        <v>73268563.031553134</v>
      </c>
      <c r="I306" s="110">
        <f t="shared" si="28"/>
        <v>23784144.498432584</v>
      </c>
      <c r="J306" s="113">
        <f t="shared" si="28"/>
        <v>39802348.273186527</v>
      </c>
      <c r="K306" s="113">
        <f>SUM(K6:K305)</f>
        <v>49388040.501567416</v>
      </c>
      <c r="L306" s="315">
        <f>SUM(L6:L305)</f>
        <v>73172184.99999994</v>
      </c>
      <c r="M306" s="100"/>
      <c r="N306" s="199"/>
      <c r="O306" s="100"/>
      <c r="P306" s="100"/>
    </row>
    <row r="307" spans="1:17" s="99" customFormat="1" x14ac:dyDescent="0.25">
      <c r="A307" s="98"/>
      <c r="B307" s="98"/>
      <c r="C307" s="98"/>
      <c r="D307" s="98"/>
      <c r="E307" s="98"/>
      <c r="F307" s="98"/>
      <c r="G307" s="98"/>
      <c r="H307" s="112"/>
      <c r="I307" s="98"/>
      <c r="J307" s="105"/>
      <c r="K307" s="98"/>
      <c r="L307" s="105"/>
      <c r="M307" s="98"/>
      <c r="N307" s="100"/>
      <c r="P307" s="100"/>
      <c r="Q307" s="100"/>
    </row>
    <row r="308" spans="1:17" x14ac:dyDescent="0.25">
      <c r="H308" s="112"/>
      <c r="I308" s="112"/>
      <c r="J308" s="112"/>
      <c r="K308" s="112"/>
      <c r="L308" s="168"/>
      <c r="M308" s="112"/>
    </row>
  </sheetData>
  <sheetProtection sheet="1" objects="1" scenarios="1"/>
  <protectedRanges>
    <protectedRange sqref="C6:C305" name="Plage1"/>
  </protectedRanges>
  <mergeCells count="11">
    <mergeCell ref="E1:F1"/>
    <mergeCell ref="L4:L5"/>
    <mergeCell ref="B4:B5"/>
    <mergeCell ref="A4:A5"/>
    <mergeCell ref="J4:J5"/>
    <mergeCell ref="I4:I5"/>
    <mergeCell ref="H4:H5"/>
    <mergeCell ref="F4:F5"/>
    <mergeCell ref="E4:E5"/>
    <mergeCell ref="C4:C5"/>
    <mergeCell ref="G4:G5"/>
  </mergeCells>
  <hyperlinks>
    <hyperlink ref="C1" location="Taux!A1" display="← Précédent" xr:uid="{C8901635-E034-47DD-93A2-BAA21240173B}"/>
    <hyperlink ref="E1:F1" location="Synthèse!A1" display="Suivant →" xr:uid="{E0670AFE-D86B-4F7C-A3A7-5583CCD7E9BB}"/>
    <hyperlink ref="D1" location="'Table des matières'!A1" display="Table des             matières" xr:uid="{47FAC582-202D-4B6D-B66A-647C53FD6C30}"/>
  </hyperlink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theme="3" tint="0.59999389629810485"/>
  </sheetPr>
  <dimension ref="A1:J307"/>
  <sheetViews>
    <sheetView workbookViewId="0">
      <pane ySplit="4" topLeftCell="A5" activePane="bottomLeft" state="frozen"/>
      <selection pane="bottomLeft" activeCell="A5" sqref="A5"/>
    </sheetView>
  </sheetViews>
  <sheetFormatPr baseColWidth="10" defaultColWidth="10.75" defaultRowHeight="15" x14ac:dyDescent="0.25"/>
  <cols>
    <col min="1" max="1" width="7.5" style="11" customWidth="1"/>
    <col min="2" max="2" width="20.875" style="11" customWidth="1"/>
    <col min="3" max="3" width="7.5" style="13" customWidth="1"/>
    <col min="4" max="4" width="10.5" style="84" customWidth="1"/>
    <col min="5" max="5" width="16.125" style="84" customWidth="1"/>
    <col min="6" max="6" width="12.5" style="11" customWidth="1"/>
    <col min="7" max="7" width="15.625" style="11" customWidth="1"/>
    <col min="8" max="8" width="10.25" style="158" customWidth="1"/>
    <col min="9" max="9" width="12" style="11" bestFit="1" customWidth="1"/>
    <col min="10" max="10" width="10.75" style="11" customWidth="1"/>
    <col min="11" max="16384" width="10.75" style="11"/>
  </cols>
  <sheetData>
    <row r="1" spans="1:10" s="33" customFormat="1" ht="26.25" x14ac:dyDescent="0.2">
      <c r="A1" s="224" t="s">
        <v>425</v>
      </c>
      <c r="B1" s="225"/>
      <c r="C1" s="314" t="s">
        <v>403</v>
      </c>
      <c r="D1" s="236" t="s">
        <v>395</v>
      </c>
      <c r="E1" s="231" t="s">
        <v>404</v>
      </c>
      <c r="F1" s="226"/>
      <c r="G1" s="49"/>
      <c r="H1" s="160"/>
      <c r="I1" s="49"/>
    </row>
    <row r="2" spans="1:10" s="33" customFormat="1" ht="15.75" x14ac:dyDescent="0.2">
      <c r="A2" s="279" t="str">
        <f>Paramètres!B4</f>
        <v>Acomptes 2024</v>
      </c>
      <c r="C2" s="79"/>
      <c r="D2" s="127"/>
      <c r="E2" s="127"/>
      <c r="F2" s="49"/>
      <c r="G2" s="49"/>
      <c r="H2" s="160"/>
      <c r="I2" s="49"/>
      <c r="J2" s="49"/>
    </row>
    <row r="3" spans="1:10" x14ac:dyDescent="0.25">
      <c r="D3" s="11"/>
      <c r="E3" s="11"/>
    </row>
    <row r="4" spans="1:10" ht="53.25" customHeight="1" x14ac:dyDescent="0.25">
      <c r="A4" s="429" t="s">
        <v>44</v>
      </c>
      <c r="B4" s="429" t="s">
        <v>84</v>
      </c>
      <c r="C4" s="428" t="s">
        <v>366</v>
      </c>
      <c r="D4" s="431" t="s">
        <v>258</v>
      </c>
      <c r="E4" s="431" t="s">
        <v>410</v>
      </c>
      <c r="F4" s="432" t="s">
        <v>278</v>
      </c>
      <c r="G4" s="433" t="s">
        <v>392</v>
      </c>
      <c r="H4" s="430" t="s">
        <v>407</v>
      </c>
      <c r="I4" s="431" t="s">
        <v>124</v>
      </c>
    </row>
    <row r="5" spans="1:10" s="86" customFormat="1" x14ac:dyDescent="0.25">
      <c r="A5" s="303">
        <f>Données!A6</f>
        <v>5401</v>
      </c>
      <c r="B5" s="302" t="str">
        <f>Données!B6</f>
        <v>Aigle</v>
      </c>
      <c r="C5" s="306">
        <f>VPI!Q6</f>
        <v>66</v>
      </c>
      <c r="D5" s="310">
        <f>Données!Z6</f>
        <v>10937</v>
      </c>
      <c r="E5" s="139">
        <f>VPI!R6</f>
        <v>294617.5415151515</v>
      </c>
      <c r="F5" s="255">
        <f>'Péréquation directe'!K12</f>
        <v>-8141498.709252432</v>
      </c>
      <c r="G5" s="400">
        <f>PCS!I12</f>
        <v>5029414.4008794567</v>
      </c>
      <c r="H5" s="265">
        <f>Police!L6</f>
        <v>365570.97015868151</v>
      </c>
      <c r="I5" s="368">
        <f>SUM(F5:H5)</f>
        <v>-2746513.3382142941</v>
      </c>
      <c r="J5" s="140"/>
    </row>
    <row r="6" spans="1:10" s="86" customFormat="1" x14ac:dyDescent="0.25">
      <c r="A6" s="304">
        <f>Données!A7</f>
        <v>5402</v>
      </c>
      <c r="B6" s="308" t="str">
        <f>Données!B7</f>
        <v>Bex</v>
      </c>
      <c r="C6" s="306">
        <f>VPI!Q7</f>
        <v>71</v>
      </c>
      <c r="D6" s="311">
        <f>Données!Z7</f>
        <v>8151</v>
      </c>
      <c r="E6" s="139">
        <f>VPI!R7</f>
        <v>191952.18042253522</v>
      </c>
      <c r="F6" s="240">
        <f>'Péréquation directe'!K13</f>
        <v>-7010836.479998691</v>
      </c>
      <c r="G6" s="250">
        <f>PCS!I13</f>
        <v>3319494.1033233204</v>
      </c>
      <c r="H6" s="266">
        <f>Police!L7</f>
        <v>238180.47106177377</v>
      </c>
      <c r="I6" s="350">
        <f t="shared" ref="I6:I69" si="0">SUM(F6:H6)</f>
        <v>-3453161.905613597</v>
      </c>
      <c r="J6" s="140"/>
    </row>
    <row r="7" spans="1:10" s="86" customFormat="1" x14ac:dyDescent="0.25">
      <c r="A7" s="304">
        <f>Données!A8</f>
        <v>5403</v>
      </c>
      <c r="B7" s="308" t="str">
        <f>Données!B8</f>
        <v>Chessel</v>
      </c>
      <c r="C7" s="306">
        <f>VPI!Q8</f>
        <v>65</v>
      </c>
      <c r="D7" s="311">
        <f>Données!Z8</f>
        <v>528</v>
      </c>
      <c r="E7" s="139">
        <f>VPI!R8</f>
        <v>13520.577538461539</v>
      </c>
      <c r="F7" s="240">
        <f>'Péréquation directe'!K14</f>
        <v>-25553.069512359041</v>
      </c>
      <c r="G7" s="250">
        <f>PCS!I14</f>
        <v>185351.4447262318</v>
      </c>
      <c r="H7" s="266">
        <f>Police!L8</f>
        <v>40860.244791386496</v>
      </c>
      <c r="I7" s="350">
        <f t="shared" si="0"/>
        <v>200658.62000525926</v>
      </c>
      <c r="J7" s="140"/>
    </row>
    <row r="8" spans="1:10" s="86" customFormat="1" x14ac:dyDescent="0.25">
      <c r="A8" s="304">
        <f>Données!A9</f>
        <v>5404</v>
      </c>
      <c r="B8" s="308" t="str">
        <f>Données!B9</f>
        <v>Corbeyrier</v>
      </c>
      <c r="C8" s="306">
        <f>VPI!Q9</f>
        <v>74</v>
      </c>
      <c r="D8" s="311">
        <f>Données!Z9</f>
        <v>440</v>
      </c>
      <c r="E8" s="139">
        <f>VPI!R9</f>
        <v>11663.176261261262</v>
      </c>
      <c r="F8" s="240">
        <f>'Péréquation directe'!K15</f>
        <v>-226290.87213210072</v>
      </c>
      <c r="G8" s="250">
        <f>PCS!I15</f>
        <v>250341.84717535326</v>
      </c>
      <c r="H8" s="266">
        <f>Police!L9</f>
        <v>35327.142378279896</v>
      </c>
      <c r="I8" s="350">
        <f t="shared" si="0"/>
        <v>59378.117421532443</v>
      </c>
      <c r="J8" s="140"/>
    </row>
    <row r="9" spans="1:10" s="86" customFormat="1" x14ac:dyDescent="0.25">
      <c r="A9" s="304">
        <f>Données!A10</f>
        <v>5405</v>
      </c>
      <c r="B9" s="308" t="str">
        <f>Données!B10</f>
        <v>Gryon</v>
      </c>
      <c r="C9" s="306">
        <f>VPI!Q10</f>
        <v>73.5</v>
      </c>
      <c r="D9" s="311">
        <f>Données!Z10</f>
        <v>1389</v>
      </c>
      <c r="E9" s="139">
        <f>VPI!R10</f>
        <v>73284.694739229046</v>
      </c>
      <c r="F9" s="240">
        <f>'Péréquation directe'!K16</f>
        <v>563592.41229865362</v>
      </c>
      <c r="G9" s="250">
        <f>PCS!I16</f>
        <v>1608362.0248110362</v>
      </c>
      <c r="H9" s="266">
        <f>Police!L10</f>
        <v>213431.77546053586</v>
      </c>
      <c r="I9" s="350">
        <f t="shared" si="0"/>
        <v>2385386.2125702254</v>
      </c>
      <c r="J9" s="140"/>
    </row>
    <row r="10" spans="1:10" s="86" customFormat="1" x14ac:dyDescent="0.25">
      <c r="A10" s="304">
        <f>Données!A11</f>
        <v>5406</v>
      </c>
      <c r="B10" s="308" t="str">
        <f>Données!B11</f>
        <v>Lavey-Morcles</v>
      </c>
      <c r="C10" s="306">
        <f>VPI!Q11</f>
        <v>71.5</v>
      </c>
      <c r="D10" s="311">
        <f>Données!Z11</f>
        <v>979</v>
      </c>
      <c r="E10" s="139">
        <f>VPI!R11</f>
        <v>22110.99022054868</v>
      </c>
      <c r="F10" s="240">
        <f>'Péréquation directe'!K17</f>
        <v>-370452.36787078466</v>
      </c>
      <c r="G10" s="250">
        <f>PCS!I17</f>
        <v>443699.75007451663</v>
      </c>
      <c r="H10" s="266">
        <f>Police!L11</f>
        <v>66975.082397662001</v>
      </c>
      <c r="I10" s="350">
        <f t="shared" si="0"/>
        <v>140222.46460139396</v>
      </c>
      <c r="J10" s="140"/>
    </row>
    <row r="11" spans="1:10" s="86" customFormat="1" x14ac:dyDescent="0.25">
      <c r="A11" s="304">
        <f>Données!A12</f>
        <v>5407</v>
      </c>
      <c r="B11" s="308" t="str">
        <f>Données!B12</f>
        <v>Leysin</v>
      </c>
      <c r="C11" s="306">
        <f>VPI!Q12</f>
        <v>78</v>
      </c>
      <c r="D11" s="311">
        <f>Données!Z12</f>
        <v>3743</v>
      </c>
      <c r="E11" s="139">
        <f>VPI!R12</f>
        <v>89840.418034188027</v>
      </c>
      <c r="F11" s="240">
        <f>'Péréquation directe'!K18</f>
        <v>-3249317.8692093464</v>
      </c>
      <c r="G11" s="250">
        <f>PCS!I18</f>
        <v>1598517.1765195495</v>
      </c>
      <c r="H11" s="266">
        <f>Police!L12</f>
        <v>267442.57821125636</v>
      </c>
      <c r="I11" s="350">
        <f t="shared" si="0"/>
        <v>-1383358.1144785406</v>
      </c>
      <c r="J11" s="140"/>
    </row>
    <row r="12" spans="1:10" s="86" customFormat="1" x14ac:dyDescent="0.25">
      <c r="A12" s="304">
        <f>Données!A13</f>
        <v>5408</v>
      </c>
      <c r="B12" s="308" t="str">
        <f>Données!B13</f>
        <v>Noville</v>
      </c>
      <c r="C12" s="306">
        <f>VPI!Q13</f>
        <v>75</v>
      </c>
      <c r="D12" s="311">
        <f>Données!Z13</f>
        <v>1169</v>
      </c>
      <c r="E12" s="139">
        <f>VPI!R13</f>
        <v>41970.812088888903</v>
      </c>
      <c r="F12" s="240">
        <f>'Péréquation directe'!K19</f>
        <v>186562.9347056679</v>
      </c>
      <c r="G12" s="250">
        <f>PCS!I19</f>
        <v>652537.51860105549</v>
      </c>
      <c r="H12" s="266">
        <f>Police!L13</f>
        <v>126204.63490803514</v>
      </c>
      <c r="I12" s="350">
        <f t="shared" si="0"/>
        <v>965305.08821475855</v>
      </c>
      <c r="J12" s="140"/>
    </row>
    <row r="13" spans="1:10" s="86" customFormat="1" x14ac:dyDescent="0.25">
      <c r="A13" s="304">
        <f>Données!A14</f>
        <v>5409</v>
      </c>
      <c r="B13" s="308" t="str">
        <f>Données!B14</f>
        <v>Ollon</v>
      </c>
      <c r="C13" s="306">
        <f>VPI!Q14</f>
        <v>68</v>
      </c>
      <c r="D13" s="311">
        <f>Données!Z14</f>
        <v>7967</v>
      </c>
      <c r="E13" s="139">
        <f>VPI!R14</f>
        <v>405929.69030542986</v>
      </c>
      <c r="F13" s="240">
        <f>'Péréquation directe'!K20</f>
        <v>674273.8088087514</v>
      </c>
      <c r="G13" s="250">
        <f>PCS!I20</f>
        <v>7848293.2552500153</v>
      </c>
      <c r="H13" s="266">
        <f>Police!L14</f>
        <v>503690.68297156185</v>
      </c>
      <c r="I13" s="350">
        <f t="shared" si="0"/>
        <v>9026257.7470303271</v>
      </c>
      <c r="J13" s="140"/>
    </row>
    <row r="14" spans="1:10" s="86" customFormat="1" x14ac:dyDescent="0.25">
      <c r="A14" s="304">
        <f>Données!A15</f>
        <v>5410</v>
      </c>
      <c r="B14" s="308" t="str">
        <f>Données!B15</f>
        <v>Ormont-Dessous</v>
      </c>
      <c r="C14" s="306">
        <f>VPI!Q15</f>
        <v>77</v>
      </c>
      <c r="D14" s="311">
        <f>Données!Z15</f>
        <v>1178</v>
      </c>
      <c r="E14" s="139">
        <f>VPI!R15</f>
        <v>38412.928528138524</v>
      </c>
      <c r="F14" s="240">
        <f>'Péréquation directe'!K21</f>
        <v>-770332.49287501362</v>
      </c>
      <c r="G14" s="250">
        <f>PCS!I21</f>
        <v>738787.22211324365</v>
      </c>
      <c r="H14" s="266">
        <f>Police!L15</f>
        <v>113851.37577135977</v>
      </c>
      <c r="I14" s="350">
        <f t="shared" si="0"/>
        <v>82306.10500958981</v>
      </c>
      <c r="J14" s="140"/>
    </row>
    <row r="15" spans="1:10" s="86" customFormat="1" x14ac:dyDescent="0.25">
      <c r="A15" s="304">
        <f>Données!A16</f>
        <v>5411</v>
      </c>
      <c r="B15" s="308" t="str">
        <f>Données!B16</f>
        <v>Ormont-Dessus</v>
      </c>
      <c r="C15" s="306">
        <f>VPI!Q16</f>
        <v>76</v>
      </c>
      <c r="D15" s="311">
        <f>Données!Z16</f>
        <v>1425</v>
      </c>
      <c r="E15" s="139">
        <f>VPI!R16</f>
        <v>76159.947763157907</v>
      </c>
      <c r="F15" s="240">
        <f>'Péréquation directe'!K22</f>
        <v>519489.99517774885</v>
      </c>
      <c r="G15" s="250">
        <f>PCS!I22</f>
        <v>1672743.9950081524</v>
      </c>
      <c r="H15" s="266">
        <f>Police!L16</f>
        <v>220174.37023713376</v>
      </c>
      <c r="I15" s="350">
        <f t="shared" si="0"/>
        <v>2412408.3604230355</v>
      </c>
      <c r="J15" s="140"/>
    </row>
    <row r="16" spans="1:10" s="86" customFormat="1" x14ac:dyDescent="0.25">
      <c r="A16" s="304">
        <f>Données!A17</f>
        <v>5412</v>
      </c>
      <c r="B16" s="308" t="str">
        <f>Données!B17</f>
        <v>Rennaz</v>
      </c>
      <c r="C16" s="306">
        <f>VPI!Q17</f>
        <v>69</v>
      </c>
      <c r="D16" s="311">
        <f>Données!Z17</f>
        <v>929</v>
      </c>
      <c r="E16" s="139">
        <f>VPI!R17</f>
        <v>32236.510434782613</v>
      </c>
      <c r="F16" s="240">
        <f>'Péréquation directe'!K23</f>
        <v>217332.93856240436</v>
      </c>
      <c r="G16" s="250">
        <f>PCS!I23</f>
        <v>829576.37271996669</v>
      </c>
      <c r="H16" s="266">
        <f>Police!L17</f>
        <v>94679.413592191937</v>
      </c>
      <c r="I16" s="350">
        <f t="shared" si="0"/>
        <v>1141588.724874563</v>
      </c>
      <c r="J16" s="140"/>
    </row>
    <row r="17" spans="1:10" s="86" customFormat="1" x14ac:dyDescent="0.25">
      <c r="A17" s="304">
        <f>Données!A18</f>
        <v>5413</v>
      </c>
      <c r="B17" s="308" t="str">
        <f>Données!B18</f>
        <v>Roche</v>
      </c>
      <c r="C17" s="306">
        <f>VPI!Q18</f>
        <v>68</v>
      </c>
      <c r="D17" s="311">
        <f>Données!Z18</f>
        <v>1940</v>
      </c>
      <c r="E17" s="139">
        <f>VPI!R18</f>
        <v>42591.589534313724</v>
      </c>
      <c r="F17" s="240">
        <f>'Péréquation directe'!K24</f>
        <v>-666548.53124196909</v>
      </c>
      <c r="G17" s="250">
        <f>PCS!I24</f>
        <v>937333.86781989038</v>
      </c>
      <c r="H17" s="266">
        <f>Police!L18</f>
        <v>128239.64858428112</v>
      </c>
      <c r="I17" s="350">
        <f t="shared" si="0"/>
        <v>399024.98516220239</v>
      </c>
      <c r="J17" s="140"/>
    </row>
    <row r="18" spans="1:10" s="86" customFormat="1" x14ac:dyDescent="0.25">
      <c r="A18" s="304">
        <f>Données!A19</f>
        <v>5414</v>
      </c>
      <c r="B18" s="308" t="str">
        <f>Données!B19</f>
        <v>Villeneuve</v>
      </c>
      <c r="C18" s="306">
        <f>VPI!Q19</f>
        <v>67.5</v>
      </c>
      <c r="D18" s="311">
        <f>Données!Z19</f>
        <v>5979</v>
      </c>
      <c r="E18" s="139">
        <f>VPI!R19</f>
        <v>165869.64903703702</v>
      </c>
      <c r="F18" s="240">
        <f>'Péréquation directe'!K25</f>
        <v>-3374218.6836736198</v>
      </c>
      <c r="G18" s="250">
        <f>PCS!I25</f>
        <v>3132528.2689544791</v>
      </c>
      <c r="H18" s="266">
        <f>Police!L19</f>
        <v>493283.85727073997</v>
      </c>
      <c r="I18" s="350">
        <f t="shared" si="0"/>
        <v>251593.44255159935</v>
      </c>
      <c r="J18" s="140"/>
    </row>
    <row r="19" spans="1:10" s="86" customFormat="1" x14ac:dyDescent="0.25">
      <c r="A19" s="304">
        <f>Données!A20</f>
        <v>5415</v>
      </c>
      <c r="B19" s="308" t="str">
        <f>Données!B20</f>
        <v>Yvorne</v>
      </c>
      <c r="C19" s="306">
        <f>VPI!Q20</f>
        <v>71.5</v>
      </c>
      <c r="D19" s="311">
        <f>Données!Z20</f>
        <v>1088</v>
      </c>
      <c r="E19" s="139">
        <f>VPI!R20</f>
        <v>33673.599766899759</v>
      </c>
      <c r="F19" s="240">
        <f>'Péréquation directe'!K26</f>
        <v>-241202.60527164536</v>
      </c>
      <c r="G19" s="250">
        <f>PCS!I26</f>
        <v>615593.34917829465</v>
      </c>
      <c r="H19" s="266">
        <f>Police!L20</f>
        <v>102403.29961117625</v>
      </c>
      <c r="I19" s="350">
        <f t="shared" si="0"/>
        <v>476794.04351782554</v>
      </c>
      <c r="J19" s="140"/>
    </row>
    <row r="20" spans="1:10" s="86" customFormat="1" x14ac:dyDescent="0.25">
      <c r="A20" s="304">
        <f>Données!A21</f>
        <v>5422</v>
      </c>
      <c r="B20" s="308" t="str">
        <f>Données!B21</f>
        <v>Aubonne</v>
      </c>
      <c r="C20" s="306">
        <f>VPI!Q21</f>
        <v>70</v>
      </c>
      <c r="D20" s="311">
        <f>Données!Z21</f>
        <v>3792</v>
      </c>
      <c r="E20" s="139">
        <f>VPI!R21</f>
        <v>297528.5668571429</v>
      </c>
      <c r="F20" s="240">
        <f>'Péréquation directe'!K27</f>
        <v>4551430.4709471874</v>
      </c>
      <c r="G20" s="250">
        <f>PCS!I27</f>
        <v>7589587.1471197326</v>
      </c>
      <c r="H20" s="266">
        <f>Police!L21</f>
        <v>703604.58691244549</v>
      </c>
      <c r="I20" s="350">
        <f t="shared" si="0"/>
        <v>12844622.204979366</v>
      </c>
      <c r="J20" s="140"/>
    </row>
    <row r="21" spans="1:10" s="86" customFormat="1" x14ac:dyDescent="0.25">
      <c r="A21" s="304">
        <f>Données!A22</f>
        <v>5423</v>
      </c>
      <c r="B21" s="308" t="str">
        <f>Données!B22</f>
        <v>Ballens</v>
      </c>
      <c r="C21" s="306">
        <f>VPI!Q22</f>
        <v>73</v>
      </c>
      <c r="D21" s="311">
        <f>Données!Z22</f>
        <v>590</v>
      </c>
      <c r="E21" s="139">
        <f>VPI!R22</f>
        <v>17345.56260273973</v>
      </c>
      <c r="F21" s="240">
        <f>'Péréquation directe'!K28</f>
        <v>-43358.978208730055</v>
      </c>
      <c r="G21" s="250">
        <f>PCS!I28</f>
        <v>330369.78447731532</v>
      </c>
      <c r="H21" s="266">
        <f>Police!L22</f>
        <v>53858.075113565661</v>
      </c>
      <c r="I21" s="350">
        <f t="shared" si="0"/>
        <v>340868.88138215092</v>
      </c>
      <c r="J21" s="140"/>
    </row>
    <row r="22" spans="1:10" s="86" customFormat="1" x14ac:dyDescent="0.25">
      <c r="A22" s="304">
        <f>Données!A23</f>
        <v>5424</v>
      </c>
      <c r="B22" s="308" t="str">
        <f>Données!B23</f>
        <v>Berolle</v>
      </c>
      <c r="C22" s="306">
        <f>VPI!Q23</f>
        <v>75.5</v>
      </c>
      <c r="D22" s="311">
        <f>Données!Z23</f>
        <v>303</v>
      </c>
      <c r="E22" s="139">
        <f>VPI!R23</f>
        <v>10263.233774834438</v>
      </c>
      <c r="F22" s="240">
        <f>'Péréquation directe'!K29</f>
        <v>-19092.263592438394</v>
      </c>
      <c r="G22" s="250">
        <f>PCS!I29</f>
        <v>166820.92002181784</v>
      </c>
      <c r="H22" s="266">
        <f>Police!L23</f>
        <v>31824.241008094694</v>
      </c>
      <c r="I22" s="350">
        <f t="shared" si="0"/>
        <v>179552.89743747414</v>
      </c>
      <c r="J22" s="140"/>
    </row>
    <row r="23" spans="1:10" s="86" customFormat="1" x14ac:dyDescent="0.25">
      <c r="A23" s="304">
        <f>Données!A24</f>
        <v>5425</v>
      </c>
      <c r="B23" s="308" t="str">
        <f>Données!B24</f>
        <v>Bière</v>
      </c>
      <c r="C23" s="306">
        <f>VPI!Q24</f>
        <v>69</v>
      </c>
      <c r="D23" s="311">
        <f>Données!Z24</f>
        <v>1683</v>
      </c>
      <c r="E23" s="139">
        <f>VPI!R24</f>
        <v>42246.57887556222</v>
      </c>
      <c r="F23" s="240">
        <f>'Péréquation directe'!K30</f>
        <v>-819821.78268610465</v>
      </c>
      <c r="G23" s="250">
        <f>PCS!I30</f>
        <v>646330.69861198426</v>
      </c>
      <c r="H23" s="266">
        <f>Police!L24</f>
        <v>129971.87360578598</v>
      </c>
      <c r="I23" s="350">
        <f t="shared" si="0"/>
        <v>-43519.210468334408</v>
      </c>
      <c r="J23" s="140"/>
    </row>
    <row r="24" spans="1:10" s="86" customFormat="1" x14ac:dyDescent="0.25">
      <c r="A24" s="304">
        <f>Données!A25</f>
        <v>5426</v>
      </c>
      <c r="B24" s="308" t="str">
        <f>Données!B25</f>
        <v>Bougy-Villars</v>
      </c>
      <c r="C24" s="306">
        <f>VPI!Q25</f>
        <v>64.5</v>
      </c>
      <c r="D24" s="311">
        <f>Données!Z25</f>
        <v>506</v>
      </c>
      <c r="E24" s="139">
        <f>VPI!R25</f>
        <v>61944.740516795857</v>
      </c>
      <c r="F24" s="240">
        <f>'Péréquation directe'!K31</f>
        <v>1147969.7918917374</v>
      </c>
      <c r="G24" s="250">
        <f>PCS!I31</f>
        <v>2083232.7175604939</v>
      </c>
      <c r="H24" s="266">
        <f>Police!L25</f>
        <v>121487.84948735092</v>
      </c>
      <c r="I24" s="350">
        <f t="shared" si="0"/>
        <v>3352690.358939582</v>
      </c>
      <c r="J24" s="140"/>
    </row>
    <row r="25" spans="1:10" s="86" customFormat="1" x14ac:dyDescent="0.25">
      <c r="A25" s="304">
        <f>Données!A26</f>
        <v>5427</v>
      </c>
      <c r="B25" s="308" t="str">
        <f>Données!B26</f>
        <v>Féchy</v>
      </c>
      <c r="C25" s="306">
        <f>VPI!Q26</f>
        <v>64</v>
      </c>
      <c r="D25" s="311">
        <f>Données!Z26</f>
        <v>887</v>
      </c>
      <c r="E25" s="139">
        <f>VPI!R26</f>
        <v>86921.388449519218</v>
      </c>
      <c r="F25" s="240">
        <f>'Péréquation directe'!K32</f>
        <v>1587628.4228670707</v>
      </c>
      <c r="G25" s="250">
        <f>PCS!I32</f>
        <v>2314221.4338383442</v>
      </c>
      <c r="H25" s="266">
        <f>Police!L26</f>
        <v>186080.57834208588</v>
      </c>
      <c r="I25" s="350">
        <f t="shared" si="0"/>
        <v>4087930.4350475008</v>
      </c>
      <c r="J25" s="140"/>
    </row>
    <row r="26" spans="1:10" s="86" customFormat="1" x14ac:dyDescent="0.25">
      <c r="A26" s="304">
        <f>Données!A27</f>
        <v>5428</v>
      </c>
      <c r="B26" s="308" t="str">
        <f>Données!B27</f>
        <v>Gimel</v>
      </c>
      <c r="C26" s="306">
        <f>VPI!Q27</f>
        <v>74.5</v>
      </c>
      <c r="D26" s="311">
        <f>Données!Z27</f>
        <v>2414</v>
      </c>
      <c r="E26" s="139">
        <f>VPI!R27</f>
        <v>71357.07080536912</v>
      </c>
      <c r="F26" s="240">
        <f>'Péréquation directe'!K33</f>
        <v>-766445.32432005415</v>
      </c>
      <c r="G26" s="250">
        <f>PCS!I33</f>
        <v>1339634.6607657748</v>
      </c>
      <c r="H26" s="266">
        <f>Police!L27</f>
        <v>219153.73887092114</v>
      </c>
      <c r="I26" s="350">
        <f t="shared" si="0"/>
        <v>792343.07531664171</v>
      </c>
      <c r="J26" s="140"/>
    </row>
    <row r="27" spans="1:10" s="86" customFormat="1" x14ac:dyDescent="0.25">
      <c r="A27" s="304">
        <f>Données!A28</f>
        <v>5429</v>
      </c>
      <c r="B27" s="308" t="str">
        <f>Données!B28</f>
        <v>Longirod</v>
      </c>
      <c r="C27" s="306">
        <f>VPI!Q28</f>
        <v>77.5</v>
      </c>
      <c r="D27" s="311">
        <f>Données!Z28</f>
        <v>541</v>
      </c>
      <c r="E27" s="139">
        <f>VPI!R28</f>
        <v>17141.954451612906</v>
      </c>
      <c r="F27" s="240">
        <f>'Péréquation directe'!K34</f>
        <v>-12005.316447670572</v>
      </c>
      <c r="G27" s="250">
        <f>PCS!I34</f>
        <v>274955.15339939471</v>
      </c>
      <c r="H27" s="266">
        <f>Police!L28</f>
        <v>52651.191134225002</v>
      </c>
      <c r="I27" s="350">
        <f t="shared" si="0"/>
        <v>315601.02808594913</v>
      </c>
      <c r="J27" s="140"/>
    </row>
    <row r="28" spans="1:10" s="86" customFormat="1" x14ac:dyDescent="0.25">
      <c r="A28" s="304">
        <f>Données!A29</f>
        <v>5430</v>
      </c>
      <c r="B28" s="308" t="str">
        <f>Données!B29</f>
        <v>Marchissy</v>
      </c>
      <c r="C28" s="306">
        <f>VPI!Q29</f>
        <v>77.5</v>
      </c>
      <c r="D28" s="311">
        <f>Données!Z29</f>
        <v>499</v>
      </c>
      <c r="E28" s="139">
        <f>VPI!R29</f>
        <v>17121.702064516132</v>
      </c>
      <c r="F28" s="240">
        <f>'Péréquation directe'!K35</f>
        <v>48378.723266906163</v>
      </c>
      <c r="G28" s="250">
        <f>PCS!I35</f>
        <v>274620.68196297099</v>
      </c>
      <c r="H28" s="266">
        <f>Police!L29</f>
        <v>53071.739769191816</v>
      </c>
      <c r="I28" s="350">
        <f t="shared" si="0"/>
        <v>376071.14499906899</v>
      </c>
      <c r="J28" s="140"/>
    </row>
    <row r="29" spans="1:10" s="86" customFormat="1" x14ac:dyDescent="0.25">
      <c r="A29" s="304">
        <f>Données!A30</f>
        <v>5431</v>
      </c>
      <c r="B29" s="308" t="str">
        <f>Données!B30</f>
        <v>Mollens</v>
      </c>
      <c r="C29" s="306">
        <f>VPI!Q30</f>
        <v>74</v>
      </c>
      <c r="D29" s="311">
        <f>Données!Z30</f>
        <v>324</v>
      </c>
      <c r="E29" s="139">
        <f>VPI!R30</f>
        <v>9475.2202702702707</v>
      </c>
      <c r="F29" s="240">
        <f>'Péréquation directe'!K36</f>
        <v>-45698.670617762516</v>
      </c>
      <c r="G29" s="250">
        <f>PCS!I36</f>
        <v>147528.40588637156</v>
      </c>
      <c r="H29" s="266">
        <f>Police!L30</f>
        <v>29213.602877581478</v>
      </c>
      <c r="I29" s="350">
        <f t="shared" si="0"/>
        <v>131043.33814619052</v>
      </c>
      <c r="J29" s="140"/>
    </row>
    <row r="30" spans="1:10" s="86" customFormat="1" x14ac:dyDescent="0.25">
      <c r="A30" s="304">
        <f>Données!A31</f>
        <v>5434</v>
      </c>
      <c r="B30" s="308" t="str">
        <f>Données!B31</f>
        <v>Saint-George</v>
      </c>
      <c r="C30" s="306">
        <f>VPI!Q31</f>
        <v>69.5</v>
      </c>
      <c r="D30" s="311">
        <f>Données!Z31</f>
        <v>1069</v>
      </c>
      <c r="E30" s="139">
        <f>VPI!R31</f>
        <v>40910.420311750597</v>
      </c>
      <c r="F30" s="240">
        <f>'Péréquation directe'!K37</f>
        <v>291067.7406283298</v>
      </c>
      <c r="G30" s="250">
        <f>PCS!I37</f>
        <v>850973.43529223977</v>
      </c>
      <c r="H30" s="266">
        <f>Police!L31</f>
        <v>125369.35973561311</v>
      </c>
      <c r="I30" s="350">
        <f t="shared" si="0"/>
        <v>1267410.5356561826</v>
      </c>
      <c r="J30" s="140"/>
    </row>
    <row r="31" spans="1:10" s="86" customFormat="1" x14ac:dyDescent="0.25">
      <c r="A31" s="304">
        <f>Données!A32</f>
        <v>5435</v>
      </c>
      <c r="B31" s="308" t="str">
        <f>Données!B32</f>
        <v>Saint-Livres</v>
      </c>
      <c r="C31" s="306">
        <f>VPI!Q32</f>
        <v>69</v>
      </c>
      <c r="D31" s="311">
        <f>Données!Z32</f>
        <v>697</v>
      </c>
      <c r="E31" s="139">
        <f>VPI!R32</f>
        <v>25462.062463768114</v>
      </c>
      <c r="F31" s="240">
        <f>'Péréquation directe'!K38</f>
        <v>223480.01264290983</v>
      </c>
      <c r="G31" s="250">
        <f>PCS!I38</f>
        <v>499019.68618734251</v>
      </c>
      <c r="H31" s="266">
        <f>Police!L32</f>
        <v>78636.043307752174</v>
      </c>
      <c r="I31" s="350">
        <f t="shared" si="0"/>
        <v>801135.7421380044</v>
      </c>
      <c r="J31" s="140"/>
    </row>
    <row r="32" spans="1:10" s="86" customFormat="1" x14ac:dyDescent="0.25">
      <c r="A32" s="304">
        <f>Données!A33</f>
        <v>5436</v>
      </c>
      <c r="B32" s="308" t="str">
        <f>Données!B33</f>
        <v>Saint-Oyens</v>
      </c>
      <c r="C32" s="306">
        <f>VPI!Q33</f>
        <v>79</v>
      </c>
      <c r="D32" s="311">
        <f>Données!Z33</f>
        <v>456</v>
      </c>
      <c r="E32" s="139">
        <f>VPI!R33</f>
        <v>16425.302151898733</v>
      </c>
      <c r="F32" s="240">
        <f>'Péréquation directe'!K39</f>
        <v>127197.23203758715</v>
      </c>
      <c r="G32" s="250">
        <f>PCS!I39</f>
        <v>227297.7866284537</v>
      </c>
      <c r="H32" s="266">
        <f>Police!L33</f>
        <v>50896.979338947815</v>
      </c>
      <c r="I32" s="350">
        <f t="shared" si="0"/>
        <v>405391.99800498865</v>
      </c>
      <c r="J32" s="140"/>
    </row>
    <row r="33" spans="1:10" s="86" customFormat="1" x14ac:dyDescent="0.25">
      <c r="A33" s="304">
        <f>Données!A34</f>
        <v>5437</v>
      </c>
      <c r="B33" s="308" t="str">
        <f>Données!B34</f>
        <v>Saubraz</v>
      </c>
      <c r="C33" s="306">
        <f>VPI!Q34</f>
        <v>80</v>
      </c>
      <c r="D33" s="311">
        <f>Données!Z34</f>
        <v>449</v>
      </c>
      <c r="E33" s="139">
        <f>VPI!R34</f>
        <v>12131.165499999999</v>
      </c>
      <c r="F33" s="240">
        <f>'Péréquation directe'!K40</f>
        <v>-64174.640417915682</v>
      </c>
      <c r="G33" s="250">
        <f>PCS!I40</f>
        <v>236318.8608043821</v>
      </c>
      <c r="H33" s="266">
        <f>Police!L34</f>
        <v>37322.657089045199</v>
      </c>
      <c r="I33" s="350">
        <f t="shared" si="0"/>
        <v>209466.87747551163</v>
      </c>
      <c r="J33" s="140"/>
    </row>
    <row r="34" spans="1:10" s="86" customFormat="1" x14ac:dyDescent="0.25">
      <c r="A34" s="304">
        <f>Données!A35</f>
        <v>5451</v>
      </c>
      <c r="B34" s="308" t="str">
        <f>Données!B35</f>
        <v>Avenches</v>
      </c>
      <c r="C34" s="306">
        <f>VPI!Q35</f>
        <v>66.5</v>
      </c>
      <c r="D34" s="311">
        <f>Données!Z35</f>
        <v>4696</v>
      </c>
      <c r="E34" s="139">
        <f>VPI!R35</f>
        <v>142603.64295739346</v>
      </c>
      <c r="F34" s="240">
        <f>'Péréquation directe'!K41</f>
        <v>-1656677.5103782881</v>
      </c>
      <c r="G34" s="250">
        <f>PCS!I41</f>
        <v>2383961.2156102997</v>
      </c>
      <c r="H34" s="266">
        <f>Police!L35</f>
        <v>428189.14843861043</v>
      </c>
      <c r="I34" s="350">
        <f t="shared" si="0"/>
        <v>1155472.853670622</v>
      </c>
      <c r="J34" s="140"/>
    </row>
    <row r="35" spans="1:10" s="86" customFormat="1" x14ac:dyDescent="0.25">
      <c r="A35" s="304">
        <f>Données!A36</f>
        <v>5456</v>
      </c>
      <c r="B35" s="308" t="str">
        <f>Données!B36</f>
        <v>Cudrefin</v>
      </c>
      <c r="C35" s="306">
        <f>VPI!Q36</f>
        <v>59</v>
      </c>
      <c r="D35" s="311">
        <f>Données!Z36</f>
        <v>1876</v>
      </c>
      <c r="E35" s="139">
        <f>VPI!R36</f>
        <v>64059.429152542369</v>
      </c>
      <c r="F35" s="240">
        <f>'Péréquation directe'!K42</f>
        <v>292100.54621378263</v>
      </c>
      <c r="G35" s="250">
        <f>PCS!I42</f>
        <v>1124353.7211144562</v>
      </c>
      <c r="H35" s="266">
        <f>Police!L36</f>
        <v>194743.78591446945</v>
      </c>
      <c r="I35" s="350">
        <f t="shared" si="0"/>
        <v>1611198.0532427083</v>
      </c>
      <c r="J35" s="140"/>
    </row>
    <row r="36" spans="1:10" s="86" customFormat="1" x14ac:dyDescent="0.25">
      <c r="A36" s="304">
        <f>Données!A37</f>
        <v>5458</v>
      </c>
      <c r="B36" s="308" t="str">
        <f>Données!B37</f>
        <v>Faoug</v>
      </c>
      <c r="C36" s="306">
        <f>VPI!Q37</f>
        <v>65</v>
      </c>
      <c r="D36" s="311">
        <f>Données!Z37</f>
        <v>903</v>
      </c>
      <c r="E36" s="139">
        <f>VPI!R37</f>
        <v>32630.608820512818</v>
      </c>
      <c r="F36" s="240">
        <f>'Péréquation directe'!K43</f>
        <v>231496.58883908251</v>
      </c>
      <c r="G36" s="250">
        <f>PCS!I43</f>
        <v>488990.21755466022</v>
      </c>
      <c r="H36" s="266">
        <f>Police!L37</f>
        <v>99397.664796130208</v>
      </c>
      <c r="I36" s="350">
        <f t="shared" si="0"/>
        <v>819884.47118987306</v>
      </c>
      <c r="J36" s="140"/>
    </row>
    <row r="37" spans="1:10" s="86" customFormat="1" x14ac:dyDescent="0.25">
      <c r="A37" s="304">
        <f>Données!A38</f>
        <v>5464</v>
      </c>
      <c r="B37" s="308" t="str">
        <f>Données!B38</f>
        <v>Vully-les-Lacs</v>
      </c>
      <c r="C37" s="306">
        <f>VPI!Q38</f>
        <v>67</v>
      </c>
      <c r="D37" s="311">
        <f>Données!Z38</f>
        <v>3540</v>
      </c>
      <c r="E37" s="139">
        <f>VPI!R38</f>
        <v>117932.28119402986</v>
      </c>
      <c r="F37" s="240">
        <f>'Péréquation directe'!K44</f>
        <v>-149930.8730521407</v>
      </c>
      <c r="G37" s="250">
        <f>PCS!I44</f>
        <v>1992339.6740744126</v>
      </c>
      <c r="H37" s="266">
        <f>Police!L38</f>
        <v>359610.85398640274</v>
      </c>
      <c r="I37" s="350">
        <f t="shared" si="0"/>
        <v>2202019.6550086746</v>
      </c>
      <c r="J37" s="140"/>
    </row>
    <row r="38" spans="1:10" s="86" customFormat="1" x14ac:dyDescent="0.25">
      <c r="A38" s="304">
        <f>Données!A39</f>
        <v>5471</v>
      </c>
      <c r="B38" s="308" t="str">
        <f>Données!B39</f>
        <v>Bettens</v>
      </c>
      <c r="C38" s="306">
        <f>VPI!Q39</f>
        <v>70</v>
      </c>
      <c r="D38" s="311">
        <f>Données!Z39</f>
        <v>650</v>
      </c>
      <c r="E38" s="139">
        <f>VPI!R39</f>
        <v>22692.008412698411</v>
      </c>
      <c r="F38" s="240">
        <f>'Péréquation directe'!K45</f>
        <v>194416.85960210697</v>
      </c>
      <c r="G38" s="250">
        <f>PCS!I45</f>
        <v>321910.85420239629</v>
      </c>
      <c r="H38" s="266">
        <f>Police!L39</f>
        <v>69500.633359326923</v>
      </c>
      <c r="I38" s="350">
        <f t="shared" si="0"/>
        <v>585828.34716383019</v>
      </c>
      <c r="J38" s="140"/>
    </row>
    <row r="39" spans="1:10" s="86" customFormat="1" x14ac:dyDescent="0.25">
      <c r="A39" s="304">
        <f>Données!A40</f>
        <v>5472</v>
      </c>
      <c r="B39" s="308" t="str">
        <f>Données!B40</f>
        <v>Bournens</v>
      </c>
      <c r="C39" s="306">
        <f>VPI!Q40</f>
        <v>68</v>
      </c>
      <c r="D39" s="311">
        <f>Données!Z40</f>
        <v>514</v>
      </c>
      <c r="E39" s="139">
        <f>VPI!R40</f>
        <v>19974.815147058827</v>
      </c>
      <c r="F39" s="240">
        <f>'Péréquation directe'!K46</f>
        <v>230738.66822951805</v>
      </c>
      <c r="G39" s="250">
        <f>PCS!I46</f>
        <v>321137.76985197066</v>
      </c>
      <c r="H39" s="266">
        <f>Police!L40</f>
        <v>61310.64875023983</v>
      </c>
      <c r="I39" s="350">
        <f t="shared" si="0"/>
        <v>613187.08683172858</v>
      </c>
      <c r="J39" s="140"/>
    </row>
    <row r="40" spans="1:10" s="86" customFormat="1" x14ac:dyDescent="0.25">
      <c r="A40" s="304">
        <f>Données!A41</f>
        <v>5473</v>
      </c>
      <c r="B40" s="308" t="str">
        <f>Données!B41</f>
        <v>Boussens</v>
      </c>
      <c r="C40" s="306">
        <f>VPI!Q41</f>
        <v>66</v>
      </c>
      <c r="D40" s="311">
        <f>Données!Z41</f>
        <v>1009</v>
      </c>
      <c r="E40" s="139">
        <f>VPI!R41</f>
        <v>40042.684696969693</v>
      </c>
      <c r="F40" s="240">
        <f>'Péréquation directe'!K47</f>
        <v>506307.88233944977</v>
      </c>
      <c r="G40" s="250">
        <f>PCS!I47</f>
        <v>611207.33126485511</v>
      </c>
      <c r="H40" s="266">
        <f>Police!L41</f>
        <v>123635.43467569503</v>
      </c>
      <c r="I40" s="350">
        <f t="shared" si="0"/>
        <v>1241150.6482799998</v>
      </c>
      <c r="J40" s="140"/>
    </row>
    <row r="41" spans="1:10" s="86" customFormat="1" x14ac:dyDescent="0.25">
      <c r="A41" s="304">
        <f>Données!A42</f>
        <v>5474</v>
      </c>
      <c r="B41" s="308" t="str">
        <f>Données!B42</f>
        <v>La Chaux (Cossonay)</v>
      </c>
      <c r="C41" s="306">
        <f>VPI!Q42</f>
        <v>76</v>
      </c>
      <c r="D41" s="311">
        <f>Données!Z42</f>
        <v>412</v>
      </c>
      <c r="E41" s="139">
        <f>VPI!R42</f>
        <v>13862.371951754385</v>
      </c>
      <c r="F41" s="240">
        <f>'Péréquation directe'!K48</f>
        <v>-91171.403143440781</v>
      </c>
      <c r="G41" s="250">
        <f>PCS!I48</f>
        <v>218638.58117046198</v>
      </c>
      <c r="H41" s="266">
        <f>Police!L42</f>
        <v>42962.426903876883</v>
      </c>
      <c r="I41" s="350">
        <f t="shared" si="0"/>
        <v>170429.60493089809</v>
      </c>
      <c r="J41" s="140"/>
    </row>
    <row r="42" spans="1:10" s="86" customFormat="1" x14ac:dyDescent="0.25">
      <c r="A42" s="304">
        <f>Données!A43</f>
        <v>5475</v>
      </c>
      <c r="B42" s="308" t="str">
        <f>Données!B43</f>
        <v>Chavannes-le-Veyron</v>
      </c>
      <c r="C42" s="306">
        <f>VPI!Q43</f>
        <v>75</v>
      </c>
      <c r="D42" s="311">
        <f>Données!Z43</f>
        <v>163</v>
      </c>
      <c r="E42" s="139">
        <f>VPI!R43</f>
        <v>4297.1488000000008</v>
      </c>
      <c r="F42" s="240">
        <f>'Péréquation directe'!K49</f>
        <v>-65477.29098011383</v>
      </c>
      <c r="G42" s="250">
        <f>PCS!I49</f>
        <v>64817.272707397969</v>
      </c>
      <c r="H42" s="266">
        <f>Police!L43</f>
        <v>13242.997419591115</v>
      </c>
      <c r="I42" s="350">
        <f t="shared" si="0"/>
        <v>12582.979146875254</v>
      </c>
      <c r="J42" s="140"/>
    </row>
    <row r="43" spans="1:10" s="86" customFormat="1" x14ac:dyDescent="0.25">
      <c r="A43" s="304">
        <f>Données!A44</f>
        <v>5476</v>
      </c>
      <c r="B43" s="308" t="str">
        <f>Données!B44</f>
        <v>Chevilly</v>
      </c>
      <c r="C43" s="306">
        <f>VPI!Q44</f>
        <v>72.5</v>
      </c>
      <c r="D43" s="311">
        <f>Données!Z44</f>
        <v>331</v>
      </c>
      <c r="E43" s="139">
        <f>VPI!R44</f>
        <v>13558.448137931036</v>
      </c>
      <c r="F43" s="240">
        <f>'Péréquation directe'!K50</f>
        <v>174157.97029275991</v>
      </c>
      <c r="G43" s="250">
        <f>PCS!I50</f>
        <v>198646.48975957598</v>
      </c>
      <c r="H43" s="266">
        <f>Police!L44</f>
        <v>42223.752226874014</v>
      </c>
      <c r="I43" s="350">
        <f t="shared" si="0"/>
        <v>415028.21227920987</v>
      </c>
      <c r="J43" s="140"/>
    </row>
    <row r="44" spans="1:10" s="86" customFormat="1" x14ac:dyDescent="0.25">
      <c r="A44" s="304">
        <f>Données!A45</f>
        <v>5477</v>
      </c>
      <c r="B44" s="308" t="str">
        <f>Données!B45</f>
        <v>Cossonay</v>
      </c>
      <c r="C44" s="306">
        <f>VPI!Q45</f>
        <v>68</v>
      </c>
      <c r="D44" s="311">
        <f>Données!Z45</f>
        <v>4389</v>
      </c>
      <c r="E44" s="139">
        <f>VPI!R45</f>
        <v>151484.78088235293</v>
      </c>
      <c r="F44" s="240">
        <f>'Péréquation directe'!K51</f>
        <v>-641503.09750299668</v>
      </c>
      <c r="G44" s="250">
        <f>PCS!I51</f>
        <v>2660456.0770010017</v>
      </c>
      <c r="H44" s="266">
        <f>Police!L45</f>
        <v>467313.54580071568</v>
      </c>
      <c r="I44" s="350">
        <f t="shared" si="0"/>
        <v>2486266.5252987207</v>
      </c>
      <c r="J44" s="140"/>
    </row>
    <row r="45" spans="1:10" s="86" customFormat="1" x14ac:dyDescent="0.25">
      <c r="A45" s="304">
        <f>Données!A46</f>
        <v>5479</v>
      </c>
      <c r="B45" s="308" t="str">
        <f>Données!B46</f>
        <v>Cuarnens</v>
      </c>
      <c r="C45" s="306">
        <f>VPI!Q46</f>
        <v>77</v>
      </c>
      <c r="D45" s="311">
        <f>Données!Z46</f>
        <v>545</v>
      </c>
      <c r="E45" s="139">
        <f>VPI!R46</f>
        <v>14331.03077922078</v>
      </c>
      <c r="F45" s="240">
        <f>'Péréquation directe'!K52</f>
        <v>-312733.74798848893</v>
      </c>
      <c r="G45" s="250">
        <f>PCS!I52</f>
        <v>237116.04855423304</v>
      </c>
      <c r="H45" s="266">
        <f>Police!L46</f>
        <v>43898.870452463925</v>
      </c>
      <c r="I45" s="350">
        <f t="shared" si="0"/>
        <v>-31718.828981791965</v>
      </c>
      <c r="J45" s="140"/>
    </row>
    <row r="46" spans="1:10" s="86" customFormat="1" x14ac:dyDescent="0.25">
      <c r="A46" s="304">
        <f>Données!A47</f>
        <v>5480</v>
      </c>
      <c r="B46" s="308" t="str">
        <f>Données!B47</f>
        <v>Daillens</v>
      </c>
      <c r="C46" s="306">
        <f>VPI!Q47</f>
        <v>66</v>
      </c>
      <c r="D46" s="311">
        <f>Données!Z47</f>
        <v>1057</v>
      </c>
      <c r="E46" s="139">
        <f>VPI!R47</f>
        <v>42741.079141414142</v>
      </c>
      <c r="F46" s="240">
        <f>'Péréquation directe'!K53</f>
        <v>451655.82964631892</v>
      </c>
      <c r="G46" s="250">
        <f>PCS!I53</f>
        <v>974688.20635525952</v>
      </c>
      <c r="H46" s="266">
        <f>Police!L47</f>
        <v>128076.88973835437</v>
      </c>
      <c r="I46" s="350">
        <f t="shared" si="0"/>
        <v>1554420.9257399328</v>
      </c>
      <c r="J46" s="140"/>
    </row>
    <row r="47" spans="1:10" s="86" customFormat="1" x14ac:dyDescent="0.25">
      <c r="A47" s="304">
        <f>Données!A48</f>
        <v>5481</v>
      </c>
      <c r="B47" s="308" t="str">
        <f>Données!B48</f>
        <v>Dizy</v>
      </c>
      <c r="C47" s="306">
        <f>VPI!Q48</f>
        <v>75</v>
      </c>
      <c r="D47" s="311">
        <f>Données!Z48</f>
        <v>232</v>
      </c>
      <c r="E47" s="139">
        <f>VPI!R48</f>
        <v>8551.9890666666652</v>
      </c>
      <c r="F47" s="240">
        <f>'Péréquation directe'!K54</f>
        <v>48084.163915608195</v>
      </c>
      <c r="G47" s="250">
        <f>PCS!I54</f>
        <v>128372.38352764334</v>
      </c>
      <c r="H47" s="266">
        <f>Police!L48</f>
        <v>26671.131976569275</v>
      </c>
      <c r="I47" s="350">
        <f t="shared" si="0"/>
        <v>203127.67941982081</v>
      </c>
      <c r="J47" s="140"/>
    </row>
    <row r="48" spans="1:10" s="86" customFormat="1" x14ac:dyDescent="0.25">
      <c r="A48" s="304">
        <f>Données!A49</f>
        <v>5482</v>
      </c>
      <c r="B48" s="308" t="str">
        <f>Données!B49</f>
        <v>Eclépens</v>
      </c>
      <c r="C48" s="306">
        <f>VPI!Q49</f>
        <v>46</v>
      </c>
      <c r="D48" s="311">
        <f>Données!Z49</f>
        <v>1199</v>
      </c>
      <c r="E48" s="139">
        <f>VPI!R49</f>
        <v>48311.561086956521</v>
      </c>
      <c r="F48" s="240">
        <f>'Péréquation directe'!K55</f>
        <v>522876.6555241312</v>
      </c>
      <c r="G48" s="250">
        <f>PCS!I55</f>
        <v>823841.33827207319</v>
      </c>
      <c r="H48" s="266">
        <f>Police!L49</f>
        <v>136448.99946266436</v>
      </c>
      <c r="I48" s="350">
        <f t="shared" si="0"/>
        <v>1483166.9932588688</v>
      </c>
      <c r="J48" s="140"/>
    </row>
    <row r="49" spans="1:10" s="86" customFormat="1" x14ac:dyDescent="0.25">
      <c r="A49" s="304">
        <f>Données!A50</f>
        <v>5483</v>
      </c>
      <c r="B49" s="308" t="str">
        <f>Données!B50</f>
        <v>Ferreyres</v>
      </c>
      <c r="C49" s="306">
        <f>VPI!Q50</f>
        <v>76</v>
      </c>
      <c r="D49" s="311">
        <f>Données!Z50</f>
        <v>308</v>
      </c>
      <c r="E49" s="139">
        <f>VPI!R50</f>
        <v>10284.191184210527</v>
      </c>
      <c r="F49" s="240">
        <f>'Péréquation directe'!K56</f>
        <v>57708.583289692499</v>
      </c>
      <c r="G49" s="250">
        <f>PCS!I56</f>
        <v>134260.57807393887</v>
      </c>
      <c r="H49" s="266">
        <f>Police!L50</f>
        <v>31744.184002718823</v>
      </c>
      <c r="I49" s="350">
        <f t="shared" si="0"/>
        <v>223713.3453663502</v>
      </c>
      <c r="J49" s="140"/>
    </row>
    <row r="50" spans="1:10" s="86" customFormat="1" x14ac:dyDescent="0.25">
      <c r="A50" s="304">
        <f>Données!A51</f>
        <v>5484</v>
      </c>
      <c r="B50" s="308" t="str">
        <f>Données!B51</f>
        <v>Gollion</v>
      </c>
      <c r="C50" s="306">
        <f>VPI!Q51</f>
        <v>74</v>
      </c>
      <c r="D50" s="311">
        <f>Données!Z51</f>
        <v>1033</v>
      </c>
      <c r="E50" s="139">
        <f>VPI!R51</f>
        <v>32601.092837837834</v>
      </c>
      <c r="F50" s="240">
        <f>'Péréquation directe'!K57</f>
        <v>-150417.53164338297</v>
      </c>
      <c r="G50" s="250">
        <f>PCS!I57</f>
        <v>518402.33145196812</v>
      </c>
      <c r="H50" s="266">
        <f>Police!L51</f>
        <v>100165.78508420596</v>
      </c>
      <c r="I50" s="350">
        <f t="shared" si="0"/>
        <v>468150.58489279111</v>
      </c>
      <c r="J50" s="140"/>
    </row>
    <row r="51" spans="1:10" s="86" customFormat="1" x14ac:dyDescent="0.25">
      <c r="A51" s="304">
        <f>Données!A52</f>
        <v>5485</v>
      </c>
      <c r="B51" s="308" t="str">
        <f>Données!B52</f>
        <v>Grancy</v>
      </c>
      <c r="C51" s="306">
        <f>VPI!Q52</f>
        <v>70</v>
      </c>
      <c r="D51" s="311">
        <f>Données!Z52</f>
        <v>489</v>
      </c>
      <c r="E51" s="139">
        <f>VPI!R52</f>
        <v>18961.04185714286</v>
      </c>
      <c r="F51" s="240">
        <f>'Péréquation directe'!K58</f>
        <v>146607.12372751068</v>
      </c>
      <c r="G51" s="250">
        <f>PCS!I58</f>
        <v>277961.48074550804</v>
      </c>
      <c r="H51" s="266">
        <f>Police!L52</f>
        <v>58839.731725045014</v>
      </c>
      <c r="I51" s="350">
        <f t="shared" si="0"/>
        <v>483408.33619806374</v>
      </c>
      <c r="J51" s="140"/>
    </row>
    <row r="52" spans="1:10" s="86" customFormat="1" x14ac:dyDescent="0.25">
      <c r="A52" s="304">
        <f>Données!A53</f>
        <v>5486</v>
      </c>
      <c r="B52" s="308" t="str">
        <f>Données!B53</f>
        <v>L'Isle</v>
      </c>
      <c r="C52" s="306">
        <f>VPI!Q53</f>
        <v>75</v>
      </c>
      <c r="D52" s="311">
        <f>Données!Z53</f>
        <v>1095</v>
      </c>
      <c r="E52" s="139">
        <f>VPI!R53</f>
        <v>34755.462666666674</v>
      </c>
      <c r="F52" s="240">
        <f>'Péréquation directe'!K59</f>
        <v>-235558.51559312455</v>
      </c>
      <c r="G52" s="250">
        <f>PCS!I59</f>
        <v>615786.96610761993</v>
      </c>
      <c r="H52" s="266">
        <f>Police!L53</f>
        <v>106893.84568098343</v>
      </c>
      <c r="I52" s="350">
        <f t="shared" si="0"/>
        <v>487122.29619547882</v>
      </c>
      <c r="J52" s="140"/>
    </row>
    <row r="53" spans="1:10" s="86" customFormat="1" x14ac:dyDescent="0.25">
      <c r="A53" s="304">
        <f>Données!A54</f>
        <v>5487</v>
      </c>
      <c r="B53" s="308" t="str">
        <f>Données!B54</f>
        <v>Lussery-Villars</v>
      </c>
      <c r="C53" s="306">
        <f>VPI!Q54</f>
        <v>75</v>
      </c>
      <c r="D53" s="311">
        <f>Données!Z54</f>
        <v>482</v>
      </c>
      <c r="E53" s="139">
        <f>VPI!R54</f>
        <v>12042.578266666667</v>
      </c>
      <c r="F53" s="240">
        <f>'Péréquation directe'!K60</f>
        <v>-79679.010768465407</v>
      </c>
      <c r="G53" s="250">
        <f>PCS!I60</f>
        <v>192664.31649474427</v>
      </c>
      <c r="H53" s="266">
        <f>Police!L54</f>
        <v>36797.347636001708</v>
      </c>
      <c r="I53" s="350">
        <f t="shared" si="0"/>
        <v>149782.65336228057</v>
      </c>
      <c r="J53" s="140"/>
    </row>
    <row r="54" spans="1:10" s="86" customFormat="1" x14ac:dyDescent="0.25">
      <c r="A54" s="304">
        <f>Données!A55</f>
        <v>5488</v>
      </c>
      <c r="B54" s="308" t="str">
        <f>Données!B55</f>
        <v>Mauraz</v>
      </c>
      <c r="C54" s="306">
        <f>VPI!Q55</f>
        <v>77</v>
      </c>
      <c r="D54" s="311">
        <f>Données!Z55</f>
        <v>65</v>
      </c>
      <c r="E54" s="139">
        <f>VPI!R55</f>
        <v>2131.605194805195</v>
      </c>
      <c r="F54" s="240">
        <f>'Péréquation directe'!K61</f>
        <v>10020.860866099782</v>
      </c>
      <c r="G54" s="250">
        <f>PCS!I61</f>
        <v>46068.824276094136</v>
      </c>
      <c r="H54" s="266">
        <f>Police!L55</f>
        <v>6674.7464562434161</v>
      </c>
      <c r="I54" s="350">
        <f t="shared" si="0"/>
        <v>62764.431598437339</v>
      </c>
      <c r="J54" s="140"/>
    </row>
    <row r="55" spans="1:10" s="86" customFormat="1" x14ac:dyDescent="0.25">
      <c r="A55" s="304">
        <f>Données!A56</f>
        <v>5489</v>
      </c>
      <c r="B55" s="308" t="str">
        <f>Données!B56</f>
        <v>Mex</v>
      </c>
      <c r="C55" s="306">
        <f>VPI!Q56</f>
        <v>59.5</v>
      </c>
      <c r="D55" s="311">
        <f>Données!Z56</f>
        <v>817</v>
      </c>
      <c r="E55" s="139">
        <f>VPI!R56</f>
        <v>60289.963529411769</v>
      </c>
      <c r="F55" s="240">
        <f>'Péréquation directe'!K62</f>
        <v>1074738.8903525861</v>
      </c>
      <c r="G55" s="250">
        <f>PCS!I62</f>
        <v>1318116.3166882454</v>
      </c>
      <c r="H55" s="266">
        <f>Police!L56</f>
        <v>146862.05225557531</v>
      </c>
      <c r="I55" s="350">
        <f t="shared" si="0"/>
        <v>2539717.259296407</v>
      </c>
      <c r="J55" s="140"/>
    </row>
    <row r="56" spans="1:10" s="86" customFormat="1" x14ac:dyDescent="0.25">
      <c r="A56" s="304">
        <f>Données!A57</f>
        <v>5490</v>
      </c>
      <c r="B56" s="308" t="str">
        <f>Données!B57</f>
        <v>Moiry</v>
      </c>
      <c r="C56" s="306">
        <f>VPI!Q57</f>
        <v>77</v>
      </c>
      <c r="D56" s="311">
        <f>Données!Z57</f>
        <v>296</v>
      </c>
      <c r="E56" s="139">
        <f>VPI!R57</f>
        <v>8460.9402597402623</v>
      </c>
      <c r="F56" s="240">
        <f>'Péréquation directe'!K63</f>
        <v>-45470.460222236405</v>
      </c>
      <c r="G56" s="250">
        <f>PCS!I63</f>
        <v>115680.14860796834</v>
      </c>
      <c r="H56" s="266">
        <f>Police!L57</f>
        <v>26174.878336635124</v>
      </c>
      <c r="I56" s="350">
        <f t="shared" si="0"/>
        <v>96384.566722367061</v>
      </c>
      <c r="J56" s="140"/>
    </row>
    <row r="57" spans="1:10" s="86" customFormat="1" x14ac:dyDescent="0.25">
      <c r="A57" s="304">
        <f>Données!A58</f>
        <v>5491</v>
      </c>
      <c r="B57" s="308" t="str">
        <f>Données!B58</f>
        <v>Mont-la-Ville</v>
      </c>
      <c r="C57" s="306">
        <f>VPI!Q58</f>
        <v>76</v>
      </c>
      <c r="D57" s="311">
        <f>Données!Z58</f>
        <v>502</v>
      </c>
      <c r="E57" s="139">
        <f>VPI!R58</f>
        <v>13841.869078947369</v>
      </c>
      <c r="F57" s="240">
        <f>'Péréquation directe'!K64</f>
        <v>-712368.76995167113</v>
      </c>
      <c r="G57" s="250">
        <f>PCS!I64</f>
        <v>241946.05907578667</v>
      </c>
      <c r="H57" s="266">
        <f>Police!L58</f>
        <v>42329.070223832037</v>
      </c>
      <c r="I57" s="350">
        <f t="shared" si="0"/>
        <v>-428093.64065205242</v>
      </c>
      <c r="J57" s="140"/>
    </row>
    <row r="58" spans="1:10" s="86" customFormat="1" x14ac:dyDescent="0.25">
      <c r="A58" s="304">
        <f>Données!A59</f>
        <v>5492</v>
      </c>
      <c r="B58" s="308" t="str">
        <f>Données!B59</f>
        <v>Montricher</v>
      </c>
      <c r="C58" s="306">
        <f>VPI!Q59</f>
        <v>64</v>
      </c>
      <c r="D58" s="311">
        <f>Données!Z59</f>
        <v>978</v>
      </c>
      <c r="E58" s="139">
        <f>VPI!R59</f>
        <v>149906.53015624997</v>
      </c>
      <c r="F58" s="240">
        <f>'Péréquation directe'!K65</f>
        <v>2474275.5308597246</v>
      </c>
      <c r="G58" s="250">
        <f>PCS!I65</f>
        <v>4839845.8516402729</v>
      </c>
      <c r="H58" s="266">
        <f>Police!L59</f>
        <v>272259.98941602156</v>
      </c>
      <c r="I58" s="350">
        <f t="shared" si="0"/>
        <v>7586381.3719160194</v>
      </c>
      <c r="J58" s="140"/>
    </row>
    <row r="59" spans="1:10" s="86" customFormat="1" x14ac:dyDescent="0.25">
      <c r="A59" s="304">
        <f>Données!A60</f>
        <v>5493</v>
      </c>
      <c r="B59" s="308" t="str">
        <f>Données!B60</f>
        <v>Orny</v>
      </c>
      <c r="C59" s="306">
        <f>VPI!Q60</f>
        <v>73</v>
      </c>
      <c r="D59" s="311">
        <f>Données!Z60</f>
        <v>484</v>
      </c>
      <c r="E59" s="139">
        <f>VPI!R60</f>
        <v>14635.714141201266</v>
      </c>
      <c r="F59" s="240">
        <f>'Péréquation directe'!K66</f>
        <v>-29762.906583082629</v>
      </c>
      <c r="G59" s="250">
        <f>PCS!I66</f>
        <v>238181.13806435955</v>
      </c>
      <c r="H59" s="266">
        <f>Police!L60</f>
        <v>45143.89438551593</v>
      </c>
      <c r="I59" s="350">
        <f t="shared" si="0"/>
        <v>253562.12586679286</v>
      </c>
      <c r="J59" s="140"/>
    </row>
    <row r="60" spans="1:10" s="86" customFormat="1" x14ac:dyDescent="0.25">
      <c r="A60" s="304">
        <f>Données!A61</f>
        <v>5495</v>
      </c>
      <c r="B60" s="308" t="str">
        <f>Données!B61</f>
        <v>Penthalaz</v>
      </c>
      <c r="C60" s="306">
        <f>VPI!Q61</f>
        <v>74</v>
      </c>
      <c r="D60" s="311">
        <f>Données!Z61</f>
        <v>3214</v>
      </c>
      <c r="E60" s="139">
        <f>VPI!R61</f>
        <v>103053.60797297298</v>
      </c>
      <c r="F60" s="240">
        <f>'Péréquation directe'!K67</f>
        <v>-668948.81032829918</v>
      </c>
      <c r="G60" s="250">
        <f>PCS!I67</f>
        <v>1642115.4582245559</v>
      </c>
      <c r="H60" s="266">
        <f>Police!L61</f>
        <v>318002.40891817055</v>
      </c>
      <c r="I60" s="350">
        <f t="shared" si="0"/>
        <v>1291169.0568144273</v>
      </c>
      <c r="J60" s="140"/>
    </row>
    <row r="61" spans="1:10" s="86" customFormat="1" x14ac:dyDescent="0.25">
      <c r="A61" s="304">
        <f>Données!A62</f>
        <v>5496</v>
      </c>
      <c r="B61" s="308" t="str">
        <f>Données!B62</f>
        <v>Penthaz</v>
      </c>
      <c r="C61" s="306">
        <f>VPI!Q62</f>
        <v>69.5</v>
      </c>
      <c r="D61" s="311">
        <f>Données!Z62</f>
        <v>1923</v>
      </c>
      <c r="E61" s="139">
        <f>VPI!R62</f>
        <v>61649.529352517988</v>
      </c>
      <c r="F61" s="240">
        <f>'Péréquation directe'!K68</f>
        <v>-8632.106936346041</v>
      </c>
      <c r="G61" s="250">
        <f>PCS!I68</f>
        <v>928443.35326474404</v>
      </c>
      <c r="H61" s="266">
        <f>Police!L62</f>
        <v>188450.46979849419</v>
      </c>
      <c r="I61" s="350">
        <f t="shared" si="0"/>
        <v>1108261.7161268923</v>
      </c>
      <c r="J61" s="140"/>
    </row>
    <row r="62" spans="1:10" s="86" customFormat="1" x14ac:dyDescent="0.25">
      <c r="A62" s="304">
        <f>Données!A63</f>
        <v>5497</v>
      </c>
      <c r="B62" s="308" t="str">
        <f>Données!B63</f>
        <v>Pompaples</v>
      </c>
      <c r="C62" s="306">
        <f>VPI!Q63</f>
        <v>66</v>
      </c>
      <c r="D62" s="311">
        <f>Données!Z63</f>
        <v>860</v>
      </c>
      <c r="E62" s="139">
        <f>VPI!R63</f>
        <v>22949.555</v>
      </c>
      <c r="F62" s="240">
        <f>'Péréquation directe'!K69</f>
        <v>-110529.03870144964</v>
      </c>
      <c r="G62" s="250">
        <f>PCS!I69</f>
        <v>392134.55677177489</v>
      </c>
      <c r="H62" s="266">
        <f>Police!L63</f>
        <v>70039.302200992766</v>
      </c>
      <c r="I62" s="350">
        <f t="shared" si="0"/>
        <v>351644.82027131802</v>
      </c>
      <c r="J62" s="140"/>
    </row>
    <row r="63" spans="1:10" s="86" customFormat="1" x14ac:dyDescent="0.25">
      <c r="A63" s="304">
        <f>Données!A64</f>
        <v>5498</v>
      </c>
      <c r="B63" s="308" t="str">
        <f>Données!B64</f>
        <v>La Sarraz</v>
      </c>
      <c r="C63" s="306">
        <f>VPI!Q64</f>
        <v>66</v>
      </c>
      <c r="D63" s="311">
        <f>Données!Z64</f>
        <v>2608</v>
      </c>
      <c r="E63" s="139">
        <f>VPI!R64</f>
        <v>73742.233181818185</v>
      </c>
      <c r="F63" s="240">
        <f>'Péréquation directe'!K70</f>
        <v>-657129.49436449446</v>
      </c>
      <c r="G63" s="250">
        <f>PCS!I70</f>
        <v>1075414.8916202576</v>
      </c>
      <c r="H63" s="266">
        <f>Police!L64</f>
        <v>225543.88602459809</v>
      </c>
      <c r="I63" s="350">
        <f t="shared" si="0"/>
        <v>643829.28328036121</v>
      </c>
      <c r="J63" s="140"/>
    </row>
    <row r="64" spans="1:10" s="86" customFormat="1" x14ac:dyDescent="0.25">
      <c r="A64" s="304">
        <f>Données!A65</f>
        <v>5499</v>
      </c>
      <c r="B64" s="308" t="str">
        <f>Données!B65</f>
        <v>Senarclens</v>
      </c>
      <c r="C64" s="306">
        <f>VPI!Q65</f>
        <v>68.5</v>
      </c>
      <c r="D64" s="311">
        <f>Données!Z65</f>
        <v>496</v>
      </c>
      <c r="E64" s="139">
        <f>VPI!R65</f>
        <v>20490.878394160583</v>
      </c>
      <c r="F64" s="240">
        <f>'Péréquation directe'!K71</f>
        <v>242721.61616299377</v>
      </c>
      <c r="G64" s="250">
        <f>PCS!I71</f>
        <v>304997.58429701836</v>
      </c>
      <c r="H64" s="266">
        <f>Police!L65</f>
        <v>63388.918664603814</v>
      </c>
      <c r="I64" s="350">
        <f t="shared" si="0"/>
        <v>611108.11912461591</v>
      </c>
      <c r="J64" s="140"/>
    </row>
    <row r="65" spans="1:10" s="86" customFormat="1" x14ac:dyDescent="0.25">
      <c r="A65" s="304">
        <f>Données!A66</f>
        <v>5501</v>
      </c>
      <c r="B65" s="308" t="str">
        <f>Données!B66</f>
        <v>Sullens</v>
      </c>
      <c r="C65" s="306">
        <f>VPI!Q66</f>
        <v>64</v>
      </c>
      <c r="D65" s="311">
        <f>Données!Z66</f>
        <v>1169</v>
      </c>
      <c r="E65" s="139">
        <f>VPI!R66</f>
        <v>53839.001093749997</v>
      </c>
      <c r="F65" s="240">
        <f>'Péréquation directe'!K72</f>
        <v>826802.13348812051</v>
      </c>
      <c r="G65" s="250">
        <f>PCS!I72</f>
        <v>956021.52694364591</v>
      </c>
      <c r="H65" s="266">
        <f>Police!L66</f>
        <v>166591.85029768397</v>
      </c>
      <c r="I65" s="350">
        <f t="shared" si="0"/>
        <v>1949415.5107294503</v>
      </c>
      <c r="J65" s="140"/>
    </row>
    <row r="66" spans="1:10" s="86" customFormat="1" x14ac:dyDescent="0.25">
      <c r="A66" s="304">
        <f>Données!A67</f>
        <v>5503</v>
      </c>
      <c r="B66" s="308" t="str">
        <f>Données!B67</f>
        <v>Vufflens-la-Ville</v>
      </c>
      <c r="C66" s="306">
        <f>VPI!Q67</f>
        <v>67</v>
      </c>
      <c r="D66" s="311">
        <f>Données!Z67</f>
        <v>1334</v>
      </c>
      <c r="E66" s="139">
        <f>VPI!R67</f>
        <v>75815.146368159199</v>
      </c>
      <c r="F66" s="240">
        <f>'Péréquation directe'!K73</f>
        <v>1232422.5049962956</v>
      </c>
      <c r="G66" s="250">
        <f>PCS!I73</f>
        <v>1248635.5253500305</v>
      </c>
      <c r="H66" s="266">
        <f>Police!L67</f>
        <v>211721.11851224073</v>
      </c>
      <c r="I66" s="350">
        <f t="shared" si="0"/>
        <v>2692779.1488585668</v>
      </c>
      <c r="J66" s="140"/>
    </row>
    <row r="67" spans="1:10" s="86" customFormat="1" x14ac:dyDescent="0.25">
      <c r="A67" s="304">
        <f>Données!A68</f>
        <v>5511</v>
      </c>
      <c r="B67" s="308" t="str">
        <f>Données!B68</f>
        <v>Assens</v>
      </c>
      <c r="C67" s="306">
        <f>VPI!Q68</f>
        <v>70</v>
      </c>
      <c r="D67" s="311">
        <f>Données!Z68</f>
        <v>1669</v>
      </c>
      <c r="E67" s="139">
        <f>VPI!R68</f>
        <v>72829.098714285734</v>
      </c>
      <c r="F67" s="240">
        <f>'Péréquation directe'!K74</f>
        <v>662555.48669507459</v>
      </c>
      <c r="G67" s="250">
        <f>PCS!I74</f>
        <v>1069590.4718098599</v>
      </c>
      <c r="H67" s="266">
        <f>Police!L68</f>
        <v>224235.94759435774</v>
      </c>
      <c r="I67" s="350">
        <f t="shared" si="0"/>
        <v>1956381.906099292</v>
      </c>
      <c r="J67" s="140"/>
    </row>
    <row r="68" spans="1:10" s="86" customFormat="1" x14ac:dyDescent="0.25">
      <c r="A68" s="304">
        <f>Données!A69</f>
        <v>5512</v>
      </c>
      <c r="B68" s="308" t="str">
        <f>Données!B69</f>
        <v>Bercher</v>
      </c>
      <c r="C68" s="306">
        <f>VPI!Q69</f>
        <v>79</v>
      </c>
      <c r="D68" s="311">
        <f>Données!Z69</f>
        <v>1359</v>
      </c>
      <c r="E68" s="139">
        <f>VPI!R69</f>
        <v>41197.962531645571</v>
      </c>
      <c r="F68" s="240">
        <f>'Péréquation directe'!K75</f>
        <v>-292698.6082949863</v>
      </c>
      <c r="G68" s="250">
        <f>PCS!I75</f>
        <v>632640.64379720343</v>
      </c>
      <c r="H68" s="266">
        <f>Police!L69</f>
        <v>126416.45088067678</v>
      </c>
      <c r="I68" s="350">
        <f t="shared" si="0"/>
        <v>466358.48638289393</v>
      </c>
      <c r="J68" s="140"/>
    </row>
    <row r="69" spans="1:10" s="86" customFormat="1" x14ac:dyDescent="0.25">
      <c r="A69" s="304">
        <f>Données!A70</f>
        <v>5514</v>
      </c>
      <c r="B69" s="308" t="str">
        <f>Données!B70</f>
        <v>Bottens</v>
      </c>
      <c r="C69" s="306">
        <f>VPI!Q70</f>
        <v>72.5</v>
      </c>
      <c r="D69" s="311">
        <f>Données!Z70</f>
        <v>1356</v>
      </c>
      <c r="E69" s="139">
        <f>VPI!R70</f>
        <v>45711.625241379304</v>
      </c>
      <c r="F69" s="240">
        <f>'Péréquation directe'!K76</f>
        <v>188353.02503073949</v>
      </c>
      <c r="G69" s="250">
        <f>PCS!I76</f>
        <v>674446.60327962541</v>
      </c>
      <c r="H69" s="266">
        <f>Police!L70</f>
        <v>141140.71978314756</v>
      </c>
      <c r="I69" s="350">
        <f t="shared" si="0"/>
        <v>1003940.3480935125</v>
      </c>
      <c r="J69" s="140"/>
    </row>
    <row r="70" spans="1:10" s="86" customFormat="1" x14ac:dyDescent="0.25">
      <c r="A70" s="304">
        <f>Données!A71</f>
        <v>5515</v>
      </c>
      <c r="B70" s="308" t="str">
        <f>Données!B71</f>
        <v>Bretigny-sur-Morrens</v>
      </c>
      <c r="C70" s="306">
        <f>VPI!Q71</f>
        <v>78</v>
      </c>
      <c r="D70" s="311">
        <f>Données!Z71</f>
        <v>878</v>
      </c>
      <c r="E70" s="139">
        <f>VPI!R71</f>
        <v>29284.807179487179</v>
      </c>
      <c r="F70" s="240">
        <f>'Péréquation directe'!K77</f>
        <v>105185.8568610911</v>
      </c>
      <c r="G70" s="250">
        <f>PCS!I77</f>
        <v>413908.73527644644</v>
      </c>
      <c r="H70" s="266">
        <f>Police!L71</f>
        <v>89524.093441201461</v>
      </c>
      <c r="I70" s="350">
        <f t="shared" ref="I70:I133" si="1">SUM(F70:H70)</f>
        <v>608618.68557873904</v>
      </c>
      <c r="J70" s="140"/>
    </row>
    <row r="71" spans="1:10" s="86" customFormat="1" x14ac:dyDescent="0.25">
      <c r="A71" s="304">
        <f>Données!A72</f>
        <v>5516</v>
      </c>
      <c r="B71" s="308" t="str">
        <f>Données!B72</f>
        <v>Cugy</v>
      </c>
      <c r="C71" s="306">
        <f>VPI!Q72</f>
        <v>76</v>
      </c>
      <c r="D71" s="311">
        <f>Données!Z72</f>
        <v>2697</v>
      </c>
      <c r="E71" s="139">
        <f>VPI!R72</f>
        <v>110286.19364035087</v>
      </c>
      <c r="F71" s="240">
        <f>'Péréquation directe'!K78</f>
        <v>782374.61969276285</v>
      </c>
      <c r="G71" s="250">
        <f>PCS!I78</f>
        <v>1687182.2653546776</v>
      </c>
      <c r="H71" s="266">
        <f>Police!L72</f>
        <v>340353.71528437251</v>
      </c>
      <c r="I71" s="350">
        <f t="shared" si="1"/>
        <v>2809910.6003318131</v>
      </c>
      <c r="J71" s="140"/>
    </row>
    <row r="72" spans="1:10" s="86" customFormat="1" x14ac:dyDescent="0.25">
      <c r="A72" s="304">
        <f>Données!A73</f>
        <v>5518</v>
      </c>
      <c r="B72" s="308" t="str">
        <f>Données!B73</f>
        <v>Echallens</v>
      </c>
      <c r="C72" s="306">
        <f>VPI!Q73</f>
        <v>72.5</v>
      </c>
      <c r="D72" s="311">
        <f>Données!Z73</f>
        <v>5816</v>
      </c>
      <c r="E72" s="139">
        <f>VPI!R73</f>
        <v>193272.16565517243</v>
      </c>
      <c r="F72" s="240">
        <f>'Péréquation directe'!K79</f>
        <v>-1862000.7816035808</v>
      </c>
      <c r="G72" s="250">
        <f>PCS!I79</f>
        <v>3037443.1766780792</v>
      </c>
      <c r="H72" s="266">
        <f>Police!L73</f>
        <v>592826.44686031225</v>
      </c>
      <c r="I72" s="350">
        <f t="shared" si="1"/>
        <v>1768268.8419348106</v>
      </c>
      <c r="J72" s="140"/>
    </row>
    <row r="73" spans="1:10" s="86" customFormat="1" x14ac:dyDescent="0.25">
      <c r="A73" s="304">
        <f>Données!A74</f>
        <v>5520</v>
      </c>
      <c r="B73" s="308" t="str">
        <f>Données!B74</f>
        <v>Essertines-sur-Yverdon</v>
      </c>
      <c r="C73" s="306">
        <f>VPI!Q74</f>
        <v>74</v>
      </c>
      <c r="D73" s="311">
        <f>Données!Z74</f>
        <v>1081</v>
      </c>
      <c r="E73" s="139">
        <f>VPI!R74</f>
        <v>31421.603918918918</v>
      </c>
      <c r="F73" s="240">
        <f>'Péréquation directe'!K80</f>
        <v>-381648.99682994862</v>
      </c>
      <c r="G73" s="250">
        <f>PCS!I80</f>
        <v>523114.33529795165</v>
      </c>
      <c r="H73" s="266">
        <f>Police!L74</f>
        <v>96283.524129116558</v>
      </c>
      <c r="I73" s="350">
        <f t="shared" si="1"/>
        <v>237748.86259711959</v>
      </c>
      <c r="J73" s="140"/>
    </row>
    <row r="74" spans="1:10" s="86" customFormat="1" x14ac:dyDescent="0.25">
      <c r="A74" s="304">
        <f>Données!A75</f>
        <v>5521</v>
      </c>
      <c r="B74" s="308" t="str">
        <f>Données!B75</f>
        <v>Etagnières</v>
      </c>
      <c r="C74" s="306">
        <f>VPI!Q75</f>
        <v>73</v>
      </c>
      <c r="D74" s="311">
        <f>Données!Z75</f>
        <v>1154</v>
      </c>
      <c r="E74" s="139">
        <f>VPI!R75</f>
        <v>47186.910273972615</v>
      </c>
      <c r="F74" s="240">
        <f>'Péréquation directe'!K81</f>
        <v>500062.80550537369</v>
      </c>
      <c r="G74" s="250">
        <f>PCS!I81</f>
        <v>960094.69799769134</v>
      </c>
      <c r="H74" s="266">
        <f>Police!L75</f>
        <v>144749.81773915217</v>
      </c>
      <c r="I74" s="350">
        <f t="shared" si="1"/>
        <v>1604907.3212422172</v>
      </c>
      <c r="J74" s="140"/>
    </row>
    <row r="75" spans="1:10" s="86" customFormat="1" x14ac:dyDescent="0.25">
      <c r="A75" s="304">
        <f>Données!A76</f>
        <v>5522</v>
      </c>
      <c r="B75" s="308" t="str">
        <f>Données!B76</f>
        <v>Fey</v>
      </c>
      <c r="C75" s="306">
        <f>VPI!Q76</f>
        <v>75</v>
      </c>
      <c r="D75" s="311">
        <f>Données!Z76</f>
        <v>736</v>
      </c>
      <c r="E75" s="139">
        <f>VPI!R76</f>
        <v>24171.660400000001</v>
      </c>
      <c r="F75" s="240">
        <f>'Péréquation directe'!K82</f>
        <v>556.11230397049803</v>
      </c>
      <c r="G75" s="250">
        <f>PCS!I82</f>
        <v>375740.19865189219</v>
      </c>
      <c r="H75" s="266">
        <f>Police!L76</f>
        <v>74387.74246633405</v>
      </c>
      <c r="I75" s="350">
        <f t="shared" si="1"/>
        <v>450684.05342219677</v>
      </c>
      <c r="J75" s="140"/>
    </row>
    <row r="76" spans="1:10" s="86" customFormat="1" x14ac:dyDescent="0.25">
      <c r="A76" s="304">
        <f>Données!A77</f>
        <v>5523</v>
      </c>
      <c r="B76" s="308" t="str">
        <f>Données!B77</f>
        <v>Froideville</v>
      </c>
      <c r="C76" s="306">
        <f>VPI!Q77</f>
        <v>72</v>
      </c>
      <c r="D76" s="311">
        <f>Données!Z77</f>
        <v>2720</v>
      </c>
      <c r="E76" s="139">
        <f>VPI!R77</f>
        <v>92223.451805555553</v>
      </c>
      <c r="F76" s="240">
        <f>'Péréquation directe'!K83</f>
        <v>155745.92668991024</v>
      </c>
      <c r="G76" s="250">
        <f>PCS!I83</f>
        <v>1515205.6683212237</v>
      </c>
      <c r="H76" s="266">
        <f>Police!L77</f>
        <v>282633.57853414601</v>
      </c>
      <c r="I76" s="350">
        <f t="shared" si="1"/>
        <v>1953585.17354528</v>
      </c>
      <c r="J76" s="140"/>
    </row>
    <row r="77" spans="1:10" s="86" customFormat="1" x14ac:dyDescent="0.25">
      <c r="A77" s="304">
        <f>Données!A78</f>
        <v>5527</v>
      </c>
      <c r="B77" s="308" t="str">
        <f>Données!B78</f>
        <v>Morrens</v>
      </c>
      <c r="C77" s="306">
        <f>VPI!Q78</f>
        <v>74</v>
      </c>
      <c r="D77" s="311">
        <f>Données!Z78</f>
        <v>1172</v>
      </c>
      <c r="E77" s="139">
        <f>VPI!R78</f>
        <v>40722.210135135138</v>
      </c>
      <c r="F77" s="240">
        <f>'Péréquation directe'!K84</f>
        <v>259164.19286580803</v>
      </c>
      <c r="G77" s="250">
        <f>PCS!I84</f>
        <v>652045.21349981357</v>
      </c>
      <c r="H77" s="266">
        <f>Police!L78</f>
        <v>125056.45240551815</v>
      </c>
      <c r="I77" s="350">
        <f t="shared" si="1"/>
        <v>1036265.8587711398</v>
      </c>
      <c r="J77" s="140"/>
    </row>
    <row r="78" spans="1:10" s="86" customFormat="1" x14ac:dyDescent="0.25">
      <c r="A78" s="304">
        <f>Données!A79</f>
        <v>5529</v>
      </c>
      <c r="B78" s="308" t="str">
        <f>Données!B79</f>
        <v>Oulens-sous-Echallens</v>
      </c>
      <c r="C78" s="306">
        <f>VPI!Q79</f>
        <v>71</v>
      </c>
      <c r="D78" s="311">
        <f>Données!Z79</f>
        <v>606</v>
      </c>
      <c r="E78" s="139">
        <f>VPI!R79</f>
        <v>22676.673521126762</v>
      </c>
      <c r="F78" s="240">
        <f>'Péréquation directe'!K85</f>
        <v>145204.15420169686</v>
      </c>
      <c r="G78" s="250">
        <f>PCS!I85</f>
        <v>289526.0183496055</v>
      </c>
      <c r="H78" s="266">
        <f>Police!L79</f>
        <v>69584.455813002773</v>
      </c>
      <c r="I78" s="350">
        <f t="shared" si="1"/>
        <v>504314.62836430513</v>
      </c>
      <c r="J78" s="140"/>
    </row>
    <row r="79" spans="1:10" s="86" customFormat="1" x14ac:dyDescent="0.25">
      <c r="A79" s="304">
        <f>Données!A80</f>
        <v>5530</v>
      </c>
      <c r="B79" s="308" t="str">
        <f>Données!B80</f>
        <v>Pailly</v>
      </c>
      <c r="C79" s="306">
        <f>VPI!Q80</f>
        <v>76</v>
      </c>
      <c r="D79" s="311">
        <f>Données!Z80</f>
        <v>566</v>
      </c>
      <c r="E79" s="139">
        <f>VPI!R80</f>
        <v>20358.644320175437</v>
      </c>
      <c r="F79" s="240">
        <f>'Péréquation directe'!K86</f>
        <v>89106.924219935085</v>
      </c>
      <c r="G79" s="250">
        <f>PCS!I86</f>
        <v>527224.74646601873</v>
      </c>
      <c r="H79" s="266">
        <f>Police!L80</f>
        <v>62981.118254584311</v>
      </c>
      <c r="I79" s="350">
        <f t="shared" si="1"/>
        <v>679312.78894053807</v>
      </c>
      <c r="J79" s="140"/>
    </row>
    <row r="80" spans="1:10" s="86" customFormat="1" x14ac:dyDescent="0.25">
      <c r="A80" s="304">
        <f>Données!A81</f>
        <v>5531</v>
      </c>
      <c r="B80" s="308" t="str">
        <f>Données!B81</f>
        <v>Penthéréaz</v>
      </c>
      <c r="C80" s="306">
        <f>VPI!Q81</f>
        <v>74</v>
      </c>
      <c r="D80" s="311">
        <f>Données!Z81</f>
        <v>433</v>
      </c>
      <c r="E80" s="139">
        <f>VPI!R81</f>
        <v>17299.265810810808</v>
      </c>
      <c r="F80" s="240">
        <f>'Péréquation directe'!K87</f>
        <v>158764.22913493597</v>
      </c>
      <c r="G80" s="250">
        <f>PCS!I87</f>
        <v>240033.19593555754</v>
      </c>
      <c r="H80" s="266">
        <f>Police!L81</f>
        <v>53769.948283445541</v>
      </c>
      <c r="I80" s="350">
        <f t="shared" si="1"/>
        <v>452567.37335393904</v>
      </c>
      <c r="J80" s="140"/>
    </row>
    <row r="81" spans="1:10" s="86" customFormat="1" x14ac:dyDescent="0.25">
      <c r="A81" s="304">
        <f>Données!A82</f>
        <v>5533</v>
      </c>
      <c r="B81" s="308" t="str">
        <f>Données!B82</f>
        <v>Poliez-Pittet</v>
      </c>
      <c r="C81" s="306">
        <f>VPI!Q82</f>
        <v>73</v>
      </c>
      <c r="D81" s="311">
        <f>Données!Z82</f>
        <v>848</v>
      </c>
      <c r="E81" s="139">
        <f>VPI!R82</f>
        <v>28011.409726027396</v>
      </c>
      <c r="F81" s="240">
        <f>'Péréquation directe'!K88</f>
        <v>94535.64086828212</v>
      </c>
      <c r="G81" s="250">
        <f>PCS!I88</f>
        <v>409644.19732412638</v>
      </c>
      <c r="H81" s="266">
        <f>Police!L82</f>
        <v>86124.289066123587</v>
      </c>
      <c r="I81" s="350">
        <f t="shared" si="1"/>
        <v>590304.1272585321</v>
      </c>
      <c r="J81" s="140"/>
    </row>
    <row r="82" spans="1:10" s="86" customFormat="1" x14ac:dyDescent="0.25">
      <c r="A82" s="304">
        <f>Données!A83</f>
        <v>5534</v>
      </c>
      <c r="B82" s="308" t="str">
        <f>Données!B83</f>
        <v>Rueyres</v>
      </c>
      <c r="C82" s="306">
        <f>VPI!Q83</f>
        <v>73</v>
      </c>
      <c r="D82" s="311">
        <f>Données!Z83</f>
        <v>303</v>
      </c>
      <c r="E82" s="139">
        <f>VPI!R83</f>
        <v>15039.569474885846</v>
      </c>
      <c r="F82" s="240">
        <f>'Péréquation directe'!K89</f>
        <v>255087.10091733045</v>
      </c>
      <c r="G82" s="250">
        <f>PCS!I89</f>
        <v>221022.43828266513</v>
      </c>
      <c r="H82" s="266">
        <f>Police!L83</f>
        <v>45383.556929679558</v>
      </c>
      <c r="I82" s="350">
        <f t="shared" si="1"/>
        <v>521493.09612967516</v>
      </c>
      <c r="J82" s="140"/>
    </row>
    <row r="83" spans="1:10" s="86" customFormat="1" x14ac:dyDescent="0.25">
      <c r="A83" s="304">
        <f>Données!A84</f>
        <v>5535</v>
      </c>
      <c r="B83" s="308" t="str">
        <f>Données!B84</f>
        <v>Saint-Barthélemy</v>
      </c>
      <c r="C83" s="306">
        <f>VPI!Q84</f>
        <v>75</v>
      </c>
      <c r="D83" s="311">
        <f>Données!Z84</f>
        <v>814</v>
      </c>
      <c r="E83" s="139">
        <f>VPI!R84</f>
        <v>25492.320666666663</v>
      </c>
      <c r="F83" s="240">
        <f>'Péréquation directe'!K90</f>
        <v>89878.499857864052</v>
      </c>
      <c r="G83" s="250">
        <f>PCS!I90</f>
        <v>402209.47881868447</v>
      </c>
      <c r="H83" s="266">
        <f>Police!L84</f>
        <v>78606.251620643379</v>
      </c>
      <c r="I83" s="350">
        <f t="shared" si="1"/>
        <v>570694.23029719188</v>
      </c>
      <c r="J83" s="140"/>
    </row>
    <row r="84" spans="1:10" s="86" customFormat="1" x14ac:dyDescent="0.25">
      <c r="A84" s="304">
        <f>Données!A85</f>
        <v>5537</v>
      </c>
      <c r="B84" s="308" t="str">
        <f>Données!B85</f>
        <v>Villars-le-Terroir</v>
      </c>
      <c r="C84" s="306">
        <f>VPI!Q85</f>
        <v>76</v>
      </c>
      <c r="D84" s="311">
        <f>Données!Z85</f>
        <v>1308</v>
      </c>
      <c r="E84" s="139">
        <f>VPI!R85</f>
        <v>39162.025657894737</v>
      </c>
      <c r="F84" s="240">
        <f>'Péréquation directe'!K91</f>
        <v>-95428.517910473514</v>
      </c>
      <c r="G84" s="250">
        <f>PCS!I91</f>
        <v>554286.33074841357</v>
      </c>
      <c r="H84" s="266">
        <f>Police!L85</f>
        <v>119709.46802593456</v>
      </c>
      <c r="I84" s="350">
        <f t="shared" si="1"/>
        <v>578567.28086387459</v>
      </c>
      <c r="J84" s="140"/>
    </row>
    <row r="85" spans="1:10" s="86" customFormat="1" x14ac:dyDescent="0.25">
      <c r="A85" s="304">
        <f>Données!A86</f>
        <v>5539</v>
      </c>
      <c r="B85" s="308" t="str">
        <f>Données!B86</f>
        <v>Vuarrens</v>
      </c>
      <c r="C85" s="306">
        <f>VPI!Q86</f>
        <v>73.5</v>
      </c>
      <c r="D85" s="311">
        <f>Données!Z86</f>
        <v>1106</v>
      </c>
      <c r="E85" s="139">
        <f>VPI!R86</f>
        <v>34442.298537414965</v>
      </c>
      <c r="F85" s="240">
        <f>'Péréquation directe'!K92</f>
        <v>89696.746034813696</v>
      </c>
      <c r="G85" s="250">
        <f>PCS!I92</f>
        <v>536808.30599394254</v>
      </c>
      <c r="H85" s="266">
        <f>Police!L86</f>
        <v>105970.41492013732</v>
      </c>
      <c r="I85" s="350">
        <f t="shared" si="1"/>
        <v>732475.46694889362</v>
      </c>
      <c r="J85" s="140"/>
    </row>
    <row r="86" spans="1:10" s="86" customFormat="1" x14ac:dyDescent="0.25">
      <c r="A86" s="304">
        <f>Données!A87</f>
        <v>5540</v>
      </c>
      <c r="B86" s="308" t="str">
        <f>Données!B87</f>
        <v>Montilliez</v>
      </c>
      <c r="C86" s="306">
        <f>VPI!Q87</f>
        <v>72.5</v>
      </c>
      <c r="D86" s="311">
        <f>Données!Z87</f>
        <v>1895</v>
      </c>
      <c r="E86" s="139">
        <f>VPI!R87</f>
        <v>67462.536103448278</v>
      </c>
      <c r="F86" s="240">
        <f>'Péréquation directe'!K93</f>
        <v>274801.07152447873</v>
      </c>
      <c r="G86" s="250">
        <f>PCS!I93</f>
        <v>963118.35025245789</v>
      </c>
      <c r="H86" s="266">
        <f>Police!L87</f>
        <v>208387.71454207541</v>
      </c>
      <c r="I86" s="350">
        <f t="shared" si="1"/>
        <v>1446307.1363190119</v>
      </c>
      <c r="J86" s="140"/>
    </row>
    <row r="87" spans="1:10" s="86" customFormat="1" x14ac:dyDescent="0.25">
      <c r="A87" s="304">
        <f>Données!A88</f>
        <v>5541</v>
      </c>
      <c r="B87" s="308" t="str">
        <f>Données!B88</f>
        <v>Goumoëns</v>
      </c>
      <c r="C87" s="306">
        <f>VPI!Q88</f>
        <v>75.5</v>
      </c>
      <c r="D87" s="311">
        <f>Données!Z88</f>
        <v>1175</v>
      </c>
      <c r="E87" s="139">
        <f>VPI!R88</f>
        <v>41725.831258278151</v>
      </c>
      <c r="F87" s="240">
        <f>'Péréquation directe'!K94</f>
        <v>280297.57105563604</v>
      </c>
      <c r="G87" s="250">
        <f>PCS!I94</f>
        <v>659166.57726559497</v>
      </c>
      <c r="H87" s="266">
        <f>Police!L88</f>
        <v>129140.81096949095</v>
      </c>
      <c r="I87" s="350">
        <f t="shared" si="1"/>
        <v>1068604.9592907219</v>
      </c>
      <c r="J87" s="140"/>
    </row>
    <row r="88" spans="1:10" s="86" customFormat="1" x14ac:dyDescent="0.25">
      <c r="A88" s="304">
        <f>Données!A89</f>
        <v>5551</v>
      </c>
      <c r="B88" s="308" t="str">
        <f>Données!B89</f>
        <v>Bonvillars</v>
      </c>
      <c r="C88" s="306">
        <f>VPI!Q89</f>
        <v>56</v>
      </c>
      <c r="D88" s="311">
        <f>Données!Z89</f>
        <v>501</v>
      </c>
      <c r="E88" s="139">
        <f>VPI!R89</f>
        <v>18574.407321428567</v>
      </c>
      <c r="F88" s="240">
        <f>'Péréquation directe'!K95</f>
        <v>114750.13020613138</v>
      </c>
      <c r="G88" s="250">
        <f>PCS!I95</f>
        <v>408747.42172587675</v>
      </c>
      <c r="H88" s="266">
        <f>Police!L89</f>
        <v>55564.85759368031</v>
      </c>
      <c r="I88" s="350">
        <f t="shared" si="1"/>
        <v>579062.40952568839</v>
      </c>
      <c r="J88" s="140"/>
    </row>
    <row r="89" spans="1:10" s="86" customFormat="1" x14ac:dyDescent="0.25">
      <c r="A89" s="304">
        <f>Données!A90</f>
        <v>5552</v>
      </c>
      <c r="B89" s="308" t="str">
        <f>Données!B90</f>
        <v>Bullet</v>
      </c>
      <c r="C89" s="306">
        <f>VPI!Q90</f>
        <v>71.5</v>
      </c>
      <c r="D89" s="311">
        <f>Données!Z90</f>
        <v>651</v>
      </c>
      <c r="E89" s="139">
        <f>VPI!R90</f>
        <v>19038.467972027971</v>
      </c>
      <c r="F89" s="240">
        <f>'Péréquation directe'!K96</f>
        <v>-272762.63542393874</v>
      </c>
      <c r="G89" s="250">
        <f>PCS!I96</f>
        <v>319175.24948258902</v>
      </c>
      <c r="H89" s="266">
        <f>Police!L90</f>
        <v>57847.725852191099</v>
      </c>
      <c r="I89" s="350">
        <f t="shared" si="1"/>
        <v>104260.33991084137</v>
      </c>
      <c r="J89" s="140"/>
    </row>
    <row r="90" spans="1:10" s="86" customFormat="1" x14ac:dyDescent="0.25">
      <c r="A90" s="304">
        <f>Données!A91</f>
        <v>5553</v>
      </c>
      <c r="B90" s="308" t="str">
        <f>Données!B91</f>
        <v>Champagne</v>
      </c>
      <c r="C90" s="306">
        <f>VPI!Q91</f>
        <v>65</v>
      </c>
      <c r="D90" s="311">
        <f>Données!Z91</f>
        <v>1077</v>
      </c>
      <c r="E90" s="139">
        <f>VPI!R91</f>
        <v>38261.021999999997</v>
      </c>
      <c r="F90" s="240">
        <f>'Péréquation directe'!K97</f>
        <v>78699.456594997202</v>
      </c>
      <c r="G90" s="250">
        <f>PCS!I97</f>
        <v>607112.99605112872</v>
      </c>
      <c r="H90" s="266">
        <f>Police!L91</f>
        <v>115997.19703248971</v>
      </c>
      <c r="I90" s="350">
        <f t="shared" si="1"/>
        <v>801809.64967861562</v>
      </c>
      <c r="J90" s="140"/>
    </row>
    <row r="91" spans="1:10" s="86" customFormat="1" x14ac:dyDescent="0.25">
      <c r="A91" s="304">
        <f>Données!A92</f>
        <v>5554</v>
      </c>
      <c r="B91" s="308" t="str">
        <f>Données!B92</f>
        <v>Concise</v>
      </c>
      <c r="C91" s="306">
        <f>VPI!Q92</f>
        <v>75</v>
      </c>
      <c r="D91" s="311">
        <f>Données!Z92</f>
        <v>1002</v>
      </c>
      <c r="E91" s="139">
        <f>VPI!R92</f>
        <v>33906.908000000003</v>
      </c>
      <c r="F91" s="240">
        <f>'Péréquation directe'!K98</f>
        <v>14981.285190644441</v>
      </c>
      <c r="G91" s="250">
        <f>PCS!I98</f>
        <v>557412.09229650267</v>
      </c>
      <c r="H91" s="266">
        <f>Police!L92</f>
        <v>104695.53295111915</v>
      </c>
      <c r="I91" s="350">
        <f t="shared" si="1"/>
        <v>677088.91043826623</v>
      </c>
      <c r="J91" s="140"/>
    </row>
    <row r="92" spans="1:10" s="86" customFormat="1" x14ac:dyDescent="0.25">
      <c r="A92" s="304">
        <f>Données!A93</f>
        <v>5555</v>
      </c>
      <c r="B92" s="308" t="str">
        <f>Données!B93</f>
        <v>Corcelles-près-Concise</v>
      </c>
      <c r="C92" s="306">
        <f>VPI!Q93</f>
        <v>69</v>
      </c>
      <c r="D92" s="311">
        <f>Données!Z93</f>
        <v>412</v>
      </c>
      <c r="E92" s="139">
        <f>VPI!R93</f>
        <v>13425.133333333333</v>
      </c>
      <c r="F92" s="240">
        <f>'Péréquation directe'!K99</f>
        <v>-80518.455703882151</v>
      </c>
      <c r="G92" s="250">
        <f>PCS!I99</f>
        <v>183270.12457836972</v>
      </c>
      <c r="H92" s="266">
        <f>Police!L93</f>
        <v>40585.393082327239</v>
      </c>
      <c r="I92" s="350">
        <f t="shared" si="1"/>
        <v>143337.06195681481</v>
      </c>
      <c r="J92" s="140"/>
    </row>
    <row r="93" spans="1:10" s="86" customFormat="1" x14ac:dyDescent="0.25">
      <c r="A93" s="304">
        <f>Données!A94</f>
        <v>5556</v>
      </c>
      <c r="B93" s="308" t="str">
        <f>Données!B94</f>
        <v>Fiez</v>
      </c>
      <c r="C93" s="306">
        <f>VPI!Q94</f>
        <v>69</v>
      </c>
      <c r="D93" s="311">
        <f>Données!Z94</f>
        <v>436</v>
      </c>
      <c r="E93" s="139">
        <f>VPI!R94</f>
        <v>13304.178019323672</v>
      </c>
      <c r="F93" s="240">
        <f>'Péréquation directe'!K100</f>
        <v>-27383.323951592058</v>
      </c>
      <c r="G93" s="250">
        <f>PCS!I100</f>
        <v>227899.25764499151</v>
      </c>
      <c r="H93" s="266">
        <f>Police!L94</f>
        <v>40847.544050241748</v>
      </c>
      <c r="I93" s="350">
        <f t="shared" si="1"/>
        <v>241363.47774364118</v>
      </c>
      <c r="J93" s="140"/>
    </row>
    <row r="94" spans="1:10" s="86" customFormat="1" x14ac:dyDescent="0.25">
      <c r="A94" s="304">
        <f>Données!A95</f>
        <v>5557</v>
      </c>
      <c r="B94" s="308" t="str">
        <f>Données!B95</f>
        <v>Fontaines-sur-Grandson</v>
      </c>
      <c r="C94" s="306">
        <f>VPI!Q95</f>
        <v>69</v>
      </c>
      <c r="D94" s="311">
        <f>Données!Z95</f>
        <v>214</v>
      </c>
      <c r="E94" s="139">
        <f>VPI!R95</f>
        <v>5098.6839130434782</v>
      </c>
      <c r="F94" s="240">
        <f>'Péréquation directe'!K101</f>
        <v>-73923.397287004351</v>
      </c>
      <c r="G94" s="250">
        <f>PCS!I101</f>
        <v>72599.314647630774</v>
      </c>
      <c r="H94" s="266">
        <f>Police!L95</f>
        <v>15393.25067447796</v>
      </c>
      <c r="I94" s="350">
        <f t="shared" si="1"/>
        <v>14069.168035104383</v>
      </c>
      <c r="J94" s="140"/>
    </row>
    <row r="95" spans="1:10" s="86" customFormat="1" x14ac:dyDescent="0.25">
      <c r="A95" s="304">
        <f>Données!A96</f>
        <v>5559</v>
      </c>
      <c r="B95" s="308" t="str">
        <f>Données!B96</f>
        <v>Giez</v>
      </c>
      <c r="C95" s="306">
        <f>VPI!Q96</f>
        <v>66</v>
      </c>
      <c r="D95" s="311">
        <f>Données!Z96</f>
        <v>450</v>
      </c>
      <c r="E95" s="139">
        <f>VPI!R96</f>
        <v>21009.564242424243</v>
      </c>
      <c r="F95" s="240">
        <f>'Péréquation directe'!K102</f>
        <v>324681.88808704686</v>
      </c>
      <c r="G95" s="250">
        <f>PCS!I102</f>
        <v>324472.33693113062</v>
      </c>
      <c r="H95" s="266">
        <f>Police!L96</f>
        <v>65200.896224047363</v>
      </c>
      <c r="I95" s="350">
        <f t="shared" si="1"/>
        <v>714355.12124222482</v>
      </c>
      <c r="J95" s="140"/>
    </row>
    <row r="96" spans="1:10" s="86" customFormat="1" x14ac:dyDescent="0.25">
      <c r="A96" s="304">
        <f>Données!A97</f>
        <v>5560</v>
      </c>
      <c r="B96" s="308" t="str">
        <f>Données!B97</f>
        <v>Grandevent</v>
      </c>
      <c r="C96" s="306">
        <f>VPI!Q97</f>
        <v>71</v>
      </c>
      <c r="D96" s="311">
        <f>Données!Z97</f>
        <v>237</v>
      </c>
      <c r="E96" s="139">
        <f>VPI!R97</f>
        <v>8996.1019718309853</v>
      </c>
      <c r="F96" s="240">
        <f>'Péréquation directe'!K103</f>
        <v>91037.566923112172</v>
      </c>
      <c r="G96" s="250">
        <f>PCS!I103</f>
        <v>139084.93736625719</v>
      </c>
      <c r="H96" s="266">
        <f>Police!L97</f>
        <v>27884.817258882103</v>
      </c>
      <c r="I96" s="350">
        <f t="shared" si="1"/>
        <v>258007.32154825146</v>
      </c>
      <c r="J96" s="140"/>
    </row>
    <row r="97" spans="1:10" s="86" customFormat="1" x14ac:dyDescent="0.25">
      <c r="A97" s="304">
        <f>Données!A98</f>
        <v>5561</v>
      </c>
      <c r="B97" s="308" t="str">
        <f>Données!B98</f>
        <v>Grandson</v>
      </c>
      <c r="C97" s="306">
        <f>VPI!Q98</f>
        <v>69</v>
      </c>
      <c r="D97" s="311">
        <f>Données!Z98</f>
        <v>3358</v>
      </c>
      <c r="E97" s="139">
        <f>VPI!R98</f>
        <v>132373.10913043478</v>
      </c>
      <c r="F97" s="240">
        <f>'Péréquation directe'!K104</f>
        <v>50517.429618182592</v>
      </c>
      <c r="G97" s="250">
        <f>PCS!I104</f>
        <v>2096166.9160048661</v>
      </c>
      <c r="H97" s="266">
        <f>Police!L98</f>
        <v>408568.15733757184</v>
      </c>
      <c r="I97" s="350">
        <f t="shared" si="1"/>
        <v>2555252.5029606209</v>
      </c>
      <c r="J97" s="140"/>
    </row>
    <row r="98" spans="1:10" s="86" customFormat="1" x14ac:dyDescent="0.25">
      <c r="A98" s="304">
        <f>Données!A99</f>
        <v>5562</v>
      </c>
      <c r="B98" s="308" t="str">
        <f>Données!B99</f>
        <v>Mauborget</v>
      </c>
      <c r="C98" s="306">
        <f>VPI!Q99</f>
        <v>70</v>
      </c>
      <c r="D98" s="311">
        <f>Données!Z99</f>
        <v>138</v>
      </c>
      <c r="E98" s="139">
        <f>VPI!R99</f>
        <v>4559.8122619047608</v>
      </c>
      <c r="F98" s="240">
        <f>'Péréquation directe'!K105</f>
        <v>20646.700524317988</v>
      </c>
      <c r="G98" s="250">
        <f>PCS!I105</f>
        <v>61039.132770048855</v>
      </c>
      <c r="H98" s="266">
        <f>Police!L99</f>
        <v>13950.438182349579</v>
      </c>
      <c r="I98" s="350">
        <f t="shared" si="1"/>
        <v>95636.271476716414</v>
      </c>
      <c r="J98" s="140"/>
    </row>
    <row r="99" spans="1:10" s="86" customFormat="1" x14ac:dyDescent="0.25">
      <c r="A99" s="304">
        <f>Données!A100</f>
        <v>5563</v>
      </c>
      <c r="B99" s="308" t="str">
        <f>Données!B100</f>
        <v>Mutrux</v>
      </c>
      <c r="C99" s="306">
        <f>VPI!Q100</f>
        <v>80</v>
      </c>
      <c r="D99" s="311">
        <f>Données!Z100</f>
        <v>151</v>
      </c>
      <c r="E99" s="139">
        <f>VPI!R100</f>
        <v>2282.0827499999996</v>
      </c>
      <c r="F99" s="240">
        <f>'Péréquation directe'!K106</f>
        <v>-127117.21757113065</v>
      </c>
      <c r="G99" s="250">
        <f>PCS!I106</f>
        <v>59369.6455332193</v>
      </c>
      <c r="H99" s="266">
        <f>Police!L100</f>
        <v>6834.1838033138119</v>
      </c>
      <c r="I99" s="350">
        <f t="shared" si="1"/>
        <v>-60913.388234597536</v>
      </c>
      <c r="J99" s="140"/>
    </row>
    <row r="100" spans="1:10" s="86" customFormat="1" x14ac:dyDescent="0.25">
      <c r="A100" s="304">
        <f>Données!A101</f>
        <v>5564</v>
      </c>
      <c r="B100" s="308" t="str">
        <f>Données!B101</f>
        <v>Novalles</v>
      </c>
      <c r="C100" s="306">
        <f>VPI!Q101</f>
        <v>76</v>
      </c>
      <c r="D100" s="311">
        <f>Données!Z101</f>
        <v>99</v>
      </c>
      <c r="E100" s="139">
        <f>VPI!R101</f>
        <v>2548.8721381578953</v>
      </c>
      <c r="F100" s="240">
        <f>'Péréquation directe'!K107</f>
        <v>-48063.870113386889</v>
      </c>
      <c r="G100" s="250">
        <f>PCS!I107</f>
        <v>31856.697869139323</v>
      </c>
      <c r="H100" s="266">
        <f>Police!L101</f>
        <v>7884.9918985030026</v>
      </c>
      <c r="I100" s="350">
        <f t="shared" si="1"/>
        <v>-8322.180345744564</v>
      </c>
      <c r="J100" s="140"/>
    </row>
    <row r="101" spans="1:10" s="86" customFormat="1" x14ac:dyDescent="0.25">
      <c r="A101" s="304">
        <f>Données!A102</f>
        <v>5565</v>
      </c>
      <c r="B101" s="308" t="str">
        <f>Données!B102</f>
        <v>Onnens</v>
      </c>
      <c r="C101" s="306">
        <f>VPI!Q102</f>
        <v>63.5</v>
      </c>
      <c r="D101" s="311">
        <f>Données!Z102</f>
        <v>496</v>
      </c>
      <c r="E101" s="139">
        <f>VPI!R102</f>
        <v>19043.042992125989</v>
      </c>
      <c r="F101" s="240">
        <f>'Péréquation directe'!K108</f>
        <v>145022.63792117365</v>
      </c>
      <c r="G101" s="250">
        <f>PCS!I108</f>
        <v>276656.70968822821</v>
      </c>
      <c r="H101" s="266">
        <f>Police!L102</f>
        <v>56838.260549688901</v>
      </c>
      <c r="I101" s="350">
        <f t="shared" si="1"/>
        <v>478517.60815909074</v>
      </c>
      <c r="J101" s="140"/>
    </row>
    <row r="102" spans="1:10" s="86" customFormat="1" x14ac:dyDescent="0.25">
      <c r="A102" s="304">
        <f>Données!A103</f>
        <v>5566</v>
      </c>
      <c r="B102" s="308" t="str">
        <f>Données!B103</f>
        <v>Provence</v>
      </c>
      <c r="C102" s="306">
        <f>VPI!Q103</f>
        <v>81</v>
      </c>
      <c r="D102" s="311">
        <f>Données!Z103</f>
        <v>403</v>
      </c>
      <c r="E102" s="139">
        <f>VPI!R103</f>
        <v>8528.7641152263368</v>
      </c>
      <c r="F102" s="240">
        <f>'Péréquation directe'!K109</f>
        <v>-495171.09868028777</v>
      </c>
      <c r="G102" s="250">
        <f>PCS!I109</f>
        <v>145531.69493957912</v>
      </c>
      <c r="H102" s="266">
        <f>Police!L103</f>
        <v>26107.265251665125</v>
      </c>
      <c r="I102" s="350">
        <f t="shared" si="1"/>
        <v>-323532.13848904351</v>
      </c>
      <c r="J102" s="140"/>
    </row>
    <row r="103" spans="1:10" s="86" customFormat="1" x14ac:dyDescent="0.25">
      <c r="A103" s="304">
        <f>Données!A104</f>
        <v>5568</v>
      </c>
      <c r="B103" s="308" t="str">
        <f>Données!B104</f>
        <v>Sainte-Croix</v>
      </c>
      <c r="C103" s="306">
        <f>VPI!Q104</f>
        <v>70</v>
      </c>
      <c r="D103" s="311">
        <f>Données!Z104</f>
        <v>4869</v>
      </c>
      <c r="E103" s="139">
        <f>VPI!R104</f>
        <v>106003.06099999999</v>
      </c>
      <c r="F103" s="240">
        <f>'Péréquation directe'!K110</f>
        <v>-4102555.0842011091</v>
      </c>
      <c r="G103" s="250">
        <f>PCS!I110</f>
        <v>2401244.9565260247</v>
      </c>
      <c r="H103" s="266">
        <f>Police!L104</f>
        <v>323480.4570459933</v>
      </c>
      <c r="I103" s="350">
        <f t="shared" si="1"/>
        <v>-1377829.6706290911</v>
      </c>
      <c r="J103" s="140"/>
    </row>
    <row r="104" spans="1:10" s="86" customFormat="1" x14ac:dyDescent="0.25">
      <c r="A104" s="304">
        <f>Données!A105</f>
        <v>5571</v>
      </c>
      <c r="B104" s="308" t="str">
        <f>Données!B105</f>
        <v>Tévenon</v>
      </c>
      <c r="C104" s="306">
        <f>VPI!Q105</f>
        <v>71.5</v>
      </c>
      <c r="D104" s="311">
        <f>Données!Z105</f>
        <v>867</v>
      </c>
      <c r="E104" s="139">
        <f>VPI!R105</f>
        <v>25906.923962703961</v>
      </c>
      <c r="F104" s="240">
        <f>'Péréquation directe'!K111</f>
        <v>-102464.17819144402</v>
      </c>
      <c r="G104" s="250">
        <f>PCS!I111</f>
        <v>380543.66121344385</v>
      </c>
      <c r="H104" s="266">
        <f>Police!L105</f>
        <v>78936.268514294483</v>
      </c>
      <c r="I104" s="350">
        <f t="shared" si="1"/>
        <v>357015.75153629429</v>
      </c>
      <c r="J104" s="140"/>
    </row>
    <row r="105" spans="1:10" s="86" customFormat="1" x14ac:dyDescent="0.25">
      <c r="A105" s="304">
        <f>Données!A106</f>
        <v>5581</v>
      </c>
      <c r="B105" s="308" t="str">
        <f>Données!B106</f>
        <v>Belmont-sur-Lausanne</v>
      </c>
      <c r="C105" s="306">
        <f>VPI!Q106</f>
        <v>72</v>
      </c>
      <c r="D105" s="311">
        <f>Données!Z106</f>
        <v>3835</v>
      </c>
      <c r="E105" s="139">
        <f>VPI!R106</f>
        <v>233667.07055555552</v>
      </c>
      <c r="F105" s="240">
        <f>'Péréquation directe'!K112</f>
        <v>2208101.3195590535</v>
      </c>
      <c r="G105" s="250">
        <f>PCS!I112</f>
        <v>4353966.1553163454</v>
      </c>
      <c r="H105" s="266">
        <f>Police!L106</f>
        <v>289941.65533330425</v>
      </c>
      <c r="I105" s="350">
        <f t="shared" si="1"/>
        <v>6852009.1302087028</v>
      </c>
      <c r="J105" s="140"/>
    </row>
    <row r="106" spans="1:10" s="86" customFormat="1" x14ac:dyDescent="0.25">
      <c r="A106" s="304">
        <f>Données!A107</f>
        <v>5582</v>
      </c>
      <c r="B106" s="308" t="str">
        <f>Données!B107</f>
        <v>Cheseaux-sur-Lausanne</v>
      </c>
      <c r="C106" s="306">
        <f>VPI!Q107</f>
        <v>73</v>
      </c>
      <c r="D106" s="311">
        <f>Données!Z107</f>
        <v>4525</v>
      </c>
      <c r="E106" s="139">
        <f>VPI!R107</f>
        <v>170421.56630136984</v>
      </c>
      <c r="F106" s="240">
        <f>'Péréquation directe'!K113</f>
        <v>213965.88327320572</v>
      </c>
      <c r="G106" s="250">
        <f>PCS!I113</f>
        <v>2575940.2872761074</v>
      </c>
      <c r="H106" s="266">
        <f>Police!L107</f>
        <v>521631.98735637439</v>
      </c>
      <c r="I106" s="350">
        <f t="shared" si="1"/>
        <v>3311538.1579056876</v>
      </c>
      <c r="J106" s="140"/>
    </row>
    <row r="107" spans="1:10" s="86" customFormat="1" x14ac:dyDescent="0.25">
      <c r="A107" s="304">
        <f>Données!A108</f>
        <v>5583</v>
      </c>
      <c r="B107" s="308" t="str">
        <f>Données!B108</f>
        <v>Crissier</v>
      </c>
      <c r="C107" s="306">
        <f>VPI!Q108</f>
        <v>63.5</v>
      </c>
      <c r="D107" s="311">
        <f>Données!Z108</f>
        <v>9161</v>
      </c>
      <c r="E107" s="139">
        <f>VPI!R108</f>
        <v>340450.32850393705</v>
      </c>
      <c r="F107" s="240">
        <f>'Péréquation directe'!K114</f>
        <v>-2990376.2937987205</v>
      </c>
      <c r="G107" s="250">
        <f>PCS!I114</f>
        <v>6463557.0911694467</v>
      </c>
      <c r="H107" s="266">
        <f>Police!L108</f>
        <v>422441.77397572057</v>
      </c>
      <c r="I107" s="350">
        <f t="shared" si="1"/>
        <v>3895622.5713464469</v>
      </c>
      <c r="J107" s="140"/>
    </row>
    <row r="108" spans="1:10" s="86" customFormat="1" x14ac:dyDescent="0.25">
      <c r="A108" s="304">
        <f>Données!A109</f>
        <v>5584</v>
      </c>
      <c r="B108" s="308" t="str">
        <f>Données!B109</f>
        <v>Epalinges</v>
      </c>
      <c r="C108" s="306">
        <f>VPI!Q109</f>
        <v>64.5</v>
      </c>
      <c r="D108" s="311">
        <f>Données!Z109</f>
        <v>9825</v>
      </c>
      <c r="E108" s="139">
        <f>VPI!R109</f>
        <v>489743.06325581396</v>
      </c>
      <c r="F108" s="240">
        <f>'Péréquation directe'!K115</f>
        <v>71638.251515099779</v>
      </c>
      <c r="G108" s="250">
        <f>PCS!I115</f>
        <v>8825163.4876215328</v>
      </c>
      <c r="H108" s="266">
        <f>Police!L109</f>
        <v>1474168.8404793523</v>
      </c>
      <c r="I108" s="350">
        <f t="shared" si="1"/>
        <v>10370970.579615984</v>
      </c>
      <c r="J108" s="140"/>
    </row>
    <row r="109" spans="1:10" s="86" customFormat="1" x14ac:dyDescent="0.25">
      <c r="A109" s="304">
        <f>Données!A110</f>
        <v>5585</v>
      </c>
      <c r="B109" s="308" t="str">
        <f>Données!B110</f>
        <v>Jouxtens-Mézery</v>
      </c>
      <c r="C109" s="306">
        <f>VPI!Q110</f>
        <v>59</v>
      </c>
      <c r="D109" s="311">
        <f>Données!Z110</f>
        <v>1468</v>
      </c>
      <c r="E109" s="139">
        <f>VPI!R110</f>
        <v>210572.62440677959</v>
      </c>
      <c r="F109" s="240">
        <f>'Péréquation directe'!K116</f>
        <v>3824937.5185898365</v>
      </c>
      <c r="G109" s="250">
        <f>PCS!I116</f>
        <v>6431430.7855759468</v>
      </c>
      <c r="H109" s="266">
        <f>Police!L110</f>
        <v>390750.19200307789</v>
      </c>
      <c r="I109" s="350">
        <f t="shared" si="1"/>
        <v>10647118.496168863</v>
      </c>
      <c r="J109" s="140"/>
    </row>
    <row r="110" spans="1:10" s="86" customFormat="1" x14ac:dyDescent="0.25">
      <c r="A110" s="304">
        <f>Données!A111</f>
        <v>5586</v>
      </c>
      <c r="B110" s="308" t="str">
        <f>Données!B111</f>
        <v>Lausanne</v>
      </c>
      <c r="C110" s="306">
        <f>VPI!Q111</f>
        <v>78.5</v>
      </c>
      <c r="D110" s="311">
        <f>Données!Z111</f>
        <v>141513</v>
      </c>
      <c r="E110" s="139">
        <f>VPI!R111</f>
        <v>6670835.0290021216</v>
      </c>
      <c r="F110" s="240">
        <f>'Péréquation directe'!K117</f>
        <v>-69926171.246062219</v>
      </c>
      <c r="G110" s="250">
        <f>PCS!I117</f>
        <v>106578434.27141744</v>
      </c>
      <c r="H110" s="266">
        <f>Police!L111</f>
        <v>8277387.7644193405</v>
      </c>
      <c r="I110" s="350">
        <f t="shared" si="1"/>
        <v>44929650.789774559</v>
      </c>
      <c r="J110" s="140"/>
    </row>
    <row r="111" spans="1:10" s="86" customFormat="1" x14ac:dyDescent="0.25">
      <c r="A111" s="304">
        <f>Données!A112</f>
        <v>5587</v>
      </c>
      <c r="B111" s="308" t="str">
        <f>Données!B112</f>
        <v>Le Mont-sur-Lausanne</v>
      </c>
      <c r="C111" s="306">
        <f>VPI!Q112</f>
        <v>73.5</v>
      </c>
      <c r="D111" s="311">
        <f>Données!Z112</f>
        <v>9297</v>
      </c>
      <c r="E111" s="139">
        <f>VPI!R112</f>
        <v>484022.6825170067</v>
      </c>
      <c r="F111" s="240">
        <f>'Péréquation directe'!K118</f>
        <v>2410481.9497978948</v>
      </c>
      <c r="G111" s="250">
        <f>PCS!I118</f>
        <v>8965034.3213823959</v>
      </c>
      <c r="H111" s="266">
        <f>Police!L112</f>
        <v>1420505.7850190685</v>
      </c>
      <c r="I111" s="350">
        <f t="shared" si="1"/>
        <v>12796022.056199359</v>
      </c>
      <c r="J111" s="140"/>
    </row>
    <row r="112" spans="1:10" s="86" customFormat="1" x14ac:dyDescent="0.25">
      <c r="A112" s="304">
        <f>Données!A113</f>
        <v>5588</v>
      </c>
      <c r="B112" s="308" t="str">
        <f>Données!B113</f>
        <v>Paudex</v>
      </c>
      <c r="C112" s="306">
        <f>VPI!Q113</f>
        <v>66.5</v>
      </c>
      <c r="D112" s="311">
        <f>Données!Z113</f>
        <v>1550</v>
      </c>
      <c r="E112" s="139">
        <f>VPI!R113</f>
        <v>137544.82844253487</v>
      </c>
      <c r="F112" s="240">
        <f>'Péréquation directe'!K119</f>
        <v>2363217.5819076379</v>
      </c>
      <c r="G112" s="250">
        <f>PCS!I119</f>
        <v>3350810.0468021664</v>
      </c>
      <c r="H112" s="266">
        <f>Police!L113</f>
        <v>170670.06979779911</v>
      </c>
      <c r="I112" s="350">
        <f t="shared" si="1"/>
        <v>5884697.6985076033</v>
      </c>
      <c r="J112" s="140"/>
    </row>
    <row r="113" spans="1:10" s="86" customFormat="1" x14ac:dyDescent="0.25">
      <c r="A113" s="304">
        <f>Données!A114</f>
        <v>5589</v>
      </c>
      <c r="B113" s="308" t="str">
        <f>Données!B114</f>
        <v>Prilly</v>
      </c>
      <c r="C113" s="306">
        <f>VPI!Q114</f>
        <v>72.5</v>
      </c>
      <c r="D113" s="311">
        <f>Données!Z114</f>
        <v>12318</v>
      </c>
      <c r="E113" s="139">
        <f>VPI!R114</f>
        <v>404173.00015915121</v>
      </c>
      <c r="F113" s="240">
        <f>'Péréquation directe'!K120</f>
        <v>-6796919.7343278555</v>
      </c>
      <c r="G113" s="250">
        <f>PCS!I120</f>
        <v>6795978.0839818399</v>
      </c>
      <c r="H113" s="266">
        <f>Police!L114</f>
        <v>501510.9250462848</v>
      </c>
      <c r="I113" s="350">
        <f t="shared" si="1"/>
        <v>500569.27470026922</v>
      </c>
      <c r="J113" s="140"/>
    </row>
    <row r="114" spans="1:10" s="86" customFormat="1" x14ac:dyDescent="0.25">
      <c r="A114" s="304">
        <f>Données!A115</f>
        <v>5590</v>
      </c>
      <c r="B114" s="308" t="str">
        <f>Données!B115</f>
        <v>Pully</v>
      </c>
      <c r="C114" s="306">
        <f>VPI!Q115</f>
        <v>61</v>
      </c>
      <c r="D114" s="311">
        <f>Données!Z115</f>
        <v>19005</v>
      </c>
      <c r="E114" s="139">
        <f>VPI!R115</f>
        <v>1396409.3683606556</v>
      </c>
      <c r="F114" s="240">
        <f>'Péréquation directe'!K121</f>
        <v>8269418.3332354538</v>
      </c>
      <c r="G114" s="250">
        <f>PCS!I121</f>
        <v>29866058.971306089</v>
      </c>
      <c r="H114" s="266">
        <f>Police!L115</f>
        <v>1732709.888572685</v>
      </c>
      <c r="I114" s="350">
        <f t="shared" si="1"/>
        <v>39868187.193114229</v>
      </c>
      <c r="J114" s="140"/>
    </row>
    <row r="115" spans="1:10" s="86" customFormat="1" x14ac:dyDescent="0.25">
      <c r="A115" s="304">
        <f>Données!A116</f>
        <v>5591</v>
      </c>
      <c r="B115" s="308" t="str">
        <f>Données!B116</f>
        <v>Renens</v>
      </c>
      <c r="C115" s="306">
        <f>VPI!Q116</f>
        <v>77</v>
      </c>
      <c r="D115" s="311">
        <f>Données!Z116</f>
        <v>21116</v>
      </c>
      <c r="E115" s="139">
        <f>VPI!R116</f>
        <v>592837.71432282007</v>
      </c>
      <c r="F115" s="240">
        <f>'Péréquation directe'!K122</f>
        <v>-22707465.590219494</v>
      </c>
      <c r="G115" s="250">
        <f>PCS!I122</f>
        <v>10357581.986091323</v>
      </c>
      <c r="H115" s="266">
        <f>Police!L116</f>
        <v>735612.20169404952</v>
      </c>
      <c r="I115" s="350">
        <f t="shared" si="1"/>
        <v>-11614271.402434122</v>
      </c>
      <c r="J115" s="140"/>
    </row>
    <row r="116" spans="1:10" s="86" customFormat="1" x14ac:dyDescent="0.25">
      <c r="A116" s="304">
        <f>Données!A117</f>
        <v>5592</v>
      </c>
      <c r="B116" s="308" t="str">
        <f>Données!B117</f>
        <v>Romanel-sur-Lausanne</v>
      </c>
      <c r="C116" s="306">
        <f>VPI!Q117</f>
        <v>70.5</v>
      </c>
      <c r="D116" s="311">
        <f>Données!Z117</f>
        <v>3798</v>
      </c>
      <c r="E116" s="139">
        <f>VPI!R117</f>
        <v>113600.3384397163</v>
      </c>
      <c r="F116" s="240">
        <f>'Péréquation directe'!K123</f>
        <v>-738368.602726785</v>
      </c>
      <c r="G116" s="250">
        <f>PCS!I123</f>
        <v>2203819.6143238051</v>
      </c>
      <c r="H116" s="266">
        <f>Police!L117</f>
        <v>340422.55463210528</v>
      </c>
      <c r="I116" s="350">
        <f t="shared" si="1"/>
        <v>1805873.5662291255</v>
      </c>
      <c r="J116" s="140"/>
    </row>
    <row r="117" spans="1:10" s="86" customFormat="1" x14ac:dyDescent="0.25">
      <c r="A117" s="304">
        <f>Données!A118</f>
        <v>5601</v>
      </c>
      <c r="B117" s="308" t="str">
        <f>Données!B118</f>
        <v>Chexbres</v>
      </c>
      <c r="C117" s="306">
        <f>VPI!Q118</f>
        <v>67.5</v>
      </c>
      <c r="D117" s="311">
        <f>Données!Z118</f>
        <v>2204</v>
      </c>
      <c r="E117" s="139">
        <f>VPI!R118</f>
        <v>106014.1851851852</v>
      </c>
      <c r="F117" s="240">
        <f>'Péréquation directe'!K124</f>
        <v>1154098.8687060853</v>
      </c>
      <c r="G117" s="250">
        <f>PCS!I124</f>
        <v>1790442.1300433641</v>
      </c>
      <c r="H117" s="266">
        <f>Police!L118</f>
        <v>131545.8282946033</v>
      </c>
      <c r="I117" s="350">
        <f t="shared" si="1"/>
        <v>3076086.8270440525</v>
      </c>
      <c r="J117" s="140"/>
    </row>
    <row r="118" spans="1:10" s="86" customFormat="1" x14ac:dyDescent="0.25">
      <c r="A118" s="304">
        <f>Données!A119</f>
        <v>5604</v>
      </c>
      <c r="B118" s="308" t="str">
        <f>Données!B119</f>
        <v>Forel (Lavaux)</v>
      </c>
      <c r="C118" s="306">
        <f>VPI!Q119</f>
        <v>69</v>
      </c>
      <c r="D118" s="311">
        <f>Données!Z119</f>
        <v>2067</v>
      </c>
      <c r="E118" s="139">
        <f>VPI!R119</f>
        <v>70958.245217391304</v>
      </c>
      <c r="F118" s="240">
        <f>'Péréquation directe'!K125</f>
        <v>-83588.694971107878</v>
      </c>
      <c r="G118" s="250">
        <f>PCS!I125</f>
        <v>1115278.9086995665</v>
      </c>
      <c r="H118" s="266">
        <f>Police!L119</f>
        <v>216872.72727299086</v>
      </c>
      <c r="I118" s="350">
        <f t="shared" si="1"/>
        <v>1248562.9410014495</v>
      </c>
      <c r="J118" s="140"/>
    </row>
    <row r="119" spans="1:10" s="86" customFormat="1" x14ac:dyDescent="0.25">
      <c r="A119" s="304">
        <f>Données!A120</f>
        <v>5606</v>
      </c>
      <c r="B119" s="308" t="str">
        <f>Données!B120</f>
        <v>Lutry</v>
      </c>
      <c r="C119" s="306">
        <f>VPI!Q120</f>
        <v>54</v>
      </c>
      <c r="D119" s="311">
        <f>Données!Z120</f>
        <v>10713</v>
      </c>
      <c r="E119" s="139">
        <f>VPI!R120</f>
        <v>1017485.9645767196</v>
      </c>
      <c r="F119" s="240">
        <f>'Péréquation directe'!K126</f>
        <v>12044951.640822321</v>
      </c>
      <c r="G119" s="250">
        <f>PCS!I126</f>
        <v>24893155.409536242</v>
      </c>
      <c r="H119" s="266">
        <f>Police!L120</f>
        <v>1262529.4789992131</v>
      </c>
      <c r="I119" s="350">
        <f t="shared" si="1"/>
        <v>38200636.529357776</v>
      </c>
      <c r="J119" s="140"/>
    </row>
    <row r="120" spans="1:10" s="86" customFormat="1" x14ac:dyDescent="0.25">
      <c r="A120" s="304">
        <f>Données!A121</f>
        <v>5607</v>
      </c>
      <c r="B120" s="308" t="str">
        <f>Données!B121</f>
        <v>Puidoux</v>
      </c>
      <c r="C120" s="306">
        <f>VPI!Q121</f>
        <v>68.5</v>
      </c>
      <c r="D120" s="311">
        <f>Données!Z121</f>
        <v>2991</v>
      </c>
      <c r="E120" s="139">
        <f>VPI!R121</f>
        <v>117488.86391621709</v>
      </c>
      <c r="F120" s="240">
        <f>'Péréquation directe'!K127</f>
        <v>-98796.622046491597</v>
      </c>
      <c r="G120" s="250">
        <f>PCS!I127</f>
        <v>2145384.4094303939</v>
      </c>
      <c r="H120" s="266">
        <f>Police!L121</f>
        <v>145783.98062724975</v>
      </c>
      <c r="I120" s="350">
        <f t="shared" si="1"/>
        <v>2192371.7680111523</v>
      </c>
      <c r="J120" s="140"/>
    </row>
    <row r="121" spans="1:10" s="86" customFormat="1" x14ac:dyDescent="0.25">
      <c r="A121" s="304">
        <f>Données!A122</f>
        <v>5609</v>
      </c>
      <c r="B121" s="308" t="str">
        <f>Données!B122</f>
        <v>Rivaz</v>
      </c>
      <c r="C121" s="306">
        <f>VPI!Q122</f>
        <v>62</v>
      </c>
      <c r="D121" s="311">
        <f>Données!Z122</f>
        <v>332</v>
      </c>
      <c r="E121" s="139">
        <f>VPI!R122</f>
        <v>14930.074677419358</v>
      </c>
      <c r="F121" s="240">
        <f>'Péréquation directe'!K128</f>
        <v>159753.7654847395</v>
      </c>
      <c r="G121" s="250">
        <f>PCS!I128</f>
        <v>257188.48427790491</v>
      </c>
      <c r="H121" s="266">
        <f>Police!L122</f>
        <v>18525.719331905653</v>
      </c>
      <c r="I121" s="350">
        <f t="shared" si="1"/>
        <v>435467.96909455006</v>
      </c>
      <c r="J121" s="140"/>
    </row>
    <row r="122" spans="1:10" s="86" customFormat="1" x14ac:dyDescent="0.25">
      <c r="A122" s="304">
        <f>Données!A123</f>
        <v>5610</v>
      </c>
      <c r="B122" s="308" t="str">
        <f>Données!B123</f>
        <v>St-Saphorin (Lavaux)</v>
      </c>
      <c r="C122" s="306">
        <f>VPI!Q123</f>
        <v>72</v>
      </c>
      <c r="D122" s="311">
        <f>Données!Z123</f>
        <v>402</v>
      </c>
      <c r="E122" s="139">
        <f>VPI!R123</f>
        <v>21326.365740740741</v>
      </c>
      <c r="F122" s="240">
        <f>'Péréquation directe'!K129</f>
        <v>358372.76535761351</v>
      </c>
      <c r="G122" s="250">
        <f>PCS!I129</f>
        <v>333814.24427525554</v>
      </c>
      <c r="H122" s="266">
        <f>Police!L123</f>
        <v>26462.444068017299</v>
      </c>
      <c r="I122" s="350">
        <f t="shared" si="1"/>
        <v>718649.45370088634</v>
      </c>
      <c r="J122" s="140"/>
    </row>
    <row r="123" spans="1:10" s="86" customFormat="1" x14ac:dyDescent="0.25">
      <c r="A123" s="304">
        <f>Données!A124</f>
        <v>5611</v>
      </c>
      <c r="B123" s="308" t="str">
        <f>Données!B124</f>
        <v>Savigny</v>
      </c>
      <c r="C123" s="306">
        <f>VPI!Q124</f>
        <v>69</v>
      </c>
      <c r="D123" s="311">
        <f>Données!Z124</f>
        <v>3421</v>
      </c>
      <c r="E123" s="139">
        <f>VPI!R124</f>
        <v>139625.83456521737</v>
      </c>
      <c r="F123" s="240">
        <f>'Péréquation directe'!K130</f>
        <v>437722.83303224947</v>
      </c>
      <c r="G123" s="250">
        <f>PCS!I130</f>
        <v>2201394.4170110044</v>
      </c>
      <c r="H123" s="266">
        <f>Police!L124</f>
        <v>173252.24947136099</v>
      </c>
      <c r="I123" s="350">
        <f t="shared" si="1"/>
        <v>2812369.4995146147</v>
      </c>
      <c r="J123" s="140"/>
    </row>
    <row r="124" spans="1:10" s="86" customFormat="1" x14ac:dyDescent="0.25">
      <c r="A124" s="304">
        <f>Données!A125</f>
        <v>5613</v>
      </c>
      <c r="B124" s="308" t="str">
        <f>Données!B125</f>
        <v>Bourg-en-Lavaux</v>
      </c>
      <c r="C124" s="306">
        <f>VPI!Q125</f>
        <v>62.5</v>
      </c>
      <c r="D124" s="311">
        <f>Données!Z125</f>
        <v>5389</v>
      </c>
      <c r="E124" s="139">
        <f>VPI!R125</f>
        <v>367203.96533333336</v>
      </c>
      <c r="F124" s="240">
        <f>'Péréquation directe'!K131</f>
        <v>5038636.3950081533</v>
      </c>
      <c r="G124" s="250">
        <f>PCS!I131</f>
        <v>7501945.6239280831</v>
      </c>
      <c r="H124" s="266">
        <f>Police!L125</f>
        <v>455638.55146798148</v>
      </c>
      <c r="I124" s="350">
        <f t="shared" si="1"/>
        <v>12996220.570404217</v>
      </c>
      <c r="J124" s="140"/>
    </row>
    <row r="125" spans="1:10" s="86" customFormat="1" x14ac:dyDescent="0.25">
      <c r="A125" s="304">
        <f>Données!A126</f>
        <v>5621</v>
      </c>
      <c r="B125" s="308" t="str">
        <f>Données!B126</f>
        <v>Aclens</v>
      </c>
      <c r="C125" s="306">
        <f>VPI!Q126</f>
        <v>62</v>
      </c>
      <c r="D125" s="311">
        <f>Données!Z126</f>
        <v>557</v>
      </c>
      <c r="E125" s="139">
        <f>VPI!R126</f>
        <v>39195.040043988265</v>
      </c>
      <c r="F125" s="240">
        <f>'Péréquation directe'!K132</f>
        <v>695305.29845766502</v>
      </c>
      <c r="G125" s="250">
        <f>PCS!I132</f>
        <v>860456.80207046098</v>
      </c>
      <c r="H125" s="266">
        <f>Police!L126</f>
        <v>97757.043486087612</v>
      </c>
      <c r="I125" s="350">
        <f t="shared" si="1"/>
        <v>1653519.1440142137</v>
      </c>
      <c r="J125" s="140"/>
    </row>
    <row r="126" spans="1:10" s="86" customFormat="1" x14ac:dyDescent="0.25">
      <c r="A126" s="304">
        <f>Données!A127</f>
        <v>5622</v>
      </c>
      <c r="B126" s="308" t="str">
        <f>Données!B127</f>
        <v>Bremblens</v>
      </c>
      <c r="C126" s="306">
        <f>VPI!Q127</f>
        <v>68</v>
      </c>
      <c r="D126" s="311">
        <f>Données!Z127</f>
        <v>604</v>
      </c>
      <c r="E126" s="139">
        <f>VPI!R127</f>
        <v>30851.898676470591</v>
      </c>
      <c r="F126" s="240">
        <f>'Péréquation directe'!K133</f>
        <v>525585.37134134758</v>
      </c>
      <c r="G126" s="250">
        <f>PCS!I133</f>
        <v>569605.0372436262</v>
      </c>
      <c r="H126" s="266">
        <f>Police!L127</f>
        <v>91549.596451188074</v>
      </c>
      <c r="I126" s="350">
        <f t="shared" si="1"/>
        <v>1186740.0050361617</v>
      </c>
      <c r="J126" s="140"/>
    </row>
    <row r="127" spans="1:10" s="86" customFormat="1" x14ac:dyDescent="0.25">
      <c r="A127" s="304">
        <f>Données!A128</f>
        <v>5623</v>
      </c>
      <c r="B127" s="308" t="str">
        <f>Données!B128</f>
        <v>Buchillon</v>
      </c>
      <c r="C127" s="306">
        <f>VPI!Q128</f>
        <v>52</v>
      </c>
      <c r="D127" s="311">
        <f>Données!Z128</f>
        <v>670</v>
      </c>
      <c r="E127" s="139">
        <f>VPI!R128</f>
        <v>88400.607692307691</v>
      </c>
      <c r="F127" s="240">
        <f>'Péréquation directe'!K134</f>
        <v>1645088.5413895648</v>
      </c>
      <c r="G127" s="250">
        <f>PCS!I134</f>
        <v>2375561.2953324616</v>
      </c>
      <c r="H127" s="266">
        <f>Police!L128</f>
        <v>109690.33191471375</v>
      </c>
      <c r="I127" s="350">
        <f t="shared" si="1"/>
        <v>4130340.1686367402</v>
      </c>
      <c r="J127" s="140"/>
    </row>
    <row r="128" spans="1:10" s="86" customFormat="1" x14ac:dyDescent="0.25">
      <c r="A128" s="304">
        <f>Données!A129</f>
        <v>5624</v>
      </c>
      <c r="B128" s="308" t="str">
        <f>Données!B129</f>
        <v>Bussigny</v>
      </c>
      <c r="C128" s="306">
        <f>VPI!Q129</f>
        <v>62.5</v>
      </c>
      <c r="D128" s="311">
        <f>Données!Z129</f>
        <v>10392</v>
      </c>
      <c r="E128" s="139">
        <f>VPI!R129</f>
        <v>394274.86895999993</v>
      </c>
      <c r="F128" s="240">
        <f>'Péréquation directe'!K135</f>
        <v>-2182347.2739237668</v>
      </c>
      <c r="G128" s="250">
        <f>PCS!I135</f>
        <v>6463148.1339919511</v>
      </c>
      <c r="H128" s="266">
        <f>Police!L129</f>
        <v>489229.00385916652</v>
      </c>
      <c r="I128" s="350">
        <f t="shared" si="1"/>
        <v>4770029.8639273513</v>
      </c>
      <c r="J128" s="140"/>
    </row>
    <row r="129" spans="1:10" s="86" customFormat="1" x14ac:dyDescent="0.25">
      <c r="A129" s="304">
        <f>Données!A130</f>
        <v>5627</v>
      </c>
      <c r="B129" s="308" t="str">
        <f>Données!B130</f>
        <v>Chavannes-près-Renens</v>
      </c>
      <c r="C129" s="306">
        <f>VPI!Q130</f>
        <v>77.5</v>
      </c>
      <c r="D129" s="311">
        <f>Données!Z130</f>
        <v>8725</v>
      </c>
      <c r="E129" s="139">
        <f>VPI!R130</f>
        <v>188678.11200000002</v>
      </c>
      <c r="F129" s="240">
        <f>'Péréquation directe'!K136</f>
        <v>-7543387.2642443106</v>
      </c>
      <c r="G129" s="250">
        <f>PCS!I136</f>
        <v>3350591.0729665547</v>
      </c>
      <c r="H129" s="266">
        <f>Police!L130</f>
        <v>234117.90111622101</v>
      </c>
      <c r="I129" s="350">
        <f t="shared" si="1"/>
        <v>-3958678.2901615347</v>
      </c>
      <c r="J129" s="140"/>
    </row>
    <row r="130" spans="1:10" s="86" customFormat="1" x14ac:dyDescent="0.25">
      <c r="A130" s="304">
        <f>Données!A131</f>
        <v>5628</v>
      </c>
      <c r="B130" s="308" t="str">
        <f>Données!B131</f>
        <v>Chigny</v>
      </c>
      <c r="C130" s="306">
        <f>VPI!Q131</f>
        <v>62</v>
      </c>
      <c r="D130" s="311">
        <f>Données!Z131</f>
        <v>419</v>
      </c>
      <c r="E130" s="139">
        <f>VPI!R131</f>
        <v>27627.246129032257</v>
      </c>
      <c r="F130" s="240">
        <f>'Péréquation directe'!K137</f>
        <v>486635.65018334234</v>
      </c>
      <c r="G130" s="250">
        <f>PCS!I137</f>
        <v>559761.1558891657</v>
      </c>
      <c r="H130" s="266">
        <f>Police!L131</f>
        <v>71232.947317882805</v>
      </c>
      <c r="I130" s="350">
        <f t="shared" si="1"/>
        <v>1117629.7533903909</v>
      </c>
      <c r="J130" s="140"/>
    </row>
    <row r="131" spans="1:10" s="86" customFormat="1" x14ac:dyDescent="0.25">
      <c r="A131" s="304">
        <f>Données!A132</f>
        <v>5629</v>
      </c>
      <c r="B131" s="308" t="str">
        <f>Données!B132</f>
        <v>Clarmont</v>
      </c>
      <c r="C131" s="306">
        <f>VPI!Q132</f>
        <v>72</v>
      </c>
      <c r="D131" s="311">
        <f>Données!Z132</f>
        <v>213</v>
      </c>
      <c r="E131" s="139">
        <f>VPI!R132</f>
        <v>9964.5079166666674</v>
      </c>
      <c r="F131" s="240">
        <f>'Péréquation directe'!K138</f>
        <v>109568.52114590182</v>
      </c>
      <c r="G131" s="250">
        <f>PCS!I138</f>
        <v>140605.65448363216</v>
      </c>
      <c r="H131" s="266">
        <f>Police!L132</f>
        <v>31149.036800131944</v>
      </c>
      <c r="I131" s="350">
        <f t="shared" si="1"/>
        <v>281323.2124296659</v>
      </c>
      <c r="J131" s="140"/>
    </row>
    <row r="132" spans="1:10" s="86" customFormat="1" x14ac:dyDescent="0.25">
      <c r="A132" s="304">
        <f>Données!A133</f>
        <v>5631</v>
      </c>
      <c r="B132" s="308" t="str">
        <f>Données!B133</f>
        <v>Denens</v>
      </c>
      <c r="C132" s="306">
        <f>VPI!Q133</f>
        <v>68</v>
      </c>
      <c r="D132" s="311">
        <f>Données!Z133</f>
        <v>715</v>
      </c>
      <c r="E132" s="139">
        <f>VPI!R133</f>
        <v>41714.033529411769</v>
      </c>
      <c r="F132" s="240">
        <f>'Péréquation directe'!K139</f>
        <v>723962.95953647746</v>
      </c>
      <c r="G132" s="250">
        <f>PCS!I139</f>
        <v>766626.36584240198</v>
      </c>
      <c r="H132" s="266">
        <f>Police!L133</f>
        <v>114816.92213893833</v>
      </c>
      <c r="I132" s="350">
        <f t="shared" si="1"/>
        <v>1605406.2475178177</v>
      </c>
      <c r="J132" s="140"/>
    </row>
    <row r="133" spans="1:10" s="86" customFormat="1" x14ac:dyDescent="0.25">
      <c r="A133" s="304">
        <f>Données!A134</f>
        <v>5632</v>
      </c>
      <c r="B133" s="308" t="str">
        <f>Données!B134</f>
        <v>Denges</v>
      </c>
      <c r="C133" s="306">
        <f>VPI!Q134</f>
        <v>62</v>
      </c>
      <c r="D133" s="311">
        <f>Données!Z134</f>
        <v>1778</v>
      </c>
      <c r="E133" s="139">
        <f>VPI!R134</f>
        <v>81638.998870967742</v>
      </c>
      <c r="F133" s="240">
        <f>'Péréquation directe'!K140</f>
        <v>956852.5101314676</v>
      </c>
      <c r="G133" s="250">
        <f>PCS!I140</f>
        <v>1359760.3835896291</v>
      </c>
      <c r="H133" s="266">
        <f>Police!L134</f>
        <v>250985.37619092339</v>
      </c>
      <c r="I133" s="350">
        <f t="shared" si="1"/>
        <v>2567598.2699120203</v>
      </c>
      <c r="J133" s="140"/>
    </row>
    <row r="134" spans="1:10" s="86" customFormat="1" x14ac:dyDescent="0.25">
      <c r="A134" s="304">
        <f>Données!A135</f>
        <v>5633</v>
      </c>
      <c r="B134" s="308" t="str">
        <f>Données!B135</f>
        <v>Echandens</v>
      </c>
      <c r="C134" s="306">
        <f>VPI!Q135</f>
        <v>60.5</v>
      </c>
      <c r="D134" s="311">
        <f>Données!Z135</f>
        <v>2891</v>
      </c>
      <c r="E134" s="139">
        <f>VPI!R135</f>
        <v>149828.14198347108</v>
      </c>
      <c r="F134" s="240">
        <f>'Péréquation directe'!K141</f>
        <v>1272183.0180766704</v>
      </c>
      <c r="G134" s="250">
        <f>PCS!I141</f>
        <v>2565082.0533627272</v>
      </c>
      <c r="H134" s="266">
        <f>Police!L135</f>
        <v>440872.73664238892</v>
      </c>
      <c r="I134" s="350">
        <f t="shared" ref="I134:I197" si="2">SUM(F134:H134)</f>
        <v>4278137.8080817861</v>
      </c>
      <c r="J134" s="140"/>
    </row>
    <row r="135" spans="1:10" s="86" customFormat="1" x14ac:dyDescent="0.25">
      <c r="A135" s="304">
        <f>Données!A136</f>
        <v>5634</v>
      </c>
      <c r="B135" s="308" t="str">
        <f>Données!B136</f>
        <v>Echichens</v>
      </c>
      <c r="C135" s="306">
        <f>VPI!Q136</f>
        <v>66</v>
      </c>
      <c r="D135" s="311">
        <f>Données!Z136</f>
        <v>3211</v>
      </c>
      <c r="E135" s="139">
        <f>VPI!R136</f>
        <v>183136.60893939398</v>
      </c>
      <c r="F135" s="240">
        <f>'Péréquation directe'!K142</f>
        <v>2550528.796567807</v>
      </c>
      <c r="G135" s="250">
        <f>PCS!I142</f>
        <v>3596430.6908704145</v>
      </c>
      <c r="H135" s="266">
        <f>Police!L136</f>
        <v>510424.18478470197</v>
      </c>
      <c r="I135" s="350">
        <f t="shared" si="2"/>
        <v>6657383.6722229235</v>
      </c>
      <c r="J135" s="140"/>
    </row>
    <row r="136" spans="1:10" s="86" customFormat="1" x14ac:dyDescent="0.25">
      <c r="A136" s="304">
        <f>Données!A137</f>
        <v>5635</v>
      </c>
      <c r="B136" s="308" t="str">
        <f>Données!B137</f>
        <v>Ecublens</v>
      </c>
      <c r="C136" s="306">
        <f>VPI!Q137</f>
        <v>62.5</v>
      </c>
      <c r="D136" s="311">
        <f>Données!Z137</f>
        <v>13129</v>
      </c>
      <c r="E136" s="139">
        <f>VPI!R137</f>
        <v>516098.45949333342</v>
      </c>
      <c r="F136" s="240">
        <f>'Péréquation directe'!K143</f>
        <v>-3628616.2197668795</v>
      </c>
      <c r="G136" s="250">
        <f>PCS!I143</f>
        <v>8737752.8818665594</v>
      </c>
      <c r="H136" s="266">
        <f>Police!L137</f>
        <v>640391.65340966638</v>
      </c>
      <c r="I136" s="350">
        <f t="shared" si="2"/>
        <v>5749528.3155093463</v>
      </c>
      <c r="J136" s="140"/>
    </row>
    <row r="137" spans="1:10" s="86" customFormat="1" x14ac:dyDescent="0.25">
      <c r="A137" s="304">
        <f>Données!A138</f>
        <v>5636</v>
      </c>
      <c r="B137" s="308" t="str">
        <f>Données!B138</f>
        <v>Etoy</v>
      </c>
      <c r="C137" s="306">
        <f>VPI!Q138</f>
        <v>60</v>
      </c>
      <c r="D137" s="311">
        <f>Données!Z138</f>
        <v>2938</v>
      </c>
      <c r="E137" s="139">
        <f>VPI!R138</f>
        <v>189426.47833333336</v>
      </c>
      <c r="F137" s="240">
        <f>'Péréquation directe'!K144</f>
        <v>2870534.9926266745</v>
      </c>
      <c r="G137" s="250">
        <f>PCS!I144</f>
        <v>3999255.4663687916</v>
      </c>
      <c r="H137" s="266">
        <f>Police!L138</f>
        <v>494152.62505211728</v>
      </c>
      <c r="I137" s="350">
        <f t="shared" si="2"/>
        <v>7363943.0840475839</v>
      </c>
      <c r="J137" s="140"/>
    </row>
    <row r="138" spans="1:10" s="86" customFormat="1" x14ac:dyDescent="0.25">
      <c r="A138" s="304">
        <f>Données!A139</f>
        <v>5637</v>
      </c>
      <c r="B138" s="308" t="str">
        <f>Données!B139</f>
        <v>Lavigny</v>
      </c>
      <c r="C138" s="306">
        <f>VPI!Q139</f>
        <v>73</v>
      </c>
      <c r="D138" s="311">
        <f>Données!Z139</f>
        <v>1038</v>
      </c>
      <c r="E138" s="139">
        <f>VPI!R139</f>
        <v>36293.251369863014</v>
      </c>
      <c r="F138" s="240">
        <f>'Péréquation directe'!K145</f>
        <v>11522.408708982402</v>
      </c>
      <c r="G138" s="250">
        <f>PCS!I145</f>
        <v>646557.49862084584</v>
      </c>
      <c r="H138" s="266">
        <f>Police!L139</f>
        <v>111920.82592022157</v>
      </c>
      <c r="I138" s="350">
        <f t="shared" si="2"/>
        <v>770000.73325004987</v>
      </c>
      <c r="J138" s="140"/>
    </row>
    <row r="139" spans="1:10" s="86" customFormat="1" x14ac:dyDescent="0.25">
      <c r="A139" s="304">
        <f>Données!A140</f>
        <v>5638</v>
      </c>
      <c r="B139" s="308" t="str">
        <f>Données!B140</f>
        <v>Lonay</v>
      </c>
      <c r="C139" s="306">
        <f>VPI!Q140</f>
        <v>55</v>
      </c>
      <c r="D139" s="311">
        <f>Données!Z140</f>
        <v>2675</v>
      </c>
      <c r="E139" s="139">
        <f>VPI!R140</f>
        <v>153885.49272727271</v>
      </c>
      <c r="F139" s="240">
        <f>'Péréquation directe'!K146</f>
        <v>1781809.3394228134</v>
      </c>
      <c r="G139" s="250">
        <f>PCS!I146</f>
        <v>5354294.2762010815</v>
      </c>
      <c r="H139" s="266">
        <f>Police!L140</f>
        <v>426857.90138950926</v>
      </c>
      <c r="I139" s="350">
        <f t="shared" si="2"/>
        <v>7562961.5170134045</v>
      </c>
      <c r="J139" s="140"/>
    </row>
    <row r="140" spans="1:10" s="86" customFormat="1" x14ac:dyDescent="0.25">
      <c r="A140" s="304">
        <f>Données!A141</f>
        <v>5639</v>
      </c>
      <c r="B140" s="308" t="str">
        <f>Données!B141</f>
        <v>Lully</v>
      </c>
      <c r="C140" s="306">
        <f>VPI!Q141</f>
        <v>61</v>
      </c>
      <c r="D140" s="311">
        <f>Données!Z141</f>
        <v>825</v>
      </c>
      <c r="E140" s="139">
        <f>VPI!R141</f>
        <v>52241.230983606554</v>
      </c>
      <c r="F140" s="240">
        <f>'Péréquation directe'!K147</f>
        <v>915905.74262261565</v>
      </c>
      <c r="G140" s="250">
        <f>PCS!I147</f>
        <v>954438.22575470852</v>
      </c>
      <c r="H140" s="266">
        <f>Police!L141</f>
        <v>137580.45534443608</v>
      </c>
      <c r="I140" s="350">
        <f t="shared" si="2"/>
        <v>2007924.4237217603</v>
      </c>
      <c r="J140" s="140"/>
    </row>
    <row r="141" spans="1:10" s="86" customFormat="1" x14ac:dyDescent="0.25">
      <c r="A141" s="304">
        <f>Données!A142</f>
        <v>5640</v>
      </c>
      <c r="B141" s="308" t="str">
        <f>Données!B142</f>
        <v>Lussy-sur-Morges</v>
      </c>
      <c r="C141" s="306">
        <f>VPI!Q142</f>
        <v>64.5</v>
      </c>
      <c r="D141" s="311">
        <f>Données!Z142</f>
        <v>730</v>
      </c>
      <c r="E141" s="139">
        <f>VPI!R142</f>
        <v>57770.543875968993</v>
      </c>
      <c r="F141" s="240">
        <f>'Péréquation directe'!K148</f>
        <v>1036760.3748612895</v>
      </c>
      <c r="G141" s="250">
        <f>PCS!I148</f>
        <v>1399494.9925720869</v>
      </c>
      <c r="H141" s="266">
        <f>Police!L142</f>
        <v>71683.558496623154</v>
      </c>
      <c r="I141" s="350">
        <f t="shared" si="2"/>
        <v>2507938.9259299999</v>
      </c>
      <c r="J141" s="140"/>
    </row>
    <row r="142" spans="1:10" s="86" customFormat="1" x14ac:dyDescent="0.25">
      <c r="A142" s="304">
        <f>Données!A143</f>
        <v>5642</v>
      </c>
      <c r="B142" s="308" t="str">
        <f>Données!B143</f>
        <v>Morges</v>
      </c>
      <c r="C142" s="306">
        <f>VPI!Q143</f>
        <v>67</v>
      </c>
      <c r="D142" s="311">
        <f>Données!Z143</f>
        <v>17530</v>
      </c>
      <c r="E142" s="139">
        <f>VPI!R143</f>
        <v>920688.7619402986</v>
      </c>
      <c r="F142" s="240">
        <f>'Péréquation directe'!K149</f>
        <v>3350794.6737710834</v>
      </c>
      <c r="G142" s="250">
        <f>PCS!I149</f>
        <v>16129945.970728921</v>
      </c>
      <c r="H142" s="266">
        <f>Police!L143</f>
        <v>1142420.3806255744</v>
      </c>
      <c r="I142" s="350">
        <f t="shared" si="2"/>
        <v>20623161.025125578</v>
      </c>
      <c r="J142" s="140"/>
    </row>
    <row r="143" spans="1:10" s="86" customFormat="1" x14ac:dyDescent="0.25">
      <c r="A143" s="304">
        <f>Données!A144</f>
        <v>5643</v>
      </c>
      <c r="B143" s="308" t="str">
        <f>Données!B144</f>
        <v>Préverenges</v>
      </c>
      <c r="C143" s="306">
        <f>VPI!Q144</f>
        <v>62.5</v>
      </c>
      <c r="D143" s="311">
        <f>Données!Z144</f>
        <v>5209</v>
      </c>
      <c r="E143" s="139">
        <f>VPI!R144</f>
        <v>252718.14639999994</v>
      </c>
      <c r="F143" s="240">
        <f>'Péréquation directe'!K150</f>
        <v>2907630.1409950387</v>
      </c>
      <c r="G143" s="250">
        <f>PCS!I150</f>
        <v>3814561.1349742431</v>
      </c>
      <c r="H143" s="266">
        <f>Police!L144</f>
        <v>313580.84614048846</v>
      </c>
      <c r="I143" s="350">
        <f t="shared" si="2"/>
        <v>7035772.1221097698</v>
      </c>
      <c r="J143" s="140"/>
    </row>
    <row r="144" spans="1:10" s="86" customFormat="1" x14ac:dyDescent="0.25">
      <c r="A144" s="304">
        <f>Données!A145</f>
        <v>5645</v>
      </c>
      <c r="B144" s="308" t="str">
        <f>Données!B145</f>
        <v>Romanel-sur-Morges</v>
      </c>
      <c r="C144" s="306">
        <f>VPI!Q145</f>
        <v>56</v>
      </c>
      <c r="D144" s="311">
        <f>Données!Z145</f>
        <v>458</v>
      </c>
      <c r="E144" s="139">
        <f>VPI!R145</f>
        <v>23767.8325</v>
      </c>
      <c r="F144" s="240">
        <f>'Péréquation directe'!K151</f>
        <v>378795.77556290495</v>
      </c>
      <c r="G144" s="250">
        <f>PCS!I151</f>
        <v>378931.62310470839</v>
      </c>
      <c r="H144" s="266">
        <f>Police!L145</f>
        <v>69883.523976689918</v>
      </c>
      <c r="I144" s="350">
        <f t="shared" si="2"/>
        <v>827610.92264430318</v>
      </c>
      <c r="J144" s="140"/>
    </row>
    <row r="145" spans="1:10" s="86" customFormat="1" x14ac:dyDescent="0.25">
      <c r="A145" s="304">
        <f>Données!A146</f>
        <v>5646</v>
      </c>
      <c r="B145" s="308" t="str">
        <f>Données!B146</f>
        <v>Saint-Prex</v>
      </c>
      <c r="C145" s="306">
        <f>VPI!Q146</f>
        <v>59</v>
      </c>
      <c r="D145" s="311">
        <f>Données!Z146</f>
        <v>5876</v>
      </c>
      <c r="E145" s="139">
        <f>VPI!R146</f>
        <v>515439.56415254233</v>
      </c>
      <c r="F145" s="240">
        <f>'Péréquation directe'!K152</f>
        <v>7637978.3724266198</v>
      </c>
      <c r="G145" s="250">
        <f>PCS!I152</f>
        <v>12210377.790956635</v>
      </c>
      <c r="H145" s="266">
        <f>Police!L146</f>
        <v>639574.0747694833</v>
      </c>
      <c r="I145" s="350">
        <f t="shared" si="2"/>
        <v>20487930.238152735</v>
      </c>
      <c r="J145" s="140"/>
    </row>
    <row r="146" spans="1:10" s="86" customFormat="1" x14ac:dyDescent="0.25">
      <c r="A146" s="304">
        <f>Données!A147</f>
        <v>5648</v>
      </c>
      <c r="B146" s="308" t="str">
        <f>Données!B147</f>
        <v>Saint-Sulpice</v>
      </c>
      <c r="C146" s="306">
        <f>VPI!Q147</f>
        <v>55</v>
      </c>
      <c r="D146" s="311">
        <f>Données!Z147</f>
        <v>5036</v>
      </c>
      <c r="E146" s="139">
        <f>VPI!R147</f>
        <v>417026.83077272732</v>
      </c>
      <c r="F146" s="240">
        <f>'Péréquation directe'!K153</f>
        <v>6235979.596741735</v>
      </c>
      <c r="G146" s="250">
        <f>PCS!I153</f>
        <v>9026565.5440895576</v>
      </c>
      <c r="H146" s="266">
        <f>Police!L147</f>
        <v>517460.37362118822</v>
      </c>
      <c r="I146" s="350">
        <f t="shared" si="2"/>
        <v>15780005.51445248</v>
      </c>
      <c r="J146" s="140"/>
    </row>
    <row r="147" spans="1:10" s="86" customFormat="1" x14ac:dyDescent="0.25">
      <c r="A147" s="304">
        <f>Données!A148</f>
        <v>5649</v>
      </c>
      <c r="B147" s="308" t="str">
        <f>Données!B148</f>
        <v>Tolochenaz</v>
      </c>
      <c r="C147" s="306">
        <f>VPI!Q148</f>
        <v>64</v>
      </c>
      <c r="D147" s="311">
        <f>Données!Z148</f>
        <v>1890</v>
      </c>
      <c r="E147" s="139">
        <f>VPI!R148</f>
        <v>329645.65999999997</v>
      </c>
      <c r="F147" s="240">
        <f>'Péréquation directe'!K154</f>
        <v>4665789.2255661599</v>
      </c>
      <c r="G147" s="250">
        <f>PCS!I154</f>
        <v>11661967.85443384</v>
      </c>
      <c r="H147" s="266">
        <f>Police!L148</f>
        <v>409034.9919935143</v>
      </c>
      <c r="I147" s="350">
        <f t="shared" si="2"/>
        <v>16736792.071993515</v>
      </c>
      <c r="J147" s="140"/>
    </row>
    <row r="148" spans="1:10" s="86" customFormat="1" x14ac:dyDescent="0.25">
      <c r="A148" s="304">
        <f>Données!A149</f>
        <v>5650</v>
      </c>
      <c r="B148" s="308" t="str">
        <f>Données!B149</f>
        <v>Vaux-sur-Morges</v>
      </c>
      <c r="C148" s="306">
        <f>VPI!Q149</f>
        <v>56</v>
      </c>
      <c r="D148" s="311">
        <f>Données!Z149</f>
        <v>185</v>
      </c>
      <c r="E148" s="139">
        <f>VPI!R149</f>
        <v>90407.731785714292</v>
      </c>
      <c r="F148" s="240">
        <f>'Péréquation directe'!K155</f>
        <v>653370.70811956492</v>
      </c>
      <c r="G148" s="250">
        <f>PCS!I155</f>
        <v>3702468.1175947217</v>
      </c>
      <c r="H148" s="266">
        <f>Police!L149</f>
        <v>128496.23238096014</v>
      </c>
      <c r="I148" s="350">
        <f t="shared" si="2"/>
        <v>4484335.0580952466</v>
      </c>
      <c r="J148" s="140"/>
    </row>
    <row r="149" spans="1:10" s="86" customFormat="1" x14ac:dyDescent="0.25">
      <c r="A149" s="304">
        <f>Données!A150</f>
        <v>5651</v>
      </c>
      <c r="B149" s="308" t="str">
        <f>Données!B150</f>
        <v>Villars-Sainte-Croix</v>
      </c>
      <c r="C149" s="306">
        <f>VPI!Q150</f>
        <v>60.5</v>
      </c>
      <c r="D149" s="311">
        <f>Données!Z150</f>
        <v>978</v>
      </c>
      <c r="E149" s="139">
        <f>VPI!R150</f>
        <v>55772.548264462814</v>
      </c>
      <c r="F149" s="240">
        <f>'Péréquation directe'!K156</f>
        <v>866733.11054335348</v>
      </c>
      <c r="G149" s="250">
        <f>PCS!I156</f>
        <v>1017181.7651475638</v>
      </c>
      <c r="H149" s="266">
        <f>Police!L150</f>
        <v>69204.380948963313</v>
      </c>
      <c r="I149" s="350">
        <f t="shared" si="2"/>
        <v>1953119.2566398806</v>
      </c>
      <c r="J149" s="140"/>
    </row>
    <row r="150" spans="1:10" s="86" customFormat="1" x14ac:dyDescent="0.25">
      <c r="A150" s="304">
        <f>Données!A151</f>
        <v>5652</v>
      </c>
      <c r="B150" s="308" t="str">
        <f>Données!B151</f>
        <v>Villars-sous-Yens</v>
      </c>
      <c r="C150" s="306">
        <f>VPI!Q151</f>
        <v>76</v>
      </c>
      <c r="D150" s="311">
        <f>Données!Z151</f>
        <v>615</v>
      </c>
      <c r="E150" s="139">
        <f>VPI!R151</f>
        <v>25957.116337719301</v>
      </c>
      <c r="F150" s="240">
        <f>'Péréquation directe'!K157</f>
        <v>159658.61273127922</v>
      </c>
      <c r="G150" s="250">
        <f>PCS!I157</f>
        <v>570082.36811879207</v>
      </c>
      <c r="H150" s="266">
        <f>Police!L151</f>
        <v>81027.071220858779</v>
      </c>
      <c r="I150" s="350">
        <f t="shared" si="2"/>
        <v>810768.05207093013</v>
      </c>
      <c r="J150" s="140"/>
    </row>
    <row r="151" spans="1:10" s="86" customFormat="1" x14ac:dyDescent="0.25">
      <c r="A151" s="304">
        <f>Données!A152</f>
        <v>5653</v>
      </c>
      <c r="B151" s="308" t="str">
        <f>Données!B152</f>
        <v>Vufflens-le-Château</v>
      </c>
      <c r="C151" s="306">
        <f>VPI!Q152</f>
        <v>58.5</v>
      </c>
      <c r="D151" s="311">
        <f>Données!Z152</f>
        <v>884</v>
      </c>
      <c r="E151" s="139">
        <f>VPI!R152</f>
        <v>71346.485811965817</v>
      </c>
      <c r="F151" s="240">
        <f>'Péréquation directe'!K158</f>
        <v>1282698.2919277514</v>
      </c>
      <c r="G151" s="250">
        <f>PCS!I158</f>
        <v>1578188.5557567084</v>
      </c>
      <c r="H151" s="266">
        <f>Police!L152</f>
        <v>166490.16164145875</v>
      </c>
      <c r="I151" s="350">
        <f t="shared" si="2"/>
        <v>3027377.0093259187</v>
      </c>
      <c r="J151" s="140"/>
    </row>
    <row r="152" spans="1:10" s="86" customFormat="1" x14ac:dyDescent="0.25">
      <c r="A152" s="304">
        <f>Données!A153</f>
        <v>5654</v>
      </c>
      <c r="B152" s="308" t="str">
        <f>Données!B153</f>
        <v>Vullierens</v>
      </c>
      <c r="C152" s="306">
        <f>VPI!Q153</f>
        <v>76</v>
      </c>
      <c r="D152" s="311">
        <f>Données!Z153</f>
        <v>562</v>
      </c>
      <c r="E152" s="139">
        <f>VPI!R153</f>
        <v>20741.139078947366</v>
      </c>
      <c r="F152" s="240">
        <f>'Péréquation directe'!K159</f>
        <v>146060.17431923756</v>
      </c>
      <c r="G152" s="250">
        <f>PCS!I159</f>
        <v>300779.2401016095</v>
      </c>
      <c r="H152" s="266">
        <f>Police!L153</f>
        <v>64138.634327411004</v>
      </c>
      <c r="I152" s="350">
        <f t="shared" si="2"/>
        <v>510978.04874825809</v>
      </c>
      <c r="J152" s="140"/>
    </row>
    <row r="153" spans="1:10" s="86" customFormat="1" x14ac:dyDescent="0.25">
      <c r="A153" s="304">
        <f>Données!A154</f>
        <v>5655</v>
      </c>
      <c r="B153" s="308" t="str">
        <f>Données!B154</f>
        <v>Yens</v>
      </c>
      <c r="C153" s="306">
        <f>VPI!Q154</f>
        <v>71.5</v>
      </c>
      <c r="D153" s="311">
        <f>Données!Z154</f>
        <v>1513</v>
      </c>
      <c r="E153" s="139">
        <f>VPI!R154</f>
        <v>81487.913146853141</v>
      </c>
      <c r="F153" s="240">
        <f>'Péréquation directe'!K160</f>
        <v>1277890.5772203486</v>
      </c>
      <c r="G153" s="250">
        <f>PCS!I160</f>
        <v>1492248.5682699499</v>
      </c>
      <c r="H153" s="266">
        <f>Police!L154</f>
        <v>234546.31894992891</v>
      </c>
      <c r="I153" s="350">
        <f t="shared" si="2"/>
        <v>3004685.4644402275</v>
      </c>
      <c r="J153" s="140"/>
    </row>
    <row r="154" spans="1:10" s="86" customFormat="1" x14ac:dyDescent="0.25">
      <c r="A154" s="304">
        <f>Données!A155</f>
        <v>5656</v>
      </c>
      <c r="B154" s="308" t="str">
        <f>Données!B155</f>
        <v>Hautemorges</v>
      </c>
      <c r="C154" s="306">
        <f>VPI!Q155</f>
        <v>72.5</v>
      </c>
      <c r="D154" s="311">
        <f>Données!Z155</f>
        <v>4257</v>
      </c>
      <c r="E154" s="139">
        <f>VPI!R155</f>
        <v>168931.37668965515</v>
      </c>
      <c r="F154" s="240">
        <f>'Péréquation directe'!K161</f>
        <v>73799.016485889442</v>
      </c>
      <c r="G154" s="250">
        <f>PCS!I161</f>
        <v>2718596.784901164</v>
      </c>
      <c r="H154" s="266">
        <f>Police!L155</f>
        <v>522223.74003663473</v>
      </c>
      <c r="I154" s="350">
        <f t="shared" si="2"/>
        <v>3314619.5414236882</v>
      </c>
      <c r="J154" s="140"/>
    </row>
    <row r="155" spans="1:10" s="86" customFormat="1" x14ac:dyDescent="0.25">
      <c r="A155" s="304">
        <f>Données!A156</f>
        <v>5661</v>
      </c>
      <c r="B155" s="308" t="str">
        <f>Données!B156</f>
        <v>Boulens</v>
      </c>
      <c r="C155" s="306">
        <f>VPI!Q156</f>
        <v>71.5</v>
      </c>
      <c r="D155" s="311">
        <f>Données!Z156</f>
        <v>383</v>
      </c>
      <c r="E155" s="139">
        <f>VPI!R156</f>
        <v>11008.663776223777</v>
      </c>
      <c r="F155" s="240">
        <f>'Péréquation directe'!K162</f>
        <v>1325.4881054304715</v>
      </c>
      <c r="G155" s="250">
        <f>PCS!I162</f>
        <v>150985.22560060097</v>
      </c>
      <c r="H155" s="266">
        <f>Police!L156</f>
        <v>33982.911785118253</v>
      </c>
      <c r="I155" s="350">
        <f t="shared" si="2"/>
        <v>186293.62549114969</v>
      </c>
      <c r="J155" s="140"/>
    </row>
    <row r="156" spans="1:10" s="86" customFormat="1" x14ac:dyDescent="0.25">
      <c r="A156" s="304">
        <f>Données!A157</f>
        <v>5663</v>
      </c>
      <c r="B156" s="308" t="str">
        <f>Données!B157</f>
        <v>Bussy-sur-Moudon</v>
      </c>
      <c r="C156" s="306">
        <f>VPI!Q157</f>
        <v>78.5</v>
      </c>
      <c r="D156" s="311">
        <f>Données!Z157</f>
        <v>246</v>
      </c>
      <c r="E156" s="139">
        <f>VPI!R157</f>
        <v>6463.7352866242045</v>
      </c>
      <c r="F156" s="240">
        <f>'Péréquation directe'!K163</f>
        <v>-36395.860150332432</v>
      </c>
      <c r="G156" s="250">
        <f>PCS!I163</f>
        <v>101427.4054365437</v>
      </c>
      <c r="H156" s="266">
        <f>Police!L157</f>
        <v>20054.166358461582</v>
      </c>
      <c r="I156" s="350">
        <f t="shared" si="2"/>
        <v>85085.711644672847</v>
      </c>
      <c r="J156" s="140"/>
    </row>
    <row r="157" spans="1:10" s="86" customFormat="1" x14ac:dyDescent="0.25">
      <c r="A157" s="304">
        <f>Données!A158</f>
        <v>5665</v>
      </c>
      <c r="B157" s="308" t="str">
        <f>Données!B158</f>
        <v>Chavannes-sur-Moudon</v>
      </c>
      <c r="C157" s="306">
        <f>VPI!Q158</f>
        <v>70</v>
      </c>
      <c r="D157" s="311">
        <f>Données!Z158</f>
        <v>218</v>
      </c>
      <c r="E157" s="139">
        <f>VPI!R158</f>
        <v>5786.518857142858</v>
      </c>
      <c r="F157" s="240">
        <f>'Péréquation directe'!K164</f>
        <v>-31219.703109805661</v>
      </c>
      <c r="G157" s="250">
        <f>PCS!I164</f>
        <v>98571.842001885583</v>
      </c>
      <c r="H157" s="266">
        <f>Police!L158</f>
        <v>17935.425955164657</v>
      </c>
      <c r="I157" s="350">
        <f t="shared" si="2"/>
        <v>85287.564847244576</v>
      </c>
      <c r="J157" s="140"/>
    </row>
    <row r="158" spans="1:10" s="86" customFormat="1" x14ac:dyDescent="0.25">
      <c r="A158" s="304">
        <f>Données!A159</f>
        <v>5669</v>
      </c>
      <c r="B158" s="308" t="str">
        <f>Données!B159</f>
        <v>Curtilles</v>
      </c>
      <c r="C158" s="306">
        <f>VPI!Q159</f>
        <v>73</v>
      </c>
      <c r="D158" s="311">
        <f>Données!Z159</f>
        <v>294</v>
      </c>
      <c r="E158" s="139">
        <f>VPI!R159</f>
        <v>8428.0239726027376</v>
      </c>
      <c r="F158" s="240">
        <f>'Péréquation directe'!K165</f>
        <v>6377.9025015257939</v>
      </c>
      <c r="G158" s="250">
        <f>PCS!I165</f>
        <v>110511.4243076206</v>
      </c>
      <c r="H158" s="266">
        <f>Police!L159</f>
        <v>25980.538586141731</v>
      </c>
      <c r="I158" s="350">
        <f t="shared" si="2"/>
        <v>142869.86539528813</v>
      </c>
      <c r="J158" s="140"/>
    </row>
    <row r="159" spans="1:10" s="86" customFormat="1" x14ac:dyDescent="0.25">
      <c r="A159" s="304">
        <f>Données!A160</f>
        <v>5671</v>
      </c>
      <c r="B159" s="308" t="str">
        <f>Données!B160</f>
        <v>Dompierre</v>
      </c>
      <c r="C159" s="306">
        <f>VPI!Q160</f>
        <v>78</v>
      </c>
      <c r="D159" s="311">
        <f>Données!Z160</f>
        <v>248</v>
      </c>
      <c r="E159" s="139">
        <f>VPI!R160</f>
        <v>6751.3058974358974</v>
      </c>
      <c r="F159" s="240">
        <f>'Péréquation directe'!K166</f>
        <v>-35478.639513305825</v>
      </c>
      <c r="G159" s="250">
        <f>PCS!I166</f>
        <v>93634.493781141093</v>
      </c>
      <c r="H159" s="266">
        <f>Police!L160</f>
        <v>20921.996568220653</v>
      </c>
      <c r="I159" s="350">
        <f t="shared" si="2"/>
        <v>79077.850836055921</v>
      </c>
      <c r="J159" s="140"/>
    </row>
    <row r="160" spans="1:10" s="86" customFormat="1" x14ac:dyDescent="0.25">
      <c r="A160" s="304">
        <f>Données!A161</f>
        <v>5673</v>
      </c>
      <c r="B160" s="308" t="str">
        <f>Données!B161</f>
        <v>Hermenches</v>
      </c>
      <c r="C160" s="306">
        <f>VPI!Q161</f>
        <v>73.5</v>
      </c>
      <c r="D160" s="311">
        <f>Données!Z161</f>
        <v>374</v>
      </c>
      <c r="E160" s="139">
        <f>VPI!R161</f>
        <v>9674.9504761904736</v>
      </c>
      <c r="F160" s="240">
        <f>'Péréquation directe'!K167</f>
        <v>-111001.89531650901</v>
      </c>
      <c r="G160" s="250">
        <f>PCS!I167</f>
        <v>153961.19904510904</v>
      </c>
      <c r="H160" s="266">
        <f>Police!L161</f>
        <v>29944.375276470368</v>
      </c>
      <c r="I160" s="350">
        <f t="shared" si="2"/>
        <v>72903.6790050704</v>
      </c>
      <c r="J160" s="140"/>
    </row>
    <row r="161" spans="1:10" s="86" customFormat="1" x14ac:dyDescent="0.25">
      <c r="A161" s="304">
        <f>Données!A162</f>
        <v>5674</v>
      </c>
      <c r="B161" s="308" t="str">
        <f>Données!B162</f>
        <v>Lovatens</v>
      </c>
      <c r="C161" s="306">
        <f>VPI!Q162</f>
        <v>75</v>
      </c>
      <c r="D161" s="311">
        <f>Données!Z162</f>
        <v>143</v>
      </c>
      <c r="E161" s="139">
        <f>VPI!R162</f>
        <v>3538.9423999999999</v>
      </c>
      <c r="F161" s="240">
        <f>'Péréquation directe'!K168</f>
        <v>-42785.893636277426</v>
      </c>
      <c r="G161" s="250">
        <f>PCS!I168</f>
        <v>63206.018218110912</v>
      </c>
      <c r="H161" s="266">
        <f>Police!L162</f>
        <v>10902.209606529173</v>
      </c>
      <c r="I161" s="350">
        <f t="shared" si="2"/>
        <v>31322.33418836266</v>
      </c>
      <c r="J161" s="140"/>
    </row>
    <row r="162" spans="1:10" s="86" customFormat="1" x14ac:dyDescent="0.25">
      <c r="A162" s="304">
        <f>Données!A163</f>
        <v>5675</v>
      </c>
      <c r="B162" s="308" t="str">
        <f>Données!B163</f>
        <v>Lucens</v>
      </c>
      <c r="C162" s="306">
        <f>VPI!Q163</f>
        <v>69.5</v>
      </c>
      <c r="D162" s="311">
        <f>Données!Z163</f>
        <v>4420</v>
      </c>
      <c r="E162" s="139">
        <f>VPI!R163</f>
        <v>92799.568476128188</v>
      </c>
      <c r="F162" s="240">
        <f>'Péréquation directe'!K169</f>
        <v>-2744604.029907689</v>
      </c>
      <c r="G162" s="250">
        <f>PCS!I169</f>
        <v>1551475.586513475</v>
      </c>
      <c r="H162" s="266">
        <f>Police!L163</f>
        <v>279827.49891323148</v>
      </c>
      <c r="I162" s="350">
        <f t="shared" si="2"/>
        <v>-913300.94448098238</v>
      </c>
      <c r="J162" s="140"/>
    </row>
    <row r="163" spans="1:10" s="86" customFormat="1" x14ac:dyDescent="0.25">
      <c r="A163" s="304">
        <f>Données!A164</f>
        <v>5678</v>
      </c>
      <c r="B163" s="308" t="str">
        <f>Données!B164</f>
        <v>Moudon</v>
      </c>
      <c r="C163" s="306">
        <f>VPI!Q164</f>
        <v>72.5</v>
      </c>
      <c r="D163" s="311">
        <f>Données!Z164</f>
        <v>6132</v>
      </c>
      <c r="E163" s="139">
        <f>VPI!R164</f>
        <v>130665.93158620689</v>
      </c>
      <c r="F163" s="240">
        <f>'Péréquation directe'!K170</f>
        <v>-4816137.1694761012</v>
      </c>
      <c r="G163" s="250">
        <f>PCS!I170</f>
        <v>2204973.2473519617</v>
      </c>
      <c r="H163" s="266">
        <f>Police!L164</f>
        <v>396569.65950197878</v>
      </c>
      <c r="I163" s="350">
        <f t="shared" si="2"/>
        <v>-2214594.2626221608</v>
      </c>
      <c r="J163" s="140"/>
    </row>
    <row r="164" spans="1:10" s="86" customFormat="1" x14ac:dyDescent="0.25">
      <c r="A164" s="304">
        <f>Données!A165</f>
        <v>5680</v>
      </c>
      <c r="B164" s="308" t="str">
        <f>Données!B165</f>
        <v>Ogens</v>
      </c>
      <c r="C164" s="306">
        <f>VPI!Q165</f>
        <v>78</v>
      </c>
      <c r="D164" s="311">
        <f>Données!Z165</f>
        <v>324</v>
      </c>
      <c r="E164" s="139">
        <f>VPI!R165</f>
        <v>10095.699401709404</v>
      </c>
      <c r="F164" s="240">
        <f>'Péréquation directe'!K171</f>
        <v>8462.6344961199793</v>
      </c>
      <c r="G164" s="250">
        <f>PCS!I171</f>
        <v>200901.44167239481</v>
      </c>
      <c r="H164" s="266">
        <f>Police!L165</f>
        <v>31207.014302569569</v>
      </c>
      <c r="I164" s="350">
        <f t="shared" si="2"/>
        <v>240571.09047108435</v>
      </c>
      <c r="J164" s="140"/>
    </row>
    <row r="165" spans="1:10" s="86" customFormat="1" x14ac:dyDescent="0.25">
      <c r="A165" s="304">
        <f>Données!A166</f>
        <v>5683</v>
      </c>
      <c r="B165" s="308" t="str">
        <f>Données!B166</f>
        <v>Prévonloup</v>
      </c>
      <c r="C165" s="306">
        <f>VPI!Q166</f>
        <v>72.5</v>
      </c>
      <c r="D165" s="311">
        <f>Données!Z166</f>
        <v>220</v>
      </c>
      <c r="E165" s="139">
        <f>VPI!R166</f>
        <v>5181.5288275862076</v>
      </c>
      <c r="F165" s="240">
        <f>'Péréquation directe'!K172</f>
        <v>-39651.458479115201</v>
      </c>
      <c r="G165" s="250">
        <f>PCS!I172</f>
        <v>70319.064443199284</v>
      </c>
      <c r="H165" s="266">
        <f>Police!L166</f>
        <v>15857.748895936897</v>
      </c>
      <c r="I165" s="350">
        <f t="shared" si="2"/>
        <v>46525.354860020976</v>
      </c>
      <c r="J165" s="140"/>
    </row>
    <row r="166" spans="1:10" s="86" customFormat="1" x14ac:dyDescent="0.25">
      <c r="A166" s="304">
        <f>Données!A167</f>
        <v>5684</v>
      </c>
      <c r="B166" s="308" t="str">
        <f>Données!B167</f>
        <v>Rossenges</v>
      </c>
      <c r="C166" s="306">
        <f>VPI!Q167</f>
        <v>75</v>
      </c>
      <c r="D166" s="311">
        <f>Données!Z167</f>
        <v>93</v>
      </c>
      <c r="E166" s="139">
        <f>VPI!R167</f>
        <v>3699.9676666666669</v>
      </c>
      <c r="F166" s="240">
        <f>'Péréquation directe'!K173</f>
        <v>43377.848692916697</v>
      </c>
      <c r="G166" s="250">
        <f>PCS!I173</f>
        <v>52706.818472281338</v>
      </c>
      <c r="H166" s="266">
        <f>Police!L167</f>
        <v>11627.438163171071</v>
      </c>
      <c r="I166" s="350">
        <f t="shared" si="2"/>
        <v>107712.10532836911</v>
      </c>
      <c r="J166" s="140"/>
    </row>
    <row r="167" spans="1:10" s="86" customFormat="1" x14ac:dyDescent="0.25">
      <c r="A167" s="304">
        <f>Données!A168</f>
        <v>5688</v>
      </c>
      <c r="B167" s="308" t="str">
        <f>Données!B168</f>
        <v>Syens</v>
      </c>
      <c r="C167" s="306">
        <f>VPI!Q168</f>
        <v>65</v>
      </c>
      <c r="D167" s="311">
        <f>Données!Z168</f>
        <v>164</v>
      </c>
      <c r="E167" s="139">
        <f>VPI!R168</f>
        <v>5276.9227692307695</v>
      </c>
      <c r="F167" s="240">
        <f>'Péréquation directe'!K174</f>
        <v>20433.319610407707</v>
      </c>
      <c r="G167" s="250">
        <f>PCS!I174</f>
        <v>78969.191380415446</v>
      </c>
      <c r="H167" s="266">
        <f>Police!L168</f>
        <v>16341.212676605224</v>
      </c>
      <c r="I167" s="350">
        <f t="shared" si="2"/>
        <v>115743.72366742838</v>
      </c>
      <c r="J167" s="140"/>
    </row>
    <row r="168" spans="1:10" s="86" customFormat="1" x14ac:dyDescent="0.25">
      <c r="A168" s="304">
        <f>Données!A169</f>
        <v>5690</v>
      </c>
      <c r="B168" s="308" t="str">
        <f>Données!B169</f>
        <v>Villars-le-Comte</v>
      </c>
      <c r="C168" s="306">
        <f>VPI!Q169</f>
        <v>70</v>
      </c>
      <c r="D168" s="311">
        <f>Données!Z169</f>
        <v>138</v>
      </c>
      <c r="E168" s="139">
        <f>VPI!R169</f>
        <v>4331.3648095238095</v>
      </c>
      <c r="F168" s="240">
        <f>'Péréquation directe'!K175</f>
        <v>22235.052095147861</v>
      </c>
      <c r="G168" s="250">
        <f>PCS!I175</f>
        <v>71315.16639394057</v>
      </c>
      <c r="H168" s="266">
        <f>Police!L169</f>
        <v>13393.755197991586</v>
      </c>
      <c r="I168" s="350">
        <f t="shared" si="2"/>
        <v>106943.97368708003</v>
      </c>
      <c r="J168" s="140"/>
    </row>
    <row r="169" spans="1:10" s="86" customFormat="1" x14ac:dyDescent="0.25">
      <c r="A169" s="304">
        <f>Données!A170</f>
        <v>5692</v>
      </c>
      <c r="B169" s="308" t="str">
        <f>Données!B170</f>
        <v>Vucherens</v>
      </c>
      <c r="C169" s="306">
        <f>VPI!Q170</f>
        <v>77</v>
      </c>
      <c r="D169" s="311">
        <f>Données!Z170</f>
        <v>637</v>
      </c>
      <c r="E169" s="139">
        <f>VPI!R170</f>
        <v>18948.19272727273</v>
      </c>
      <c r="F169" s="240">
        <f>'Péréquation directe'!K176</f>
        <v>-83326.087712355191</v>
      </c>
      <c r="G169" s="250">
        <f>PCS!I176</f>
        <v>327932.55781421653</v>
      </c>
      <c r="H169" s="266">
        <f>Police!L170</f>
        <v>58442.838940473375</v>
      </c>
      <c r="I169" s="350">
        <f t="shared" si="2"/>
        <v>303049.30904233473</v>
      </c>
      <c r="J169" s="140"/>
    </row>
    <row r="170" spans="1:10" s="86" customFormat="1" x14ac:dyDescent="0.25">
      <c r="A170" s="304">
        <f>Données!A171</f>
        <v>5693</v>
      </c>
      <c r="B170" s="308" t="str">
        <f>Données!B171</f>
        <v>Montanaire</v>
      </c>
      <c r="C170" s="306">
        <f>VPI!Q171</f>
        <v>70</v>
      </c>
      <c r="D170" s="311">
        <f>Données!Z171</f>
        <v>2820</v>
      </c>
      <c r="E170" s="139">
        <f>VPI!R171</f>
        <v>80076.194857142837</v>
      </c>
      <c r="F170" s="240">
        <f>'Péréquation directe'!K177</f>
        <v>-945411.33183939452</v>
      </c>
      <c r="G170" s="250">
        <f>PCS!I177</f>
        <v>1221144.9259513277</v>
      </c>
      <c r="H170" s="266">
        <f>Police!L171</f>
        <v>246513.26677870814</v>
      </c>
      <c r="I170" s="350">
        <f t="shared" si="2"/>
        <v>522246.86089064128</v>
      </c>
      <c r="J170" s="140"/>
    </row>
    <row r="171" spans="1:10" s="86" customFormat="1" x14ac:dyDescent="0.25">
      <c r="A171" s="304">
        <f>Données!A172</f>
        <v>5701</v>
      </c>
      <c r="B171" s="308" t="str">
        <f>Données!B172</f>
        <v>Arnex-sur-Nyon</v>
      </c>
      <c r="C171" s="306">
        <f>VPI!Q172</f>
        <v>70</v>
      </c>
      <c r="D171" s="311">
        <f>Données!Z172</f>
        <v>240</v>
      </c>
      <c r="E171" s="139">
        <f>VPI!R172</f>
        <v>12996.777571428571</v>
      </c>
      <c r="F171" s="240">
        <f>'Péréquation directe'!K178</f>
        <v>223304.30119904072</v>
      </c>
      <c r="G171" s="250">
        <f>PCS!I178</f>
        <v>389590.69681230135</v>
      </c>
      <c r="H171" s="266">
        <f>Police!L172</f>
        <v>37292.740920714881</v>
      </c>
      <c r="I171" s="350">
        <f t="shared" si="2"/>
        <v>650187.73893205693</v>
      </c>
      <c r="J171" s="140"/>
    </row>
    <row r="172" spans="1:10" s="86" customFormat="1" x14ac:dyDescent="0.25">
      <c r="A172" s="304">
        <f>Données!A173</f>
        <v>5702</v>
      </c>
      <c r="B172" s="308" t="str">
        <f>Données!B173</f>
        <v>Arzier-Le Muids</v>
      </c>
      <c r="C172" s="306">
        <f>VPI!Q173</f>
        <v>64</v>
      </c>
      <c r="D172" s="311">
        <f>Données!Z173</f>
        <v>2954</v>
      </c>
      <c r="E172" s="139">
        <f>VPI!R173</f>
        <v>187982.65953125001</v>
      </c>
      <c r="F172" s="240">
        <f>'Péréquation directe'!K179</f>
        <v>2302212.3949047667</v>
      </c>
      <c r="G172" s="250">
        <f>PCS!I179</f>
        <v>3903677.680081903</v>
      </c>
      <c r="H172" s="266">
        <f>Police!L173</f>
        <v>493772.14928143541</v>
      </c>
      <c r="I172" s="350">
        <f t="shared" si="2"/>
        <v>6699662.2242681058</v>
      </c>
      <c r="J172" s="140"/>
    </row>
    <row r="173" spans="1:10" s="86" customFormat="1" x14ac:dyDescent="0.25">
      <c r="A173" s="304">
        <f>Données!A174</f>
        <v>5703</v>
      </c>
      <c r="B173" s="308" t="str">
        <f>Données!B174</f>
        <v>Bassins</v>
      </c>
      <c r="C173" s="306">
        <f>VPI!Q174</f>
        <v>72.5</v>
      </c>
      <c r="D173" s="311">
        <f>Données!Z174</f>
        <v>1478</v>
      </c>
      <c r="E173" s="139">
        <f>VPI!R174</f>
        <v>65440.672492610829</v>
      </c>
      <c r="F173" s="240">
        <f>'Péréquation directe'!K180</f>
        <v>863571.98142379837</v>
      </c>
      <c r="G173" s="250">
        <f>PCS!I180</f>
        <v>1057257.9247790363</v>
      </c>
      <c r="H173" s="266">
        <f>Police!L174</f>
        <v>202576.08742990997</v>
      </c>
      <c r="I173" s="350">
        <f t="shared" si="2"/>
        <v>2123405.9936327445</v>
      </c>
      <c r="J173" s="140"/>
    </row>
    <row r="174" spans="1:10" s="86" customFormat="1" x14ac:dyDescent="0.25">
      <c r="A174" s="304">
        <f>Données!A175</f>
        <v>5704</v>
      </c>
      <c r="B174" s="308" t="str">
        <f>Données!B175</f>
        <v>Begnins</v>
      </c>
      <c r="C174" s="306">
        <f>VPI!Q175</f>
        <v>62.5</v>
      </c>
      <c r="D174" s="311">
        <f>Données!Z175</f>
        <v>1938</v>
      </c>
      <c r="E174" s="139">
        <f>VPI!R175</f>
        <v>129766.74997333332</v>
      </c>
      <c r="F174" s="240">
        <f>'Péréquation directe'!K181</f>
        <v>2068245.1485493104</v>
      </c>
      <c r="G174" s="250">
        <f>PCS!I181</f>
        <v>2538558.185131433</v>
      </c>
      <c r="H174" s="266">
        <f>Police!L175</f>
        <v>331933.57562588924</v>
      </c>
      <c r="I174" s="350">
        <f t="shared" si="2"/>
        <v>4938736.9093066324</v>
      </c>
      <c r="J174" s="140"/>
    </row>
    <row r="175" spans="1:10" s="86" customFormat="1" x14ac:dyDescent="0.25">
      <c r="A175" s="304">
        <f>Données!A176</f>
        <v>5705</v>
      </c>
      <c r="B175" s="308" t="str">
        <f>Données!B176</f>
        <v>Bogis-Bossey</v>
      </c>
      <c r="C175" s="306">
        <f>VPI!Q176</f>
        <v>74.5</v>
      </c>
      <c r="D175" s="311">
        <f>Données!Z176</f>
        <v>923</v>
      </c>
      <c r="E175" s="139">
        <f>VPI!R176</f>
        <v>51043.487651006704</v>
      </c>
      <c r="F175" s="240">
        <f>'Péréquation directe'!K182</f>
        <v>879571.83006072661</v>
      </c>
      <c r="G175" s="250">
        <f>PCS!I182</f>
        <v>1086535.8100126053</v>
      </c>
      <c r="H175" s="266">
        <f>Police!L176</f>
        <v>144737.00701085231</v>
      </c>
      <c r="I175" s="350">
        <f t="shared" si="2"/>
        <v>2110844.6470841845</v>
      </c>
      <c r="J175" s="140"/>
    </row>
    <row r="176" spans="1:10" s="86" customFormat="1" x14ac:dyDescent="0.25">
      <c r="A176" s="304">
        <f>Données!A177</f>
        <v>5706</v>
      </c>
      <c r="B176" s="308" t="str">
        <f>Données!B177</f>
        <v>Borex</v>
      </c>
      <c r="C176" s="306">
        <f>VPI!Q177</f>
        <v>57</v>
      </c>
      <c r="D176" s="311">
        <f>Données!Z177</f>
        <v>1131</v>
      </c>
      <c r="E176" s="139">
        <f>VPI!R177</f>
        <v>69138.234561403515</v>
      </c>
      <c r="F176" s="240">
        <f>'Péréquation directe'!K183</f>
        <v>1176083.6949115768</v>
      </c>
      <c r="G176" s="250">
        <f>PCS!I183</f>
        <v>1255293.2229332095</v>
      </c>
      <c r="H176" s="266">
        <f>Police!L177</f>
        <v>185533.35054695857</v>
      </c>
      <c r="I176" s="350">
        <f t="shared" si="2"/>
        <v>2616910.2683917447</v>
      </c>
      <c r="J176" s="140"/>
    </row>
    <row r="177" spans="1:10" s="86" customFormat="1" x14ac:dyDescent="0.25">
      <c r="A177" s="304">
        <f>Données!A178</f>
        <v>5707</v>
      </c>
      <c r="B177" s="308" t="str">
        <f>Données!B178</f>
        <v>Chavannes-de-Bogis</v>
      </c>
      <c r="C177" s="306">
        <f>VPI!Q178</f>
        <v>58</v>
      </c>
      <c r="D177" s="311">
        <f>Données!Z178</f>
        <v>1314</v>
      </c>
      <c r="E177" s="139">
        <f>VPI!R178</f>
        <v>86795.072643678155</v>
      </c>
      <c r="F177" s="240">
        <f>'Péréquation directe'!K184</f>
        <v>1455013.2743009173</v>
      </c>
      <c r="G177" s="250">
        <f>PCS!I184</f>
        <v>1953863.4101976508</v>
      </c>
      <c r="H177" s="266">
        <f>Police!L178</f>
        <v>223581.5394083751</v>
      </c>
      <c r="I177" s="350">
        <f t="shared" si="2"/>
        <v>3632458.2239069431</v>
      </c>
      <c r="J177" s="140"/>
    </row>
    <row r="178" spans="1:10" s="86" customFormat="1" x14ac:dyDescent="0.25">
      <c r="A178" s="304">
        <f>Données!A179</f>
        <v>5708</v>
      </c>
      <c r="B178" s="308" t="str">
        <f>Données!B179</f>
        <v>Chavannes-des-Bois</v>
      </c>
      <c r="C178" s="306">
        <f>VPI!Q179</f>
        <v>68</v>
      </c>
      <c r="D178" s="311">
        <f>Données!Z179</f>
        <v>1019</v>
      </c>
      <c r="E178" s="139">
        <f>VPI!R179</f>
        <v>68805.474411764691</v>
      </c>
      <c r="F178" s="240">
        <f>'Péréquation directe'!K185</f>
        <v>1210692.8040414413</v>
      </c>
      <c r="G178" s="250">
        <f>PCS!I185</f>
        <v>1325209.2388644912</v>
      </c>
      <c r="H178" s="266">
        <f>Police!L179</f>
        <v>175243.02206390796</v>
      </c>
      <c r="I178" s="350">
        <f t="shared" si="2"/>
        <v>2711145.0649698405</v>
      </c>
      <c r="J178" s="140"/>
    </row>
    <row r="179" spans="1:10" s="86" customFormat="1" x14ac:dyDescent="0.25">
      <c r="A179" s="304">
        <f>Données!A180</f>
        <v>5709</v>
      </c>
      <c r="B179" s="308" t="str">
        <f>Données!B180</f>
        <v>Chéserex</v>
      </c>
      <c r="C179" s="306">
        <f>VPI!Q180</f>
        <v>57</v>
      </c>
      <c r="D179" s="311">
        <f>Données!Z180</f>
        <v>1251</v>
      </c>
      <c r="E179" s="139">
        <f>VPI!R180</f>
        <v>90983.181403508803</v>
      </c>
      <c r="F179" s="240">
        <f>'Péréquation directe'!K186</f>
        <v>1560252.1086019522</v>
      </c>
      <c r="G179" s="250">
        <f>PCS!I186</f>
        <v>1891879.6811350649</v>
      </c>
      <c r="H179" s="266">
        <f>Police!L180</f>
        <v>223222.22638027888</v>
      </c>
      <c r="I179" s="350">
        <f t="shared" si="2"/>
        <v>3675354.0161172957</v>
      </c>
      <c r="J179" s="140"/>
    </row>
    <row r="180" spans="1:10" s="86" customFormat="1" x14ac:dyDescent="0.25">
      <c r="A180" s="304">
        <f>Données!A181</f>
        <v>5710</v>
      </c>
      <c r="B180" s="308" t="str">
        <f>Données!B181</f>
        <v>Coinsins</v>
      </c>
      <c r="C180" s="306">
        <f>VPI!Q181</f>
        <v>51</v>
      </c>
      <c r="D180" s="311">
        <f>Données!Z181</f>
        <v>499</v>
      </c>
      <c r="E180" s="139">
        <f>VPI!R181</f>
        <v>33546.798235294118</v>
      </c>
      <c r="F180" s="240">
        <f>'Péréquation directe'!K187</f>
        <v>592187.01716262649</v>
      </c>
      <c r="G180" s="250">
        <f>PCS!I187</f>
        <v>650051.06599729892</v>
      </c>
      <c r="H180" s="266">
        <f>Police!L181</f>
        <v>85633.425323384552</v>
      </c>
      <c r="I180" s="350">
        <f t="shared" si="2"/>
        <v>1327871.50848331</v>
      </c>
      <c r="J180" s="140"/>
    </row>
    <row r="181" spans="1:10" s="86" customFormat="1" x14ac:dyDescent="0.25">
      <c r="A181" s="304">
        <f>Données!A182</f>
        <v>5711</v>
      </c>
      <c r="B181" s="308" t="str">
        <f>Données!B182</f>
        <v>Commugny</v>
      </c>
      <c r="C181" s="306">
        <f>VPI!Q182</f>
        <v>57</v>
      </c>
      <c r="D181" s="311">
        <f>Données!Z182</f>
        <v>2983</v>
      </c>
      <c r="E181" s="139">
        <f>VPI!R182</f>
        <v>305460.14325236168</v>
      </c>
      <c r="F181" s="240">
        <f>'Péréquation directe'!K188</f>
        <v>5128682.0813043118</v>
      </c>
      <c r="G181" s="250">
        <f>PCS!I188</f>
        <v>8255944.3610048015</v>
      </c>
      <c r="H181" s="266">
        <f>Police!L182</f>
        <v>642099.55755734269</v>
      </c>
      <c r="I181" s="350">
        <f t="shared" si="2"/>
        <v>14026725.999866456</v>
      </c>
      <c r="J181" s="140"/>
    </row>
    <row r="182" spans="1:10" s="86" customFormat="1" x14ac:dyDescent="0.25">
      <c r="A182" s="304">
        <f>Données!A183</f>
        <v>5712</v>
      </c>
      <c r="B182" s="308" t="str">
        <f>Données!B183</f>
        <v>Coppet</v>
      </c>
      <c r="C182" s="306">
        <f>VPI!Q183</f>
        <v>53</v>
      </c>
      <c r="D182" s="311">
        <f>Données!Z183</f>
        <v>3184</v>
      </c>
      <c r="E182" s="139">
        <f>VPI!R183</f>
        <v>422775.96742138366</v>
      </c>
      <c r="F182" s="240">
        <f>'Péréquation directe'!K189</f>
        <v>7325711.9495554296</v>
      </c>
      <c r="G182" s="250">
        <f>PCS!I189</f>
        <v>12592254.054030132</v>
      </c>
      <c r="H182" s="266">
        <f>Police!L183</f>
        <v>805395.28215117403</v>
      </c>
      <c r="I182" s="350">
        <f t="shared" si="2"/>
        <v>20723361.285736736</v>
      </c>
      <c r="J182" s="140"/>
    </row>
    <row r="183" spans="1:10" s="86" customFormat="1" x14ac:dyDescent="0.25">
      <c r="A183" s="304">
        <f>Données!A184</f>
        <v>5713</v>
      </c>
      <c r="B183" s="308" t="str">
        <f>Données!B184</f>
        <v>Crans</v>
      </c>
      <c r="C183" s="306">
        <f>VPI!Q184</f>
        <v>59</v>
      </c>
      <c r="D183" s="311">
        <f>Données!Z184</f>
        <v>2357</v>
      </c>
      <c r="E183" s="139">
        <f>VPI!R184</f>
        <v>284268.21966101695</v>
      </c>
      <c r="F183" s="240">
        <f>'Péréquation directe'!K190</f>
        <v>4943145.5330733238</v>
      </c>
      <c r="G183" s="250">
        <f>PCS!I190</f>
        <v>8321212.2181331655</v>
      </c>
      <c r="H183" s="266">
        <f>Police!L184</f>
        <v>352729.19702038442</v>
      </c>
      <c r="I183" s="350">
        <f t="shared" si="2"/>
        <v>13617086.948226873</v>
      </c>
      <c r="J183" s="140"/>
    </row>
    <row r="184" spans="1:10" s="86" customFormat="1" x14ac:dyDescent="0.25">
      <c r="A184" s="304">
        <f>Données!A185</f>
        <v>5714</v>
      </c>
      <c r="B184" s="308" t="str">
        <f>Données!B185</f>
        <v>Crassier</v>
      </c>
      <c r="C184" s="306">
        <f>VPI!Q185</f>
        <v>66.5</v>
      </c>
      <c r="D184" s="311">
        <f>Données!Z185</f>
        <v>1233</v>
      </c>
      <c r="E184" s="139">
        <f>VPI!R185</f>
        <v>62524.177894736851</v>
      </c>
      <c r="F184" s="240">
        <f>'Péréquation directe'!K191</f>
        <v>1008964.7457100614</v>
      </c>
      <c r="G184" s="250">
        <f>PCS!I191</f>
        <v>1098736.2136664316</v>
      </c>
      <c r="H184" s="266">
        <f>Police!L185</f>
        <v>186321.93084426312</v>
      </c>
      <c r="I184" s="350">
        <f t="shared" si="2"/>
        <v>2294022.8902207562</v>
      </c>
      <c r="J184" s="140"/>
    </row>
    <row r="185" spans="1:10" s="86" customFormat="1" x14ac:dyDescent="0.25">
      <c r="A185" s="304">
        <f>Données!A186</f>
        <v>5715</v>
      </c>
      <c r="B185" s="308" t="str">
        <f>Données!B186</f>
        <v>Duillier</v>
      </c>
      <c r="C185" s="306">
        <f>VPI!Q186</f>
        <v>66</v>
      </c>
      <c r="D185" s="311">
        <f>Données!Z186</f>
        <v>1116</v>
      </c>
      <c r="E185" s="139">
        <f>VPI!R186</f>
        <v>60549.503181818189</v>
      </c>
      <c r="F185" s="240">
        <f>'Péréquation directe'!K192</f>
        <v>1013222.7435133506</v>
      </c>
      <c r="G185" s="250">
        <f>PCS!I192</f>
        <v>1070076.5962659812</v>
      </c>
      <c r="H185" s="266">
        <f>Police!L186</f>
        <v>173553.3050411499</v>
      </c>
      <c r="I185" s="350">
        <f t="shared" si="2"/>
        <v>2256852.6448204815</v>
      </c>
      <c r="J185" s="140"/>
    </row>
    <row r="186" spans="1:10" s="86" customFormat="1" x14ac:dyDescent="0.25">
      <c r="A186" s="304">
        <f>Données!A187</f>
        <v>5716</v>
      </c>
      <c r="B186" s="308" t="str">
        <f>Données!B187</f>
        <v>Eysins</v>
      </c>
      <c r="C186" s="306">
        <f>VPI!Q187</f>
        <v>59.5</v>
      </c>
      <c r="D186" s="311">
        <f>Données!Z187</f>
        <v>1768</v>
      </c>
      <c r="E186" s="139">
        <f>VPI!R187</f>
        <v>232449.31983193275</v>
      </c>
      <c r="F186" s="240">
        <f>'Péréquation directe'!K193</f>
        <v>4143622.6838901178</v>
      </c>
      <c r="G186" s="250">
        <f>PCS!I193</f>
        <v>6877784.1395718101</v>
      </c>
      <c r="H186" s="266">
        <f>Police!L187</f>
        <v>444352.90185903711</v>
      </c>
      <c r="I186" s="350">
        <f t="shared" si="2"/>
        <v>11465759.725320965</v>
      </c>
      <c r="J186" s="140"/>
    </row>
    <row r="187" spans="1:10" s="86" customFormat="1" x14ac:dyDescent="0.25">
      <c r="A187" s="304">
        <f>Données!A188</f>
        <v>5717</v>
      </c>
      <c r="B187" s="308" t="str">
        <f>Données!B188</f>
        <v>Founex</v>
      </c>
      <c r="C187" s="306">
        <f>VPI!Q188</f>
        <v>57</v>
      </c>
      <c r="D187" s="311">
        <f>Données!Z188</f>
        <v>3763</v>
      </c>
      <c r="E187" s="139">
        <f>VPI!R188</f>
        <v>361580.60666666663</v>
      </c>
      <c r="F187" s="240">
        <f>'Péréquation directe'!K194</f>
        <v>5822293.5880625993</v>
      </c>
      <c r="G187" s="250">
        <f>PCS!I194</f>
        <v>9211442.2839247435</v>
      </c>
      <c r="H187" s="266">
        <f>Police!L188</f>
        <v>780524.88007431815</v>
      </c>
      <c r="I187" s="350">
        <f t="shared" si="2"/>
        <v>15814260.752061661</v>
      </c>
      <c r="J187" s="140"/>
    </row>
    <row r="188" spans="1:10" s="86" customFormat="1" x14ac:dyDescent="0.25">
      <c r="A188" s="304">
        <f>Données!A189</f>
        <v>5718</v>
      </c>
      <c r="B188" s="308" t="str">
        <f>Données!B189</f>
        <v>Genolier</v>
      </c>
      <c r="C188" s="306">
        <f>VPI!Q189</f>
        <v>55</v>
      </c>
      <c r="D188" s="311">
        <f>Données!Z189</f>
        <v>2026</v>
      </c>
      <c r="E188" s="139">
        <f>VPI!R189</f>
        <v>212690.22036363633</v>
      </c>
      <c r="F188" s="240">
        <f>'Péréquation directe'!K195</f>
        <v>3661522.4838708555</v>
      </c>
      <c r="G188" s="250">
        <f>PCS!I195</f>
        <v>5571848.5311208572</v>
      </c>
      <c r="H188" s="266">
        <f>Police!L189</f>
        <v>442588.53552442393</v>
      </c>
      <c r="I188" s="350">
        <f t="shared" si="2"/>
        <v>9675959.550516136</v>
      </c>
      <c r="J188" s="140"/>
    </row>
    <row r="189" spans="1:10" s="86" customFormat="1" x14ac:dyDescent="0.25">
      <c r="A189" s="304">
        <f>Données!A190</f>
        <v>5719</v>
      </c>
      <c r="B189" s="308" t="str">
        <f>Données!B190</f>
        <v>Gingins</v>
      </c>
      <c r="C189" s="306">
        <f>VPI!Q190</f>
        <v>60</v>
      </c>
      <c r="D189" s="311">
        <f>Données!Z190</f>
        <v>1270</v>
      </c>
      <c r="E189" s="139">
        <f>VPI!R190</f>
        <v>119942.45777777776</v>
      </c>
      <c r="F189" s="240">
        <f>'Péréquation directe'!K196</f>
        <v>2120979.3496294864</v>
      </c>
      <c r="G189" s="250">
        <f>PCS!I196</f>
        <v>3252192.0516434237</v>
      </c>
      <c r="H189" s="266">
        <f>Police!L190</f>
        <v>260831.46799079707</v>
      </c>
      <c r="I189" s="350">
        <f t="shared" si="2"/>
        <v>5634002.8692637067</v>
      </c>
      <c r="J189" s="140"/>
    </row>
    <row r="190" spans="1:10" s="86" customFormat="1" x14ac:dyDescent="0.25">
      <c r="A190" s="304">
        <f>Données!A191</f>
        <v>5720</v>
      </c>
      <c r="B190" s="308" t="str">
        <f>Données!B191</f>
        <v>Givrins</v>
      </c>
      <c r="C190" s="306">
        <f>VPI!Q191</f>
        <v>67</v>
      </c>
      <c r="D190" s="311">
        <f>Données!Z191</f>
        <v>1024</v>
      </c>
      <c r="E190" s="139">
        <f>VPI!R191</f>
        <v>84867.165124378109</v>
      </c>
      <c r="F190" s="240">
        <f>'Péréquation directe'!K197</f>
        <v>1504648.9953052609</v>
      </c>
      <c r="G190" s="250">
        <f>PCS!I197</f>
        <v>2010440.8408061715</v>
      </c>
      <c r="H190" s="266">
        <f>Police!L191</f>
        <v>195613.84380486218</v>
      </c>
      <c r="I190" s="350">
        <f t="shared" si="2"/>
        <v>3710703.6799162948</v>
      </c>
      <c r="J190" s="140"/>
    </row>
    <row r="191" spans="1:10" s="86" customFormat="1" x14ac:dyDescent="0.25">
      <c r="A191" s="304">
        <f>Données!A192</f>
        <v>5721</v>
      </c>
      <c r="B191" s="308" t="str">
        <f>Données!B192</f>
        <v>Gland</v>
      </c>
      <c r="C191" s="306">
        <f>VPI!Q192</f>
        <v>61</v>
      </c>
      <c r="D191" s="311">
        <f>Données!Z192</f>
        <v>13686</v>
      </c>
      <c r="E191" s="139">
        <f>VPI!R192</f>
        <v>688905.14770491805</v>
      </c>
      <c r="F191" s="240">
        <f>'Péréquation directe'!K198</f>
        <v>4626905.3204763308</v>
      </c>
      <c r="G191" s="250">
        <f>PCS!I198</f>
        <v>11554166.529921733</v>
      </c>
      <c r="H191" s="266">
        <f>Police!L192</f>
        <v>2061802.3176970426</v>
      </c>
      <c r="I191" s="350">
        <f t="shared" si="2"/>
        <v>18242874.168095104</v>
      </c>
      <c r="J191" s="140"/>
    </row>
    <row r="192" spans="1:10" s="86" customFormat="1" x14ac:dyDescent="0.25">
      <c r="A192" s="304">
        <f>Données!A193</f>
        <v>5722</v>
      </c>
      <c r="B192" s="308" t="str">
        <f>Données!B193</f>
        <v>Grens</v>
      </c>
      <c r="C192" s="306">
        <f>VPI!Q193</f>
        <v>62</v>
      </c>
      <c r="D192" s="311">
        <f>Données!Z193</f>
        <v>400</v>
      </c>
      <c r="E192" s="139">
        <f>VPI!R193</f>
        <v>20912.601129032257</v>
      </c>
      <c r="F192" s="240">
        <f>'Péréquation directe'!K199</f>
        <v>357496.74766672897</v>
      </c>
      <c r="G192" s="250">
        <f>PCS!I199</f>
        <v>396974.88288141123</v>
      </c>
      <c r="H192" s="266">
        <f>Police!L193</f>
        <v>61225.56345993682</v>
      </c>
      <c r="I192" s="350">
        <f t="shared" si="2"/>
        <v>815697.19400807703</v>
      </c>
      <c r="J192" s="140"/>
    </row>
    <row r="193" spans="1:10" s="86" customFormat="1" x14ac:dyDescent="0.25">
      <c r="A193" s="304">
        <f>Données!A194</f>
        <v>5723</v>
      </c>
      <c r="B193" s="308" t="str">
        <f>Données!B194</f>
        <v>Mies</v>
      </c>
      <c r="C193" s="306">
        <f>VPI!Q194</f>
        <v>52</v>
      </c>
      <c r="D193" s="311">
        <f>Données!Z194</f>
        <v>2226</v>
      </c>
      <c r="E193" s="139">
        <f>VPI!R194</f>
        <v>253768.06750000003</v>
      </c>
      <c r="F193" s="240">
        <f>'Péréquation directe'!K200</f>
        <v>4393344.0277071334</v>
      </c>
      <c r="G193" s="250">
        <f>PCS!I200</f>
        <v>7109168.7447769195</v>
      </c>
      <c r="H193" s="266">
        <f>Police!L194</f>
        <v>511197.52220016561</v>
      </c>
      <c r="I193" s="350">
        <f t="shared" si="2"/>
        <v>12013710.294684218</v>
      </c>
      <c r="J193" s="140"/>
    </row>
    <row r="194" spans="1:10" s="86" customFormat="1" x14ac:dyDescent="0.25">
      <c r="A194" s="304">
        <f>Données!A195</f>
        <v>5724</v>
      </c>
      <c r="B194" s="308" t="str">
        <f>Données!B195</f>
        <v>Nyon</v>
      </c>
      <c r="C194" s="306">
        <f>VPI!Q195</f>
        <v>61</v>
      </c>
      <c r="D194" s="311">
        <f>Données!Z195</f>
        <v>22461</v>
      </c>
      <c r="E194" s="139">
        <f>VPI!R195</f>
        <v>1519986.9332786887</v>
      </c>
      <c r="F194" s="240">
        <f>'Péréquation directe'!K201</f>
        <v>9850509.9528779872</v>
      </c>
      <c r="G194" s="250">
        <f>PCS!I201</f>
        <v>31600297.792368643</v>
      </c>
      <c r="H194" s="266">
        <f>Police!L195</f>
        <v>1886048.9262436971</v>
      </c>
      <c r="I194" s="350">
        <f t="shared" si="2"/>
        <v>43336856.671490334</v>
      </c>
      <c r="J194" s="140"/>
    </row>
    <row r="195" spans="1:10" s="86" customFormat="1" x14ac:dyDescent="0.25">
      <c r="A195" s="304">
        <f>Données!A196</f>
        <v>5725</v>
      </c>
      <c r="B195" s="308" t="str">
        <f>Données!B196</f>
        <v>Prangins</v>
      </c>
      <c r="C195" s="306">
        <f>VPI!Q196</f>
        <v>55</v>
      </c>
      <c r="D195" s="311">
        <f>Données!Z196</f>
        <v>4277</v>
      </c>
      <c r="E195" s="139">
        <f>VPI!R196</f>
        <v>388906.70535064931</v>
      </c>
      <c r="F195" s="240">
        <f>'Péréquation directe'!K202</f>
        <v>6088313.5268328069</v>
      </c>
      <c r="G195" s="250">
        <f>PCS!I202</f>
        <v>9236798.9428448249</v>
      </c>
      <c r="H195" s="266">
        <f>Police!L196</f>
        <v>482568.01290612132</v>
      </c>
      <c r="I195" s="350">
        <f t="shared" si="2"/>
        <v>15807680.482583752</v>
      </c>
      <c r="J195" s="140"/>
    </row>
    <row r="196" spans="1:10" s="86" customFormat="1" x14ac:dyDescent="0.25">
      <c r="A196" s="304">
        <f>Données!A197</f>
        <v>5726</v>
      </c>
      <c r="B196" s="308" t="str">
        <f>Données!B197</f>
        <v>La Rippe</v>
      </c>
      <c r="C196" s="306">
        <f>VPI!Q197</f>
        <v>64</v>
      </c>
      <c r="D196" s="311">
        <f>Données!Z197</f>
        <v>1197</v>
      </c>
      <c r="E196" s="139">
        <f>VPI!R197</f>
        <v>69785.14234375002</v>
      </c>
      <c r="F196" s="240">
        <f>'Péréquation directe'!K203</f>
        <v>1164526.6613036494</v>
      </c>
      <c r="G196" s="250">
        <f>PCS!I203</f>
        <v>1249312.1841734839</v>
      </c>
      <c r="H196" s="266">
        <f>Police!L197</f>
        <v>192156.68240035881</v>
      </c>
      <c r="I196" s="350">
        <f t="shared" si="2"/>
        <v>2605995.5278774919</v>
      </c>
      <c r="J196" s="140"/>
    </row>
    <row r="197" spans="1:10" s="86" customFormat="1" x14ac:dyDescent="0.25">
      <c r="A197" s="304">
        <f>Données!A198</f>
        <v>5727</v>
      </c>
      <c r="B197" s="308" t="str">
        <f>Données!B198</f>
        <v>Saint-Cergue</v>
      </c>
      <c r="C197" s="306">
        <f>VPI!Q198</f>
        <v>66</v>
      </c>
      <c r="D197" s="311">
        <f>Données!Z198</f>
        <v>2786</v>
      </c>
      <c r="E197" s="139">
        <f>VPI!R198</f>
        <v>107047.00984848487</v>
      </c>
      <c r="F197" s="240">
        <f>'Péréquation directe'!K204</f>
        <v>503433.16366467904</v>
      </c>
      <c r="G197" s="250">
        <f>PCS!I204</f>
        <v>2099250.6753460146</v>
      </c>
      <c r="H197" s="266">
        <f>Police!L198</f>
        <v>329470.78901170898</v>
      </c>
      <c r="I197" s="350">
        <f t="shared" si="2"/>
        <v>2932154.6280224025</v>
      </c>
      <c r="J197" s="140"/>
    </row>
    <row r="198" spans="1:10" s="86" customFormat="1" x14ac:dyDescent="0.25">
      <c r="A198" s="304">
        <f>Données!A199</f>
        <v>5728</v>
      </c>
      <c r="B198" s="308" t="str">
        <f>Données!B199</f>
        <v>Signy-Avenex</v>
      </c>
      <c r="C198" s="306">
        <f>VPI!Q199</f>
        <v>58</v>
      </c>
      <c r="D198" s="311">
        <f>Données!Z199</f>
        <v>583</v>
      </c>
      <c r="E198" s="139">
        <f>VPI!R199</f>
        <v>65974.816379310345</v>
      </c>
      <c r="F198" s="240">
        <f>'Péréquation directe'!K205</f>
        <v>1216874.1743497241</v>
      </c>
      <c r="G198" s="250">
        <f>PCS!I205</f>
        <v>1817997.0209007626</v>
      </c>
      <c r="H198" s="266">
        <f>Police!L199</f>
        <v>133279.2302957745</v>
      </c>
      <c r="I198" s="350">
        <f t="shared" ref="I198:I261" si="3">SUM(F198:H198)</f>
        <v>3168150.4255462615</v>
      </c>
      <c r="J198" s="140"/>
    </row>
    <row r="199" spans="1:10" s="86" customFormat="1" x14ac:dyDescent="0.25">
      <c r="A199" s="304">
        <f>Données!A200</f>
        <v>5729</v>
      </c>
      <c r="B199" s="308" t="str">
        <f>Données!B200</f>
        <v>Tannay</v>
      </c>
      <c r="C199" s="306">
        <f>VPI!Q200</f>
        <v>60.5</v>
      </c>
      <c r="D199" s="311">
        <f>Données!Z200</f>
        <v>1720</v>
      </c>
      <c r="E199" s="139">
        <f>VPI!R200</f>
        <v>189083.86110192843</v>
      </c>
      <c r="F199" s="240">
        <f>'Péréquation directe'!K206</f>
        <v>3311133.2621792248</v>
      </c>
      <c r="G199" s="250">
        <f>PCS!I206</f>
        <v>5652482.3283048719</v>
      </c>
      <c r="H199" s="266">
        <f>Police!L200</f>
        <v>386310.45488354273</v>
      </c>
      <c r="I199" s="350">
        <f t="shared" si="3"/>
        <v>9349926.0453676395</v>
      </c>
      <c r="J199" s="140"/>
    </row>
    <row r="200" spans="1:10" s="86" customFormat="1" x14ac:dyDescent="0.25">
      <c r="A200" s="304">
        <f>Données!A201</f>
        <v>5730</v>
      </c>
      <c r="B200" s="308" t="str">
        <f>Données!B201</f>
        <v>Trélex</v>
      </c>
      <c r="C200" s="306">
        <f>VPI!Q201</f>
        <v>55.5</v>
      </c>
      <c r="D200" s="311">
        <f>Données!Z201</f>
        <v>1427</v>
      </c>
      <c r="E200" s="139">
        <f>VPI!R201</f>
        <v>121413.58176176177</v>
      </c>
      <c r="F200" s="240">
        <f>'Péréquation directe'!K207</f>
        <v>2092159.8215152626</v>
      </c>
      <c r="G200" s="250">
        <f>PCS!I207</f>
        <v>2982252.2895088815</v>
      </c>
      <c r="H200" s="266">
        <f>Police!L201</f>
        <v>276502.92496009776</v>
      </c>
      <c r="I200" s="350">
        <f t="shared" si="3"/>
        <v>5350915.0359842423</v>
      </c>
      <c r="J200" s="140"/>
    </row>
    <row r="201" spans="1:10" s="86" customFormat="1" x14ac:dyDescent="0.25">
      <c r="A201" s="304">
        <f>Données!A202</f>
        <v>5731</v>
      </c>
      <c r="B201" s="308" t="str">
        <f>Données!B202</f>
        <v>Le Vaud</v>
      </c>
      <c r="C201" s="306">
        <f>VPI!Q202</f>
        <v>74</v>
      </c>
      <c r="D201" s="311">
        <f>Données!Z202</f>
        <v>1411</v>
      </c>
      <c r="E201" s="139">
        <f>VPI!R202</f>
        <v>69610.281891891893</v>
      </c>
      <c r="F201" s="240">
        <f>'Péréquation directe'!K208</f>
        <v>1057530.2957772634</v>
      </c>
      <c r="G201" s="250">
        <f>PCS!I208</f>
        <v>1024386.4931878989</v>
      </c>
      <c r="H201" s="266">
        <f>Police!L202</f>
        <v>210812.6544644399</v>
      </c>
      <c r="I201" s="350">
        <f t="shared" si="3"/>
        <v>2292729.4434296023</v>
      </c>
      <c r="J201" s="140"/>
    </row>
    <row r="202" spans="1:10" s="86" customFormat="1" x14ac:dyDescent="0.25">
      <c r="A202" s="304">
        <f>Données!A203</f>
        <v>5732</v>
      </c>
      <c r="B202" s="308" t="str">
        <f>Données!B203</f>
        <v>Vich</v>
      </c>
      <c r="C202" s="306">
        <f>VPI!Q203</f>
        <v>63</v>
      </c>
      <c r="D202" s="311">
        <f>Données!Z203</f>
        <v>1160</v>
      </c>
      <c r="E202" s="139">
        <f>VPI!R203</f>
        <v>79859.716666666689</v>
      </c>
      <c r="F202" s="240">
        <f>'Péréquation directe'!K209</f>
        <v>1375612.6145800385</v>
      </c>
      <c r="G202" s="250">
        <f>PCS!I209</f>
        <v>1570995.6147278412</v>
      </c>
      <c r="H202" s="266">
        <f>Police!L203</f>
        <v>201394.46071902249</v>
      </c>
      <c r="I202" s="350">
        <f t="shared" si="3"/>
        <v>3148002.6900269021</v>
      </c>
      <c r="J202" s="140"/>
    </row>
    <row r="203" spans="1:10" s="86" customFormat="1" x14ac:dyDescent="0.25">
      <c r="A203" s="304">
        <f>Données!A204</f>
        <v>5741</v>
      </c>
      <c r="B203" s="308" t="str">
        <f>Données!B204</f>
        <v>L'Abergement</v>
      </c>
      <c r="C203" s="306">
        <f>VPI!Q204</f>
        <v>80</v>
      </c>
      <c r="D203" s="311">
        <f>Données!Z204</f>
        <v>260</v>
      </c>
      <c r="E203" s="139">
        <f>VPI!R204</f>
        <v>10833.767520833331</v>
      </c>
      <c r="F203" s="240">
        <f>'Péréquation directe'!K210</f>
        <v>23852.476274346758</v>
      </c>
      <c r="G203" s="250">
        <f>PCS!I210</f>
        <v>152433.78086482143</v>
      </c>
      <c r="H203" s="266">
        <f>Police!L204</f>
        <v>34018.329233108881</v>
      </c>
      <c r="I203" s="350">
        <f t="shared" si="3"/>
        <v>210304.58637227706</v>
      </c>
      <c r="J203" s="140"/>
    </row>
    <row r="204" spans="1:10" s="86" customFormat="1" x14ac:dyDescent="0.25">
      <c r="A204" s="304">
        <f>Données!A205</f>
        <v>5742</v>
      </c>
      <c r="B204" s="308" t="str">
        <f>Données!B205</f>
        <v>Agiez</v>
      </c>
      <c r="C204" s="306">
        <f>VPI!Q205</f>
        <v>76</v>
      </c>
      <c r="D204" s="311">
        <f>Données!Z205</f>
        <v>381</v>
      </c>
      <c r="E204" s="139">
        <f>VPI!R205</f>
        <v>9049.0200000000023</v>
      </c>
      <c r="F204" s="240">
        <f>'Péréquation directe'!K211</f>
        <v>-125940.19895938458</v>
      </c>
      <c r="G204" s="250">
        <f>PCS!I211</f>
        <v>114004.30544060341</v>
      </c>
      <c r="H204" s="266">
        <f>Police!L205</f>
        <v>27676.414455158578</v>
      </c>
      <c r="I204" s="350">
        <f t="shared" si="3"/>
        <v>15740.520936377405</v>
      </c>
      <c r="J204" s="140"/>
    </row>
    <row r="205" spans="1:10" s="86" customFormat="1" x14ac:dyDescent="0.25">
      <c r="A205" s="304">
        <f>Données!A206</f>
        <v>5743</v>
      </c>
      <c r="B205" s="308" t="str">
        <f>Données!B206</f>
        <v>Arnex-sur-Orbe</v>
      </c>
      <c r="C205" s="306">
        <f>VPI!Q206</f>
        <v>71</v>
      </c>
      <c r="D205" s="311">
        <f>Données!Z206</f>
        <v>692</v>
      </c>
      <c r="E205" s="139">
        <f>VPI!R206</f>
        <v>19423.434366197183</v>
      </c>
      <c r="F205" s="240">
        <f>'Péréquation directe'!K212</f>
        <v>-77246.857234070078</v>
      </c>
      <c r="G205" s="250">
        <f>PCS!I212</f>
        <v>331751.95448417461</v>
      </c>
      <c r="H205" s="266">
        <f>Police!L206</f>
        <v>60363.586989039111</v>
      </c>
      <c r="I205" s="350">
        <f t="shared" si="3"/>
        <v>314868.68423914362</v>
      </c>
      <c r="J205" s="140"/>
    </row>
    <row r="206" spans="1:10" s="86" customFormat="1" x14ac:dyDescent="0.25">
      <c r="A206" s="304">
        <f>Données!A207</f>
        <v>5744</v>
      </c>
      <c r="B206" s="308" t="str">
        <f>Données!B207</f>
        <v>Ballaigues</v>
      </c>
      <c r="C206" s="306">
        <f>VPI!Q207</f>
        <v>65</v>
      </c>
      <c r="D206" s="311">
        <f>Données!Z207</f>
        <v>1152</v>
      </c>
      <c r="E206" s="139">
        <f>VPI!R207</f>
        <v>54083.704307692322</v>
      </c>
      <c r="F206" s="240">
        <f>'Péréquation directe'!K213</f>
        <v>538321.07667296613</v>
      </c>
      <c r="G206" s="250">
        <f>PCS!I213</f>
        <v>1253174.9285286246</v>
      </c>
      <c r="H206" s="266">
        <f>Police!L207</f>
        <v>168705.22063716396</v>
      </c>
      <c r="I206" s="350">
        <f t="shared" si="3"/>
        <v>1960201.2258387548</v>
      </c>
      <c r="J206" s="140"/>
    </row>
    <row r="207" spans="1:10" s="86" customFormat="1" x14ac:dyDescent="0.25">
      <c r="A207" s="304">
        <f>Données!A208</f>
        <v>5745</v>
      </c>
      <c r="B207" s="308" t="str">
        <f>Données!B208</f>
        <v>Baulmes</v>
      </c>
      <c r="C207" s="306">
        <f>VPI!Q208</f>
        <v>76.5</v>
      </c>
      <c r="D207" s="311">
        <f>Données!Z208</f>
        <v>1132</v>
      </c>
      <c r="E207" s="139">
        <f>VPI!R208</f>
        <v>27704.620130718955</v>
      </c>
      <c r="F207" s="240">
        <f>'Péréquation directe'!K214</f>
        <v>-624129.35710652592</v>
      </c>
      <c r="G207" s="250">
        <f>PCS!I214</f>
        <v>482951.4183712136</v>
      </c>
      <c r="H207" s="266">
        <f>Police!L208</f>
        <v>85667.948839615623</v>
      </c>
      <c r="I207" s="350">
        <f t="shared" si="3"/>
        <v>-55509.989895696694</v>
      </c>
      <c r="J207" s="140"/>
    </row>
    <row r="208" spans="1:10" s="86" customFormat="1" x14ac:dyDescent="0.25">
      <c r="A208" s="304">
        <f>Données!A209</f>
        <v>5746</v>
      </c>
      <c r="B208" s="308" t="str">
        <f>Données!B209</f>
        <v>Bavois</v>
      </c>
      <c r="C208" s="306">
        <f>VPI!Q209</f>
        <v>72</v>
      </c>
      <c r="D208" s="311">
        <f>Données!Z209</f>
        <v>1009</v>
      </c>
      <c r="E208" s="139">
        <f>VPI!R209</f>
        <v>29513.069143518514</v>
      </c>
      <c r="F208" s="240">
        <f>'Péréquation directe'!K215</f>
        <v>-206587.25889943319</v>
      </c>
      <c r="G208" s="250">
        <f>PCS!I215</f>
        <v>496017.48335411068</v>
      </c>
      <c r="H208" s="266">
        <f>Police!L209</f>
        <v>89717.305594678444</v>
      </c>
      <c r="I208" s="350">
        <f t="shared" si="3"/>
        <v>379147.53004935593</v>
      </c>
      <c r="J208" s="140"/>
    </row>
    <row r="209" spans="1:10" s="86" customFormat="1" x14ac:dyDescent="0.25">
      <c r="A209" s="304">
        <f>Données!A210</f>
        <v>5747</v>
      </c>
      <c r="B209" s="308" t="str">
        <f>Données!B210</f>
        <v>Bofflens</v>
      </c>
      <c r="C209" s="306">
        <f>VPI!Q210</f>
        <v>69</v>
      </c>
      <c r="D209" s="311">
        <f>Données!Z210</f>
        <v>204</v>
      </c>
      <c r="E209" s="139">
        <f>VPI!R210</f>
        <v>5777.9618840579697</v>
      </c>
      <c r="F209" s="240">
        <f>'Péréquation directe'!K216</f>
        <v>-9876.3265196145949</v>
      </c>
      <c r="G209" s="250">
        <f>PCS!I216</f>
        <v>111863.74395135032</v>
      </c>
      <c r="H209" s="266">
        <f>Police!L210</f>
        <v>17731.228857131267</v>
      </c>
      <c r="I209" s="350">
        <f t="shared" si="3"/>
        <v>119718.64628886699</v>
      </c>
      <c r="J209" s="140"/>
    </row>
    <row r="210" spans="1:10" s="86" customFormat="1" x14ac:dyDescent="0.25">
      <c r="A210" s="304">
        <f>Données!A211</f>
        <v>5748</v>
      </c>
      <c r="B210" s="308" t="str">
        <f>Données!B211</f>
        <v>Bretonnières</v>
      </c>
      <c r="C210" s="306">
        <f>VPI!Q211</f>
        <v>70.5</v>
      </c>
      <c r="D210" s="311">
        <f>Données!Z211</f>
        <v>264</v>
      </c>
      <c r="E210" s="139">
        <f>VPI!R211</f>
        <v>6762.44146572104</v>
      </c>
      <c r="F210" s="240">
        <f>'Péréquation directe'!K217</f>
        <v>-100445.91268129618</v>
      </c>
      <c r="G210" s="250">
        <f>PCS!I217</f>
        <v>104519.50501879941</v>
      </c>
      <c r="H210" s="266">
        <f>Police!L211</f>
        <v>20764.922375609764</v>
      </c>
      <c r="I210" s="350">
        <f t="shared" si="3"/>
        <v>24838.514713112992</v>
      </c>
      <c r="J210" s="140"/>
    </row>
    <row r="211" spans="1:10" s="86" customFormat="1" x14ac:dyDescent="0.25">
      <c r="A211" s="304">
        <f>Données!A212</f>
        <v>5749</v>
      </c>
      <c r="B211" s="308" t="str">
        <f>Données!B212</f>
        <v>Chavornay</v>
      </c>
      <c r="C211" s="306">
        <f>VPI!Q212</f>
        <v>70.5</v>
      </c>
      <c r="D211" s="311">
        <f>Données!Z212</f>
        <v>5405</v>
      </c>
      <c r="E211" s="139">
        <f>VPI!R212</f>
        <v>144688.12992907799</v>
      </c>
      <c r="F211" s="240">
        <f>'Péréquation directe'!K218</f>
        <v>-2398293.5677190102</v>
      </c>
      <c r="G211" s="250">
        <f>PCS!I218</f>
        <v>2239089.8898095265</v>
      </c>
      <c r="H211" s="266">
        <f>Police!L212</f>
        <v>442160.72794043738</v>
      </c>
      <c r="I211" s="350">
        <f t="shared" si="3"/>
        <v>282957.05003095372</v>
      </c>
      <c r="J211" s="140"/>
    </row>
    <row r="212" spans="1:10" s="86" customFormat="1" x14ac:dyDescent="0.25">
      <c r="A212" s="304">
        <f>Données!A213</f>
        <v>5750</v>
      </c>
      <c r="B212" s="308" t="str">
        <f>Données!B213</f>
        <v>Les Clées</v>
      </c>
      <c r="C212" s="306">
        <f>VPI!Q213</f>
        <v>80</v>
      </c>
      <c r="D212" s="311">
        <f>Données!Z213</f>
        <v>186</v>
      </c>
      <c r="E212" s="139">
        <f>VPI!R213</f>
        <v>5460.4397083333333</v>
      </c>
      <c r="F212" s="240">
        <f>'Péréquation directe'!K219</f>
        <v>-59110.890001377789</v>
      </c>
      <c r="G212" s="250">
        <f>PCS!I219</f>
        <v>99138.530444492615</v>
      </c>
      <c r="H212" s="266">
        <f>Police!L213</f>
        <v>17097.454119843205</v>
      </c>
      <c r="I212" s="350">
        <f t="shared" si="3"/>
        <v>57125.094562958031</v>
      </c>
      <c r="J212" s="140"/>
    </row>
    <row r="213" spans="1:10" s="86" customFormat="1" x14ac:dyDescent="0.25">
      <c r="A213" s="304">
        <f>Données!A214</f>
        <v>5752</v>
      </c>
      <c r="B213" s="308" t="str">
        <f>Données!B214</f>
        <v>Croy</v>
      </c>
      <c r="C213" s="306">
        <f>VPI!Q214</f>
        <v>74</v>
      </c>
      <c r="D213" s="311">
        <f>Données!Z214</f>
        <v>386</v>
      </c>
      <c r="E213" s="139">
        <f>VPI!R214</f>
        <v>10204.205250965251</v>
      </c>
      <c r="F213" s="240">
        <f>'Péréquation directe'!K220</f>
        <v>-288592.51846351736</v>
      </c>
      <c r="G213" s="250">
        <f>PCS!I220</f>
        <v>153156.4508292673</v>
      </c>
      <c r="H213" s="266">
        <f>Police!L214</f>
        <v>31365.879657523474</v>
      </c>
      <c r="I213" s="350">
        <f t="shared" si="3"/>
        <v>-104070.18797672659</v>
      </c>
      <c r="J213" s="140"/>
    </row>
    <row r="214" spans="1:10" s="86" customFormat="1" x14ac:dyDescent="0.25">
      <c r="A214" s="304">
        <f>Données!A215</f>
        <v>5754</v>
      </c>
      <c r="B214" s="308" t="str">
        <f>Données!B215</f>
        <v>Juriens</v>
      </c>
      <c r="C214" s="306">
        <f>VPI!Q215</f>
        <v>79</v>
      </c>
      <c r="D214" s="311">
        <f>Données!Z215</f>
        <v>346</v>
      </c>
      <c r="E214" s="139">
        <f>VPI!R215</f>
        <v>8633.221645569618</v>
      </c>
      <c r="F214" s="240">
        <f>'Péréquation directe'!K221</f>
        <v>-106024.43302471173</v>
      </c>
      <c r="G214" s="250">
        <f>PCS!I221</f>
        <v>270457.2317869417</v>
      </c>
      <c r="H214" s="266">
        <f>Police!L215</f>
        <v>26713.13773515122</v>
      </c>
      <c r="I214" s="350">
        <f t="shared" si="3"/>
        <v>191145.93649738119</v>
      </c>
      <c r="J214" s="140"/>
    </row>
    <row r="215" spans="1:10" s="86" customFormat="1" x14ac:dyDescent="0.25">
      <c r="A215" s="304">
        <f>Données!A216</f>
        <v>5755</v>
      </c>
      <c r="B215" s="308" t="str">
        <f>Données!B216</f>
        <v>Lignerolle</v>
      </c>
      <c r="C215" s="306">
        <f>VPI!Q216</f>
        <v>78.5</v>
      </c>
      <c r="D215" s="311">
        <f>Données!Z216</f>
        <v>447</v>
      </c>
      <c r="E215" s="139">
        <f>VPI!R216</f>
        <v>10920.772411282986</v>
      </c>
      <c r="F215" s="240">
        <f>'Péréquation directe'!K222</f>
        <v>-224383.55776608665</v>
      </c>
      <c r="G215" s="250">
        <f>PCS!I222</f>
        <v>188286.18349817334</v>
      </c>
      <c r="H215" s="266">
        <f>Police!L216</f>
        <v>33681.594470316406</v>
      </c>
      <c r="I215" s="350">
        <f t="shared" si="3"/>
        <v>-2415.7797975969079</v>
      </c>
      <c r="J215" s="140"/>
    </row>
    <row r="216" spans="1:10" s="86" customFormat="1" x14ac:dyDescent="0.25">
      <c r="A216" s="304">
        <f>Données!A217</f>
        <v>5756</v>
      </c>
      <c r="B216" s="308" t="str">
        <f>Données!B217</f>
        <v>Montcherand</v>
      </c>
      <c r="C216" s="306">
        <f>VPI!Q217</f>
        <v>72</v>
      </c>
      <c r="D216" s="311">
        <f>Données!Z217</f>
        <v>496</v>
      </c>
      <c r="E216" s="139">
        <f>VPI!R217</f>
        <v>17503.013888888887</v>
      </c>
      <c r="F216" s="240">
        <f>'Péréquation directe'!K223</f>
        <v>93418.473303191247</v>
      </c>
      <c r="G216" s="250">
        <f>PCS!I223</f>
        <v>231968.92086958716</v>
      </c>
      <c r="H216" s="266">
        <f>Police!L217</f>
        <v>54228.455485666142</v>
      </c>
      <c r="I216" s="350">
        <f t="shared" si="3"/>
        <v>379615.84965844452</v>
      </c>
      <c r="J216" s="140"/>
    </row>
    <row r="217" spans="1:10" s="86" customFormat="1" x14ac:dyDescent="0.25">
      <c r="A217" s="304">
        <f>Données!A218</f>
        <v>5757</v>
      </c>
      <c r="B217" s="308" t="str">
        <f>Données!B218</f>
        <v>Orbe</v>
      </c>
      <c r="C217" s="306">
        <f>VPI!Q218</f>
        <v>75.5</v>
      </c>
      <c r="D217" s="311">
        <f>Données!Z218</f>
        <v>7617</v>
      </c>
      <c r="E217" s="139">
        <f>VPI!R218</f>
        <v>217746.16132450331</v>
      </c>
      <c r="F217" s="240">
        <f>'Péréquation directe'!K224</f>
        <v>-4674763.046577042</v>
      </c>
      <c r="G217" s="250">
        <f>PCS!I224</f>
        <v>4484979.0875546895</v>
      </c>
      <c r="H217" s="266">
        <f>Police!L218</f>
        <v>663867.2838719266</v>
      </c>
      <c r="I217" s="350">
        <f t="shared" si="3"/>
        <v>474083.32484957413</v>
      </c>
      <c r="J217" s="140"/>
    </row>
    <row r="218" spans="1:10" s="86" customFormat="1" x14ac:dyDescent="0.25">
      <c r="A218" s="304">
        <f>Données!A219</f>
        <v>5758</v>
      </c>
      <c r="B218" s="308" t="str">
        <f>Données!B219</f>
        <v>La Praz</v>
      </c>
      <c r="C218" s="306">
        <f>VPI!Q219</f>
        <v>83</v>
      </c>
      <c r="D218" s="311">
        <f>Données!Z219</f>
        <v>183</v>
      </c>
      <c r="E218" s="139">
        <f>VPI!R219</f>
        <v>4500.7037349397597</v>
      </c>
      <c r="F218" s="240">
        <f>'Péréquation directe'!K225</f>
        <v>-118734.60407225792</v>
      </c>
      <c r="G218" s="250">
        <f>PCS!I225</f>
        <v>57445.638670749824</v>
      </c>
      <c r="H218" s="266">
        <f>Police!L219</f>
        <v>13830.527371593713</v>
      </c>
      <c r="I218" s="350">
        <f t="shared" si="3"/>
        <v>-47458.438029914381</v>
      </c>
      <c r="J218" s="140"/>
    </row>
    <row r="219" spans="1:10" s="86" customFormat="1" x14ac:dyDescent="0.25">
      <c r="A219" s="304">
        <f>Données!A220</f>
        <v>5759</v>
      </c>
      <c r="B219" s="308" t="str">
        <f>Données!B220</f>
        <v>Premier</v>
      </c>
      <c r="C219" s="306">
        <f>VPI!Q220</f>
        <v>79.5</v>
      </c>
      <c r="D219" s="311">
        <f>Données!Z220</f>
        <v>236</v>
      </c>
      <c r="E219" s="139">
        <f>VPI!R220</f>
        <v>5667.0481761006295</v>
      </c>
      <c r="F219" s="240">
        <f>'Péréquation directe'!K226</f>
        <v>-97395.156783654835</v>
      </c>
      <c r="G219" s="250">
        <f>PCS!I226</f>
        <v>92775.755531993374</v>
      </c>
      <c r="H219" s="266">
        <f>Police!L220</f>
        <v>17550.691303044427</v>
      </c>
      <c r="I219" s="350">
        <f t="shared" si="3"/>
        <v>12931.290051382966</v>
      </c>
      <c r="J219" s="140"/>
    </row>
    <row r="220" spans="1:10" s="86" customFormat="1" x14ac:dyDescent="0.25">
      <c r="A220" s="304">
        <f>Données!A221</f>
        <v>5760</v>
      </c>
      <c r="B220" s="308" t="str">
        <f>Données!B221</f>
        <v>Rances</v>
      </c>
      <c r="C220" s="306">
        <f>VPI!Q221</f>
        <v>76.5</v>
      </c>
      <c r="D220" s="311">
        <f>Données!Z221</f>
        <v>521</v>
      </c>
      <c r="E220" s="139">
        <f>VPI!R221</f>
        <v>16308.667189542481</v>
      </c>
      <c r="F220" s="240">
        <f>'Péréquation directe'!K227</f>
        <v>-103217.87169546343</v>
      </c>
      <c r="G220" s="250">
        <f>PCS!I227</f>
        <v>274780.71696518199</v>
      </c>
      <c r="H220" s="266">
        <f>Police!L221</f>
        <v>50626.936914096907</v>
      </c>
      <c r="I220" s="350">
        <f t="shared" si="3"/>
        <v>222189.78218381546</v>
      </c>
      <c r="J220" s="140"/>
    </row>
    <row r="221" spans="1:10" s="86" customFormat="1" x14ac:dyDescent="0.25">
      <c r="A221" s="304">
        <f>Données!A222</f>
        <v>5761</v>
      </c>
      <c r="B221" s="308" t="str">
        <f>Données!B222</f>
        <v>Romainmôtier-Envy</v>
      </c>
      <c r="C221" s="306">
        <f>VPI!Q222</f>
        <v>81</v>
      </c>
      <c r="D221" s="311">
        <f>Données!Z222</f>
        <v>559</v>
      </c>
      <c r="E221" s="139">
        <f>VPI!R222</f>
        <v>14407.745072951739</v>
      </c>
      <c r="F221" s="240">
        <f>'Péréquation directe'!K228</f>
        <v>-304722.47684922762</v>
      </c>
      <c r="G221" s="250">
        <f>PCS!I228</f>
        <v>228060.76570089458</v>
      </c>
      <c r="H221" s="266">
        <f>Police!L222</f>
        <v>44438.545501995759</v>
      </c>
      <c r="I221" s="350">
        <f t="shared" si="3"/>
        <v>-32223.165646337278</v>
      </c>
      <c r="J221" s="140"/>
    </row>
    <row r="222" spans="1:10" s="86" customFormat="1" x14ac:dyDescent="0.25">
      <c r="A222" s="304">
        <f>Données!A223</f>
        <v>5762</v>
      </c>
      <c r="B222" s="308" t="str">
        <f>Données!B223</f>
        <v>Sergey</v>
      </c>
      <c r="C222" s="306">
        <f>VPI!Q223</f>
        <v>78</v>
      </c>
      <c r="D222" s="311">
        <f>Données!Z223</f>
        <v>140</v>
      </c>
      <c r="E222" s="139">
        <f>VPI!R223</f>
        <v>3741.3970512820511</v>
      </c>
      <c r="F222" s="240">
        <f>'Péréquation directe'!K229</f>
        <v>-58571.049895895369</v>
      </c>
      <c r="G222" s="250">
        <f>PCS!I229</f>
        <v>53434.687450440557</v>
      </c>
      <c r="H222" s="266">
        <f>Police!L223</f>
        <v>11588.777698350868</v>
      </c>
      <c r="I222" s="350">
        <f t="shared" si="3"/>
        <v>6452.4152528960567</v>
      </c>
      <c r="J222" s="140"/>
    </row>
    <row r="223" spans="1:10" s="86" customFormat="1" x14ac:dyDescent="0.25">
      <c r="A223" s="304">
        <f>Données!A224</f>
        <v>5763</v>
      </c>
      <c r="B223" s="308" t="str">
        <f>Données!B224</f>
        <v>Valeyres-sous-Rances</v>
      </c>
      <c r="C223" s="306">
        <f>VPI!Q224</f>
        <v>71</v>
      </c>
      <c r="D223" s="311">
        <f>Données!Z224</f>
        <v>606</v>
      </c>
      <c r="E223" s="139">
        <f>VPI!R224</f>
        <v>22296.785352112674</v>
      </c>
      <c r="F223" s="240">
        <f>'Péréquation directe'!K230</f>
        <v>152214.96035239787</v>
      </c>
      <c r="G223" s="250">
        <f>PCS!I230</f>
        <v>298686.66278693621</v>
      </c>
      <c r="H223" s="266">
        <f>Police!L224</f>
        <v>69453.16674224622</v>
      </c>
      <c r="I223" s="350">
        <f t="shared" si="3"/>
        <v>520354.78988158028</v>
      </c>
      <c r="J223" s="140"/>
    </row>
    <row r="224" spans="1:10" s="86" customFormat="1" x14ac:dyDescent="0.25">
      <c r="A224" s="304">
        <f>Données!A225</f>
        <v>5764</v>
      </c>
      <c r="B224" s="308" t="str">
        <f>Données!B225</f>
        <v>Vallorbe</v>
      </c>
      <c r="C224" s="306">
        <f>VPI!Q225</f>
        <v>71.5</v>
      </c>
      <c r="D224" s="311">
        <f>Données!Z225</f>
        <v>3987</v>
      </c>
      <c r="E224" s="139">
        <f>VPI!R225</f>
        <v>83714.253286713283</v>
      </c>
      <c r="F224" s="240">
        <f>'Péréquation directe'!K231</f>
        <v>-4106469.7892872524</v>
      </c>
      <c r="G224" s="250">
        <f>PCS!I231</f>
        <v>2103883.7410668842</v>
      </c>
      <c r="H224" s="266">
        <f>Police!L225</f>
        <v>255836.04165400742</v>
      </c>
      <c r="I224" s="350">
        <f t="shared" si="3"/>
        <v>-1746750.0065663606</v>
      </c>
      <c r="J224" s="140"/>
    </row>
    <row r="225" spans="1:10" s="86" customFormat="1" x14ac:dyDescent="0.25">
      <c r="A225" s="304">
        <f>Données!A226</f>
        <v>5765</v>
      </c>
      <c r="B225" s="308" t="str">
        <f>Données!B226</f>
        <v>Vaulion</v>
      </c>
      <c r="C225" s="306">
        <f>VPI!Q226</f>
        <v>81</v>
      </c>
      <c r="D225" s="311">
        <f>Données!Z226</f>
        <v>483</v>
      </c>
      <c r="E225" s="139">
        <f>VPI!R226</f>
        <v>9627.8182716049378</v>
      </c>
      <c r="F225" s="240">
        <f>'Péréquation directe'!K232</f>
        <v>-400208.45022259315</v>
      </c>
      <c r="G225" s="250">
        <f>PCS!I232</f>
        <v>135821.68422299065</v>
      </c>
      <c r="H225" s="266">
        <f>Police!L226</f>
        <v>29546.643476354351</v>
      </c>
      <c r="I225" s="350">
        <f t="shared" si="3"/>
        <v>-234840.12252324814</v>
      </c>
      <c r="J225" s="140"/>
    </row>
    <row r="226" spans="1:10" s="86" customFormat="1" x14ac:dyDescent="0.25">
      <c r="A226" s="304">
        <f>Données!A227</f>
        <v>5766</v>
      </c>
      <c r="B226" s="308" t="str">
        <f>Données!B227</f>
        <v>Vuiteboeuf</v>
      </c>
      <c r="C226" s="306">
        <f>VPI!Q227</f>
        <v>75</v>
      </c>
      <c r="D226" s="311">
        <f>Données!Z227</f>
        <v>592</v>
      </c>
      <c r="E226" s="139">
        <f>VPI!R227</f>
        <v>15422.129161904764</v>
      </c>
      <c r="F226" s="240">
        <f>'Péréquation directe'!K233</f>
        <v>-122601.93900442839</v>
      </c>
      <c r="G226" s="250">
        <f>PCS!I233</f>
        <v>288020.74378792883</v>
      </c>
      <c r="H226" s="266">
        <f>Police!L227</f>
        <v>47685.703910478071</v>
      </c>
      <c r="I226" s="350">
        <f t="shared" si="3"/>
        <v>213104.50869397851</v>
      </c>
      <c r="J226" s="140"/>
    </row>
    <row r="227" spans="1:10" s="86" customFormat="1" x14ac:dyDescent="0.25">
      <c r="A227" s="304">
        <f>Données!A228</f>
        <v>5785</v>
      </c>
      <c r="B227" s="308" t="str">
        <f>Données!B228</f>
        <v>Corcelles-le-Jorat</v>
      </c>
      <c r="C227" s="306">
        <f>VPI!Q228</f>
        <v>75</v>
      </c>
      <c r="D227" s="311">
        <f>Données!Z228</f>
        <v>485</v>
      </c>
      <c r="E227" s="139">
        <f>VPI!R228</f>
        <v>15461.79373333333</v>
      </c>
      <c r="F227" s="240">
        <f>'Péréquation directe'!K234</f>
        <v>-14271.693364728708</v>
      </c>
      <c r="G227" s="250">
        <f>PCS!I234</f>
        <v>211393.0455119613</v>
      </c>
      <c r="H227" s="266">
        <f>Police!L228</f>
        <v>47969.258326349984</v>
      </c>
      <c r="I227" s="350">
        <f t="shared" si="3"/>
        <v>245090.61047358258</v>
      </c>
      <c r="J227" s="140"/>
    </row>
    <row r="228" spans="1:10" s="86" customFormat="1" x14ac:dyDescent="0.25">
      <c r="A228" s="304">
        <f>Données!A229</f>
        <v>5790</v>
      </c>
      <c r="B228" s="308" t="str">
        <f>Données!B229</f>
        <v>Maracon</v>
      </c>
      <c r="C228" s="306">
        <f>VPI!Q229</f>
        <v>74.5</v>
      </c>
      <c r="D228" s="311">
        <f>Données!Z229</f>
        <v>544</v>
      </c>
      <c r="E228" s="139">
        <f>VPI!R229</f>
        <v>16326.326308724832</v>
      </c>
      <c r="F228" s="240">
        <f>'Péréquation directe'!K235</f>
        <v>-21974.954263985972</v>
      </c>
      <c r="G228" s="250">
        <f>PCS!I235</f>
        <v>217244.46182975522</v>
      </c>
      <c r="H228" s="266">
        <f>Police!L229</f>
        <v>50246.233763697193</v>
      </c>
      <c r="I228" s="350">
        <f t="shared" si="3"/>
        <v>245515.74132946646</v>
      </c>
      <c r="J228" s="140"/>
    </row>
    <row r="229" spans="1:10" s="86" customFormat="1" x14ac:dyDescent="0.25">
      <c r="A229" s="304">
        <f>Données!A230</f>
        <v>5792</v>
      </c>
      <c r="B229" s="308" t="str">
        <f>Données!B230</f>
        <v>Montpreveyres</v>
      </c>
      <c r="C229" s="306">
        <f>VPI!Q230</f>
        <v>75.5</v>
      </c>
      <c r="D229" s="311">
        <f>Données!Z230</f>
        <v>661</v>
      </c>
      <c r="E229" s="139">
        <f>VPI!R230</f>
        <v>19363.003178807943</v>
      </c>
      <c r="F229" s="240">
        <f>'Péréquation directe'!K236</f>
        <v>-146654.70111001952</v>
      </c>
      <c r="G229" s="250">
        <f>PCS!I236</f>
        <v>261528.30431103799</v>
      </c>
      <c r="H229" s="266">
        <f>Police!L230</f>
        <v>59381.93145374264</v>
      </c>
      <c r="I229" s="350">
        <f t="shared" si="3"/>
        <v>174255.53465476111</v>
      </c>
      <c r="J229" s="140"/>
    </row>
    <row r="230" spans="1:10" s="86" customFormat="1" x14ac:dyDescent="0.25">
      <c r="A230" s="304">
        <f>Données!A231</f>
        <v>5798</v>
      </c>
      <c r="B230" s="308" t="str">
        <f>Données!B231</f>
        <v>Ropraz</v>
      </c>
      <c r="C230" s="306">
        <f>VPI!Q231</f>
        <v>77.5</v>
      </c>
      <c r="D230" s="311">
        <f>Données!Z231</f>
        <v>529</v>
      </c>
      <c r="E230" s="139">
        <f>VPI!R231</f>
        <v>16208.095096774196</v>
      </c>
      <c r="F230" s="240">
        <f>'Péréquation directe'!K237</f>
        <v>-56835.544603269431</v>
      </c>
      <c r="G230" s="250">
        <f>PCS!I237</f>
        <v>240825.40167925006</v>
      </c>
      <c r="H230" s="266">
        <f>Police!L231</f>
        <v>49799.304385173193</v>
      </c>
      <c r="I230" s="350">
        <f t="shared" si="3"/>
        <v>233789.16146115382</v>
      </c>
      <c r="J230" s="140"/>
    </row>
    <row r="231" spans="1:10" s="86" customFormat="1" x14ac:dyDescent="0.25">
      <c r="A231" s="304">
        <f>Données!A232</f>
        <v>5799</v>
      </c>
      <c r="B231" s="308" t="str">
        <f>Données!B232</f>
        <v>Servion</v>
      </c>
      <c r="C231" s="306">
        <f>VPI!Q232</f>
        <v>69</v>
      </c>
      <c r="D231" s="311">
        <f>Données!Z232</f>
        <v>2136</v>
      </c>
      <c r="E231" s="139">
        <f>VPI!R232</f>
        <v>73170.005797101461</v>
      </c>
      <c r="F231" s="240">
        <f>'Péréquation directe'!K238</f>
        <v>-36069.456683449214</v>
      </c>
      <c r="G231" s="250">
        <f>PCS!I238</f>
        <v>1336740.5030866014</v>
      </c>
      <c r="H231" s="266">
        <f>Police!L232</f>
        <v>224069.06956484367</v>
      </c>
      <c r="I231" s="350">
        <f t="shared" si="3"/>
        <v>1524740.115967996</v>
      </c>
      <c r="J231" s="140"/>
    </row>
    <row r="232" spans="1:10" s="86" customFormat="1" x14ac:dyDescent="0.25">
      <c r="A232" s="304">
        <f>Données!A233</f>
        <v>5803</v>
      </c>
      <c r="B232" s="308" t="str">
        <f>Données!B233</f>
        <v>Vulliens</v>
      </c>
      <c r="C232" s="306">
        <f>VPI!Q233</f>
        <v>74</v>
      </c>
      <c r="D232" s="311">
        <f>Données!Z233</f>
        <v>632</v>
      </c>
      <c r="E232" s="139">
        <f>VPI!R233</f>
        <v>16577.495675675673</v>
      </c>
      <c r="F232" s="240">
        <f>'Péréquation directe'!K239</f>
        <v>-158255.94525846135</v>
      </c>
      <c r="G232" s="250">
        <f>PCS!I239</f>
        <v>275289.2346627065</v>
      </c>
      <c r="H232" s="266">
        <f>Police!L233</f>
        <v>50723.574457662406</v>
      </c>
      <c r="I232" s="350">
        <f t="shared" si="3"/>
        <v>167756.86386190756</v>
      </c>
      <c r="J232" s="140"/>
    </row>
    <row r="233" spans="1:10" s="86" customFormat="1" x14ac:dyDescent="0.25">
      <c r="A233" s="304">
        <f>Données!A234</f>
        <v>5804</v>
      </c>
      <c r="B233" s="308" t="str">
        <f>Données!B234</f>
        <v>Jorat-Menthue</v>
      </c>
      <c r="C233" s="306">
        <f>VPI!Q234</f>
        <v>70.5</v>
      </c>
      <c r="D233" s="311">
        <f>Données!Z234</f>
        <v>1565</v>
      </c>
      <c r="E233" s="139">
        <f>VPI!R234</f>
        <v>45125.096170212761</v>
      </c>
      <c r="F233" s="240">
        <f>'Péréquation directe'!K240</f>
        <v>-466114.12742147187</v>
      </c>
      <c r="G233" s="250">
        <f>PCS!I240</f>
        <v>668183.39225313487</v>
      </c>
      <c r="H233" s="266">
        <f>Police!L234</f>
        <v>138130.31306413971</v>
      </c>
      <c r="I233" s="350">
        <f t="shared" si="3"/>
        <v>340199.57789580268</v>
      </c>
      <c r="J233" s="140"/>
    </row>
    <row r="234" spans="1:10" s="86" customFormat="1" x14ac:dyDescent="0.25">
      <c r="A234" s="304">
        <f>Données!A235</f>
        <v>5805</v>
      </c>
      <c r="B234" s="308" t="str">
        <f>Données!B235</f>
        <v>Oron</v>
      </c>
      <c r="C234" s="306">
        <f>VPI!Q235</f>
        <v>69</v>
      </c>
      <c r="D234" s="311">
        <f>Données!Z235</f>
        <v>6119</v>
      </c>
      <c r="E234" s="139">
        <f>VPI!R235</f>
        <v>174503.6837022398</v>
      </c>
      <c r="F234" s="240">
        <f>'Péréquation directe'!K241</f>
        <v>-2662921.5058288123</v>
      </c>
      <c r="G234" s="250">
        <f>PCS!I241</f>
        <v>2678089.1821459206</v>
      </c>
      <c r="H234" s="266">
        <f>Police!L235</f>
        <v>532720.50876311504</v>
      </c>
      <c r="I234" s="350">
        <f t="shared" si="3"/>
        <v>547888.18508022337</v>
      </c>
      <c r="J234" s="140"/>
    </row>
    <row r="235" spans="1:10" s="86" customFormat="1" x14ac:dyDescent="0.25">
      <c r="A235" s="304">
        <f>Données!A236</f>
        <v>5806</v>
      </c>
      <c r="B235" s="308" t="str">
        <f>Données!B236</f>
        <v>Jorat-Mézières</v>
      </c>
      <c r="C235" s="306">
        <f>VPI!Q236</f>
        <v>73</v>
      </c>
      <c r="D235" s="311">
        <f>Données!Z236</f>
        <v>3110</v>
      </c>
      <c r="E235" s="139">
        <f>VPI!R236</f>
        <v>102976.58753424657</v>
      </c>
      <c r="F235" s="240">
        <f>'Péréquation directe'!K242</f>
        <v>-387690.43465782097</v>
      </c>
      <c r="G235" s="250">
        <f>PCS!I242</f>
        <v>1658996.9497703766</v>
      </c>
      <c r="H235" s="266">
        <f>Police!L236</f>
        <v>317174.93070809788</v>
      </c>
      <c r="I235" s="350">
        <f t="shared" si="3"/>
        <v>1588481.4458206533</v>
      </c>
      <c r="J235" s="140"/>
    </row>
    <row r="236" spans="1:10" s="86" customFormat="1" x14ac:dyDescent="0.25">
      <c r="A236" s="304">
        <f>Données!A237</f>
        <v>5812</v>
      </c>
      <c r="B236" s="308" t="str">
        <f>Données!B237</f>
        <v>Champtauroz</v>
      </c>
      <c r="C236" s="306">
        <f>VPI!Q237</f>
        <v>77</v>
      </c>
      <c r="D236" s="311">
        <f>Données!Z237</f>
        <v>169</v>
      </c>
      <c r="E236" s="139">
        <f>VPI!R237</f>
        <v>3659.2728571428574</v>
      </c>
      <c r="F236" s="240">
        <f>'Péréquation directe'!K243</f>
        <v>-94524.288828098724</v>
      </c>
      <c r="G236" s="250">
        <f>PCS!I243</f>
        <v>68855.725471231242</v>
      </c>
      <c r="H236" s="266">
        <f>Police!L237</f>
        <v>11246.765100191855</v>
      </c>
      <c r="I236" s="350">
        <f t="shared" si="3"/>
        <v>-14421.798256675627</v>
      </c>
      <c r="J236" s="140"/>
    </row>
    <row r="237" spans="1:10" s="86" customFormat="1" x14ac:dyDescent="0.25">
      <c r="A237" s="304">
        <f>Données!A238</f>
        <v>5813</v>
      </c>
      <c r="B237" s="308" t="str">
        <f>Données!B238</f>
        <v>Chevroux</v>
      </c>
      <c r="C237" s="306">
        <f>VPI!Q238</f>
        <v>68.5</v>
      </c>
      <c r="D237" s="311">
        <f>Données!Z238</f>
        <v>522</v>
      </c>
      <c r="E237" s="139">
        <f>VPI!R238</f>
        <v>17497.520778588809</v>
      </c>
      <c r="F237" s="240">
        <f>'Péréquation directe'!K244</f>
        <v>-34788.941603241256</v>
      </c>
      <c r="G237" s="250">
        <f>PCS!I244</f>
        <v>300473.52605062956</v>
      </c>
      <c r="H237" s="266">
        <f>Police!L238</f>
        <v>53800.200113754167</v>
      </c>
      <c r="I237" s="350">
        <f t="shared" si="3"/>
        <v>319484.78456114244</v>
      </c>
      <c r="J237" s="140"/>
    </row>
    <row r="238" spans="1:10" s="86" customFormat="1" x14ac:dyDescent="0.25">
      <c r="A238" s="304">
        <f>Données!A239</f>
        <v>5816</v>
      </c>
      <c r="B238" s="308" t="str">
        <f>Données!B239</f>
        <v>Corcelles-près-Payerne</v>
      </c>
      <c r="C238" s="306">
        <f>VPI!Q239</f>
        <v>68.5</v>
      </c>
      <c r="D238" s="311">
        <f>Données!Z239</f>
        <v>2856</v>
      </c>
      <c r="E238" s="139">
        <f>VPI!R239</f>
        <v>65699.549864442117</v>
      </c>
      <c r="F238" s="240">
        <f>'Péréquation directe'!K245</f>
        <v>-1191829.2460590543</v>
      </c>
      <c r="G238" s="250">
        <f>PCS!I245</f>
        <v>1037033.7149601716</v>
      </c>
      <c r="H238" s="266">
        <f>Police!L239</f>
        <v>199781.71611971024</v>
      </c>
      <c r="I238" s="350">
        <f t="shared" si="3"/>
        <v>44986.185020827572</v>
      </c>
      <c r="J238" s="140"/>
    </row>
    <row r="239" spans="1:10" s="86" customFormat="1" x14ac:dyDescent="0.25">
      <c r="A239" s="304">
        <f>Données!A240</f>
        <v>5817</v>
      </c>
      <c r="B239" s="308" t="str">
        <f>Données!B240</f>
        <v>Grandcour</v>
      </c>
      <c r="C239" s="306">
        <f>VPI!Q240</f>
        <v>73.5</v>
      </c>
      <c r="D239" s="311">
        <f>Données!Z240</f>
        <v>1001</v>
      </c>
      <c r="E239" s="139">
        <f>VPI!R240</f>
        <v>25916.533605442175</v>
      </c>
      <c r="F239" s="240">
        <f>'Péréquation directe'!K246</f>
        <v>-217714.40308356809</v>
      </c>
      <c r="G239" s="250">
        <f>PCS!I246</f>
        <v>423184.34089847631</v>
      </c>
      <c r="H239" s="266">
        <f>Police!L240</f>
        <v>80016.28689905291</v>
      </c>
      <c r="I239" s="350">
        <f t="shared" si="3"/>
        <v>285486.22471396113</v>
      </c>
      <c r="J239" s="140"/>
    </row>
    <row r="240" spans="1:10" s="86" customFormat="1" x14ac:dyDescent="0.25">
      <c r="A240" s="304">
        <f>Données!A241</f>
        <v>5819</v>
      </c>
      <c r="B240" s="308" t="str">
        <f>Données!B241</f>
        <v>Henniez</v>
      </c>
      <c r="C240" s="306">
        <f>VPI!Q241</f>
        <v>69</v>
      </c>
      <c r="D240" s="311">
        <f>Données!Z241</f>
        <v>414</v>
      </c>
      <c r="E240" s="139">
        <f>VPI!R241</f>
        <v>10275.484492753623</v>
      </c>
      <c r="F240" s="240">
        <f>'Péréquation directe'!K247</f>
        <v>-136722.15727393809</v>
      </c>
      <c r="G240" s="250">
        <f>PCS!I247</f>
        <v>219375.1287906841</v>
      </c>
      <c r="H240" s="266">
        <f>Police!L241</f>
        <v>30577.270164812806</v>
      </c>
      <c r="I240" s="350">
        <f t="shared" si="3"/>
        <v>113230.24168155881</v>
      </c>
      <c r="J240" s="140"/>
    </row>
    <row r="241" spans="1:10" s="86" customFormat="1" x14ac:dyDescent="0.25">
      <c r="A241" s="304">
        <f>Données!A242</f>
        <v>5821</v>
      </c>
      <c r="B241" s="308" t="str">
        <f>Données!B242</f>
        <v>Missy</v>
      </c>
      <c r="C241" s="306">
        <f>VPI!Q242</f>
        <v>72</v>
      </c>
      <c r="D241" s="311">
        <f>Données!Z242</f>
        <v>387</v>
      </c>
      <c r="E241" s="139">
        <f>VPI!R242</f>
        <v>8375.9038888888899</v>
      </c>
      <c r="F241" s="240">
        <f>'Péréquation directe'!K248</f>
        <v>-142668.05300253714</v>
      </c>
      <c r="G241" s="250">
        <f>PCS!I248</f>
        <v>144957.80922291329</v>
      </c>
      <c r="H241" s="266">
        <f>Police!L242</f>
        <v>25555.727884239979</v>
      </c>
      <c r="I241" s="350">
        <f t="shared" si="3"/>
        <v>27845.484104616127</v>
      </c>
      <c r="J241" s="140"/>
    </row>
    <row r="242" spans="1:10" s="86" customFormat="1" x14ac:dyDescent="0.25">
      <c r="A242" s="304">
        <f>Données!A243</f>
        <v>5822</v>
      </c>
      <c r="B242" s="308" t="str">
        <f>Données!B243</f>
        <v>Payerne</v>
      </c>
      <c r="C242" s="306">
        <f>VPI!Q243</f>
        <v>73</v>
      </c>
      <c r="D242" s="311">
        <f>Données!Z243</f>
        <v>10372</v>
      </c>
      <c r="E242" s="139">
        <f>VPI!R243</f>
        <v>226829.36520547947</v>
      </c>
      <c r="F242" s="240">
        <f>'Péréquation directe'!K249</f>
        <v>-7807538.9674565643</v>
      </c>
      <c r="G242" s="250">
        <f>PCS!I249</f>
        <v>3857721.0651279795</v>
      </c>
      <c r="H242" s="266">
        <f>Police!L243</f>
        <v>687165.3179729213</v>
      </c>
      <c r="I242" s="350">
        <f t="shared" si="3"/>
        <v>-3262652.5843556635</v>
      </c>
      <c r="J242" s="140"/>
    </row>
    <row r="243" spans="1:10" s="86" customFormat="1" x14ac:dyDescent="0.25">
      <c r="A243" s="304">
        <f>Données!A244</f>
        <v>5827</v>
      </c>
      <c r="B243" s="308" t="str">
        <f>Données!B244</f>
        <v>Trey</v>
      </c>
      <c r="C243" s="306">
        <f>VPI!Q244</f>
        <v>78</v>
      </c>
      <c r="D243" s="311">
        <f>Données!Z244</f>
        <v>302</v>
      </c>
      <c r="E243" s="139">
        <f>VPI!R244</f>
        <v>7714.9719230769242</v>
      </c>
      <c r="F243" s="240">
        <f>'Péréquation directe'!K250</f>
        <v>-83313.180544444243</v>
      </c>
      <c r="G243" s="250">
        <f>PCS!I250</f>
        <v>121061.09972613721</v>
      </c>
      <c r="H243" s="266">
        <f>Police!L244</f>
        <v>23726.350937308071</v>
      </c>
      <c r="I243" s="350">
        <f t="shared" si="3"/>
        <v>61474.270119001041</v>
      </c>
      <c r="J243" s="140"/>
    </row>
    <row r="244" spans="1:10" s="86" customFormat="1" x14ac:dyDescent="0.25">
      <c r="A244" s="304">
        <f>Données!A245</f>
        <v>5828</v>
      </c>
      <c r="B244" s="308" t="str">
        <f>Données!B245</f>
        <v>Treytorrens (Payerne)</v>
      </c>
      <c r="C244" s="306">
        <f>VPI!Q245</f>
        <v>81.5</v>
      </c>
      <c r="D244" s="311">
        <f>Données!Z245</f>
        <v>105</v>
      </c>
      <c r="E244" s="139">
        <f>VPI!R245</f>
        <v>2864.8037627811859</v>
      </c>
      <c r="F244" s="240">
        <f>'Péréquation directe'!K251</f>
        <v>-54802.401721524599</v>
      </c>
      <c r="G244" s="250">
        <f>PCS!I251</f>
        <v>46752.772110528022</v>
      </c>
      <c r="H244" s="266">
        <f>Police!L245</f>
        <v>8847.154376207407</v>
      </c>
      <c r="I244" s="350">
        <f t="shared" si="3"/>
        <v>797.52476521083008</v>
      </c>
      <c r="J244" s="140"/>
    </row>
    <row r="245" spans="1:10" s="86" customFormat="1" x14ac:dyDescent="0.25">
      <c r="A245" s="304">
        <f>Données!A246</f>
        <v>5830</v>
      </c>
      <c r="B245" s="308" t="str">
        <f>Données!B246</f>
        <v>Villarzel</v>
      </c>
      <c r="C245" s="306">
        <f>VPI!Q246</f>
        <v>75</v>
      </c>
      <c r="D245" s="311">
        <f>Données!Z246</f>
        <v>486</v>
      </c>
      <c r="E245" s="139">
        <f>VPI!R246</f>
        <v>12474.066133333334</v>
      </c>
      <c r="F245" s="240">
        <f>'Péréquation directe'!K252</f>
        <v>-166359.44541987823</v>
      </c>
      <c r="G245" s="250">
        <f>PCS!I252</f>
        <v>187707.21817462839</v>
      </c>
      <c r="H245" s="266">
        <f>Police!L246</f>
        <v>38748.738130468773</v>
      </c>
      <c r="I245" s="350">
        <f t="shared" si="3"/>
        <v>60096.51088521893</v>
      </c>
      <c r="J245" s="140"/>
    </row>
    <row r="246" spans="1:10" s="86" customFormat="1" x14ac:dyDescent="0.25">
      <c r="A246" s="304">
        <f>Données!A247</f>
        <v>5831</v>
      </c>
      <c r="B246" s="308" t="str">
        <f>Données!B247</f>
        <v>Valbroye</v>
      </c>
      <c r="C246" s="306">
        <f>VPI!Q247</f>
        <v>70.5</v>
      </c>
      <c r="D246" s="311">
        <f>Données!Z247</f>
        <v>3361</v>
      </c>
      <c r="E246" s="139">
        <f>VPI!R247</f>
        <v>87465.086477541365</v>
      </c>
      <c r="F246" s="240">
        <f>'Péréquation directe'!K253</f>
        <v>-1760130.5251319194</v>
      </c>
      <c r="G246" s="250">
        <f>PCS!I253</f>
        <v>1534730.6196986139</v>
      </c>
      <c r="H246" s="266">
        <f>Police!L247</f>
        <v>267957.92056412681</v>
      </c>
      <c r="I246" s="350">
        <f t="shared" si="3"/>
        <v>42558.015130821266</v>
      </c>
      <c r="J246" s="140"/>
    </row>
    <row r="247" spans="1:10" s="86" customFormat="1" x14ac:dyDescent="0.25">
      <c r="A247" s="304">
        <f>Données!A248</f>
        <v>5841</v>
      </c>
      <c r="B247" s="308" t="str">
        <f>Données!B248</f>
        <v>Château-d'Oex</v>
      </c>
      <c r="C247" s="306">
        <f>VPI!Q248</f>
        <v>81.5</v>
      </c>
      <c r="D247" s="311">
        <f>Données!Z248</f>
        <v>3568</v>
      </c>
      <c r="E247" s="139">
        <f>VPI!R248</f>
        <v>123825.99529652353</v>
      </c>
      <c r="F247" s="240">
        <f>'Péréquation directe'!K254</f>
        <v>-2101621.9428075738</v>
      </c>
      <c r="G247" s="250">
        <f>PCS!I254</f>
        <v>2664715.3548459383</v>
      </c>
      <c r="H247" s="266">
        <f>Police!L248</f>
        <v>375241.35750261496</v>
      </c>
      <c r="I247" s="350">
        <f t="shared" si="3"/>
        <v>938334.76954097941</v>
      </c>
      <c r="J247" s="140"/>
    </row>
    <row r="248" spans="1:10" s="86" customFormat="1" x14ac:dyDescent="0.25">
      <c r="A248" s="304">
        <f>Données!A249</f>
        <v>5842</v>
      </c>
      <c r="B248" s="308" t="str">
        <f>Données!B249</f>
        <v>Rossinière</v>
      </c>
      <c r="C248" s="306">
        <f>VPI!Q249</f>
        <v>81</v>
      </c>
      <c r="D248" s="311">
        <f>Données!Z249</f>
        <v>534</v>
      </c>
      <c r="E248" s="139">
        <f>VPI!R249</f>
        <v>16473.108683127575</v>
      </c>
      <c r="F248" s="240">
        <f>'Péréquation directe'!K255</f>
        <v>-302811.57789582515</v>
      </c>
      <c r="G248" s="250">
        <f>PCS!I255</f>
        <v>256256.04442144567</v>
      </c>
      <c r="H248" s="266">
        <f>Police!L249</f>
        <v>50968.279884779367</v>
      </c>
      <c r="I248" s="350">
        <f t="shared" si="3"/>
        <v>4412.7464103998864</v>
      </c>
      <c r="J248" s="140"/>
    </row>
    <row r="249" spans="1:10" s="86" customFormat="1" x14ac:dyDescent="0.25">
      <c r="A249" s="304">
        <f>Données!A250</f>
        <v>5843</v>
      </c>
      <c r="B249" s="308" t="str">
        <f>Données!B250</f>
        <v>Rougemont</v>
      </c>
      <c r="C249" s="306">
        <f>VPI!Q250</f>
        <v>79</v>
      </c>
      <c r="D249" s="311">
        <f>Données!Z250</f>
        <v>826</v>
      </c>
      <c r="E249" s="139">
        <f>VPI!R250</f>
        <v>89735.240928270054</v>
      </c>
      <c r="F249" s="240">
        <f>'Péréquation directe'!K256</f>
        <v>1550112.605994822</v>
      </c>
      <c r="G249" s="250">
        <f>PCS!I256</f>
        <v>3519459.2130802064</v>
      </c>
      <c r="H249" s="266">
        <f>Police!L250</f>
        <v>184192.42635179227</v>
      </c>
      <c r="I249" s="350">
        <f t="shared" si="3"/>
        <v>5253764.2454268206</v>
      </c>
      <c r="J249" s="140"/>
    </row>
    <row r="250" spans="1:10" s="86" customFormat="1" x14ac:dyDescent="0.25">
      <c r="A250" s="304">
        <f>Données!A251</f>
        <v>5851</v>
      </c>
      <c r="B250" s="308" t="str">
        <f>Données!B251</f>
        <v>Allaman</v>
      </c>
      <c r="C250" s="306">
        <f>VPI!Q251</f>
        <v>65</v>
      </c>
      <c r="D250" s="311">
        <f>Données!Z251</f>
        <v>420</v>
      </c>
      <c r="E250" s="139">
        <f>VPI!R251</f>
        <v>24650.249641025639</v>
      </c>
      <c r="F250" s="240">
        <f>'Péréquation directe'!K257</f>
        <v>420730.85834366339</v>
      </c>
      <c r="G250" s="250">
        <f>PCS!I257</f>
        <v>677362.78042910865</v>
      </c>
      <c r="H250" s="266">
        <f>Police!L251</f>
        <v>67627.185162434151</v>
      </c>
      <c r="I250" s="350">
        <f t="shared" si="3"/>
        <v>1165720.8239352063</v>
      </c>
      <c r="J250" s="140"/>
    </row>
    <row r="251" spans="1:10" s="86" customFormat="1" x14ac:dyDescent="0.25">
      <c r="A251" s="304">
        <f>Données!A252</f>
        <v>5852</v>
      </c>
      <c r="B251" s="308" t="str">
        <f>Données!B252</f>
        <v>Bursinel</v>
      </c>
      <c r="C251" s="306">
        <f>VPI!Q252</f>
        <v>62</v>
      </c>
      <c r="D251" s="311">
        <f>Données!Z252</f>
        <v>503</v>
      </c>
      <c r="E251" s="139">
        <f>VPI!R252</f>
        <v>35648.966451612905</v>
      </c>
      <c r="F251" s="240">
        <f>'Péréquation directe'!K258</f>
        <v>632872.36062999046</v>
      </c>
      <c r="G251" s="250">
        <f>PCS!I258</f>
        <v>745316.29024655896</v>
      </c>
      <c r="H251" s="266">
        <f>Police!L252</f>
        <v>88594.62892586313</v>
      </c>
      <c r="I251" s="350">
        <f t="shared" si="3"/>
        <v>1466783.2798024127</v>
      </c>
      <c r="J251" s="140"/>
    </row>
    <row r="252" spans="1:10" s="86" customFormat="1" x14ac:dyDescent="0.25">
      <c r="A252" s="304">
        <f>Données!A253</f>
        <v>5853</v>
      </c>
      <c r="B252" s="308" t="str">
        <f>Données!B253</f>
        <v>Bursins</v>
      </c>
      <c r="C252" s="306">
        <f>VPI!Q253</f>
        <v>71</v>
      </c>
      <c r="D252" s="311">
        <f>Données!Z253</f>
        <v>766</v>
      </c>
      <c r="E252" s="139">
        <f>VPI!R253</f>
        <v>47535.713943661962</v>
      </c>
      <c r="F252" s="240">
        <f>'Péréquation directe'!K259</f>
        <v>831399.38961888524</v>
      </c>
      <c r="G252" s="250">
        <f>PCS!I259</f>
        <v>1164900.1076481557</v>
      </c>
      <c r="H252" s="266">
        <f>Police!L253</f>
        <v>126538.40922225964</v>
      </c>
      <c r="I252" s="350">
        <f t="shared" si="3"/>
        <v>2122837.9064893005</v>
      </c>
      <c r="J252" s="140"/>
    </row>
    <row r="253" spans="1:10" s="86" customFormat="1" x14ac:dyDescent="0.25">
      <c r="A253" s="304">
        <f>Données!A254</f>
        <v>5854</v>
      </c>
      <c r="B253" s="308" t="str">
        <f>Données!B254</f>
        <v>Burtigny</v>
      </c>
      <c r="C253" s="306">
        <f>VPI!Q254</f>
        <v>78.5</v>
      </c>
      <c r="D253" s="311">
        <f>Données!Z254</f>
        <v>414</v>
      </c>
      <c r="E253" s="139">
        <f>VPI!R254</f>
        <v>15260.82696390658</v>
      </c>
      <c r="F253" s="240">
        <f>'Péréquation directe'!K260</f>
        <v>99857.075055266556</v>
      </c>
      <c r="G253" s="250">
        <f>PCS!I260</f>
        <v>247370.31734885761</v>
      </c>
      <c r="H253" s="266">
        <f>Police!L254</f>
        <v>47362.026824877801</v>
      </c>
      <c r="I253" s="350">
        <f t="shared" si="3"/>
        <v>394589.41922900197</v>
      </c>
      <c r="J253" s="140"/>
    </row>
    <row r="254" spans="1:10" s="86" customFormat="1" x14ac:dyDescent="0.25">
      <c r="A254" s="304">
        <f>Données!A255</f>
        <v>5855</v>
      </c>
      <c r="B254" s="308" t="str">
        <f>Données!B255</f>
        <v>Dully</v>
      </c>
      <c r="C254" s="306">
        <f>VPI!Q255</f>
        <v>53</v>
      </c>
      <c r="D254" s="311">
        <f>Données!Z255</f>
        <v>631</v>
      </c>
      <c r="E254" s="139">
        <f>VPI!R255</f>
        <v>82571.316415094334</v>
      </c>
      <c r="F254" s="240">
        <f>'Péréquation directe'!K261</f>
        <v>1535928.9675980725</v>
      </c>
      <c r="G254" s="250">
        <f>PCS!I261</f>
        <v>2829674.2985414192</v>
      </c>
      <c r="H254" s="266">
        <f>Police!L255</f>
        <v>158105.887913796</v>
      </c>
      <c r="I254" s="350">
        <f t="shared" si="3"/>
        <v>4523709.1540532876</v>
      </c>
      <c r="J254" s="140"/>
    </row>
    <row r="255" spans="1:10" s="86" customFormat="1" x14ac:dyDescent="0.25">
      <c r="A255" s="304">
        <f>Données!A256</f>
        <v>5856</v>
      </c>
      <c r="B255" s="308" t="str">
        <f>Données!B256</f>
        <v>Essertines-sur-Rolle</v>
      </c>
      <c r="C255" s="306">
        <f>VPI!Q256</f>
        <v>66.5</v>
      </c>
      <c r="D255" s="311">
        <f>Données!Z256</f>
        <v>749</v>
      </c>
      <c r="E255" s="139">
        <f>VPI!R256</f>
        <v>36460.735639097751</v>
      </c>
      <c r="F255" s="240">
        <f>'Péréquation directe'!K262</f>
        <v>616520.08562430507</v>
      </c>
      <c r="G255" s="250">
        <f>PCS!I262</f>
        <v>569049.86223760014</v>
      </c>
      <c r="H255" s="266">
        <f>Police!L256</f>
        <v>111296.96549493678</v>
      </c>
      <c r="I255" s="350">
        <f t="shared" si="3"/>
        <v>1296866.913356842</v>
      </c>
      <c r="J255" s="140"/>
    </row>
    <row r="256" spans="1:10" s="86" customFormat="1" x14ac:dyDescent="0.25">
      <c r="A256" s="304">
        <f>Données!A257</f>
        <v>5857</v>
      </c>
      <c r="B256" s="308" t="str">
        <f>Données!B257</f>
        <v>Gilly</v>
      </c>
      <c r="C256" s="306">
        <f>VPI!Q257</f>
        <v>64.5</v>
      </c>
      <c r="D256" s="311">
        <f>Données!Z257</f>
        <v>1446</v>
      </c>
      <c r="E256" s="139">
        <f>VPI!R257</f>
        <v>87016.843255813976</v>
      </c>
      <c r="F256" s="240">
        <f>'Péréquation directe'!K263</f>
        <v>1410883.304131262</v>
      </c>
      <c r="G256" s="250">
        <f>PCS!I263</f>
        <v>1592745.4282579252</v>
      </c>
      <c r="H256" s="266">
        <f>Police!L257</f>
        <v>235497.9750800608</v>
      </c>
      <c r="I256" s="350">
        <f t="shared" si="3"/>
        <v>3239126.7074692482</v>
      </c>
      <c r="J256" s="140"/>
    </row>
    <row r="257" spans="1:10" s="86" customFormat="1" x14ac:dyDescent="0.25">
      <c r="A257" s="304">
        <f>Données!A258</f>
        <v>5858</v>
      </c>
      <c r="B257" s="308" t="str">
        <f>Données!B258</f>
        <v>Luins</v>
      </c>
      <c r="C257" s="306">
        <f>VPI!Q258</f>
        <v>58.5</v>
      </c>
      <c r="D257" s="311">
        <f>Données!Z258</f>
        <v>618</v>
      </c>
      <c r="E257" s="139">
        <f>VPI!R258</f>
        <v>41161.497549857544</v>
      </c>
      <c r="F257" s="240">
        <f>'Péréquation directe'!K264</f>
        <v>725853.99579167261</v>
      </c>
      <c r="G257" s="250">
        <f>PCS!I264</f>
        <v>872997.07114121527</v>
      </c>
      <c r="H257" s="266">
        <f>Police!L258</f>
        <v>105576.75864722842</v>
      </c>
      <c r="I257" s="350">
        <f t="shared" si="3"/>
        <v>1704427.8255801161</v>
      </c>
      <c r="J257" s="140"/>
    </row>
    <row r="258" spans="1:10" s="86" customFormat="1" x14ac:dyDescent="0.25">
      <c r="A258" s="304">
        <f>Données!A259</f>
        <v>5859</v>
      </c>
      <c r="B258" s="308" t="str">
        <f>Données!B259</f>
        <v>Mont-sur-Rolle</v>
      </c>
      <c r="C258" s="306">
        <f>VPI!Q259</f>
        <v>63.5</v>
      </c>
      <c r="D258" s="311">
        <f>Données!Z259</f>
        <v>2759</v>
      </c>
      <c r="E258" s="139">
        <f>VPI!R259</f>
        <v>158432.4612598425</v>
      </c>
      <c r="F258" s="240">
        <f>'Péréquation directe'!K265</f>
        <v>2100445.9837197382</v>
      </c>
      <c r="G258" s="250">
        <f>PCS!I265</f>
        <v>3018299.1856465633</v>
      </c>
      <c r="H258" s="266">
        <f>Police!L259</f>
        <v>439907.99864171026</v>
      </c>
      <c r="I258" s="350">
        <f t="shared" si="3"/>
        <v>5558653.1680080127</v>
      </c>
      <c r="J258" s="140"/>
    </row>
    <row r="259" spans="1:10" s="86" customFormat="1" x14ac:dyDescent="0.25">
      <c r="A259" s="304">
        <f>Données!A260</f>
        <v>5860</v>
      </c>
      <c r="B259" s="308" t="str">
        <f>Données!B260</f>
        <v>Perroy</v>
      </c>
      <c r="C259" s="306">
        <f>VPI!Q260</f>
        <v>58.5</v>
      </c>
      <c r="D259" s="311">
        <f>Données!Z260</f>
        <v>1542</v>
      </c>
      <c r="E259" s="139">
        <f>VPI!R260</f>
        <v>132372.96084155163</v>
      </c>
      <c r="F259" s="240">
        <f>'Péréquation directe'!K266</f>
        <v>2264768.5671798964</v>
      </c>
      <c r="G259" s="250">
        <f>PCS!I266</f>
        <v>3114981.8853328293</v>
      </c>
      <c r="H259" s="266">
        <f>Police!L260</f>
        <v>300243.67974730267</v>
      </c>
      <c r="I259" s="350">
        <f t="shared" si="3"/>
        <v>5679994.1322600292</v>
      </c>
      <c r="J259" s="140"/>
    </row>
    <row r="260" spans="1:10" s="86" customFormat="1" x14ac:dyDescent="0.25">
      <c r="A260" s="304">
        <f>Données!A261</f>
        <v>5861</v>
      </c>
      <c r="B260" s="308" t="str">
        <f>Données!B261</f>
        <v>Rolle</v>
      </c>
      <c r="C260" s="306">
        <f>VPI!Q261</f>
        <v>59.5</v>
      </c>
      <c r="D260" s="311">
        <f>Données!Z261</f>
        <v>6321</v>
      </c>
      <c r="E260" s="139">
        <f>VPI!R261</f>
        <v>796252.79529411776</v>
      </c>
      <c r="F260" s="240">
        <f>'Péréquation directe'!K267</f>
        <v>12862756.841513887</v>
      </c>
      <c r="G260" s="250">
        <f>PCS!I267</f>
        <v>22592658.619484603</v>
      </c>
      <c r="H260" s="266">
        <f>Police!L261</f>
        <v>1545473.6056677408</v>
      </c>
      <c r="I260" s="350">
        <f t="shared" si="3"/>
        <v>37000889.066666231</v>
      </c>
      <c r="J260" s="140"/>
    </row>
    <row r="261" spans="1:10" s="86" customFormat="1" x14ac:dyDescent="0.25">
      <c r="A261" s="304">
        <f>Données!A262</f>
        <v>5862</v>
      </c>
      <c r="B261" s="308" t="str">
        <f>Données!B262</f>
        <v>Tartegnin</v>
      </c>
      <c r="C261" s="306">
        <f>VPI!Q262</f>
        <v>79</v>
      </c>
      <c r="D261" s="311">
        <f>Données!Z262</f>
        <v>249</v>
      </c>
      <c r="E261" s="139">
        <f>VPI!R262</f>
        <v>10371.38594936709</v>
      </c>
      <c r="F261" s="240">
        <f>'Péréquation directe'!K268</f>
        <v>131863.94466663379</v>
      </c>
      <c r="G261" s="250">
        <f>PCS!I268</f>
        <v>212364.37882796652</v>
      </c>
      <c r="H261" s="266">
        <f>Police!L262</f>
        <v>32330.340601221687</v>
      </c>
      <c r="I261" s="350">
        <f t="shared" si="3"/>
        <v>376558.66409582202</v>
      </c>
      <c r="J261" s="140"/>
    </row>
    <row r="262" spans="1:10" s="86" customFormat="1" x14ac:dyDescent="0.25">
      <c r="A262" s="304">
        <f>Données!A263</f>
        <v>5863</v>
      </c>
      <c r="B262" s="308" t="str">
        <f>Données!B263</f>
        <v>Vinzel</v>
      </c>
      <c r="C262" s="306">
        <f>VPI!Q263</f>
        <v>67</v>
      </c>
      <c r="D262" s="311">
        <f>Données!Z263</f>
        <v>378</v>
      </c>
      <c r="E262" s="139">
        <f>VPI!R263</f>
        <v>23660.86104477612</v>
      </c>
      <c r="F262" s="240">
        <f>'Péréquation directe'!K269</f>
        <v>414258.00305350841</v>
      </c>
      <c r="G262" s="250">
        <f>PCS!I269</f>
        <v>468193.33240299835</v>
      </c>
      <c r="H262" s="266">
        <f>Police!L263</f>
        <v>62695.48395705146</v>
      </c>
      <c r="I262" s="350">
        <f t="shared" ref="I262:I304" si="4">SUM(F262:H262)</f>
        <v>945146.81941355823</v>
      </c>
      <c r="J262" s="140"/>
    </row>
    <row r="263" spans="1:10" s="86" customFormat="1" x14ac:dyDescent="0.25">
      <c r="A263" s="304">
        <f>Données!A264</f>
        <v>5871</v>
      </c>
      <c r="B263" s="308" t="str">
        <f>Données!B264</f>
        <v>L'Abbaye</v>
      </c>
      <c r="C263" s="306">
        <f>VPI!Q264</f>
        <v>77.3</v>
      </c>
      <c r="D263" s="311">
        <f>Données!Z264</f>
        <v>1534</v>
      </c>
      <c r="E263" s="139">
        <f>VPI!R264</f>
        <v>50235.576326002578</v>
      </c>
      <c r="F263" s="240">
        <f>'Péréquation directe'!K270</f>
        <v>-322990.71825205721</v>
      </c>
      <c r="G263" s="250">
        <f>PCS!I270</f>
        <v>1023876.6654795378</v>
      </c>
      <c r="H263" s="266">
        <f>Police!L264</f>
        <v>155042.04100595292</v>
      </c>
      <c r="I263" s="350">
        <f t="shared" si="4"/>
        <v>855927.98823343357</v>
      </c>
      <c r="J263" s="140"/>
    </row>
    <row r="264" spans="1:10" s="86" customFormat="1" x14ac:dyDescent="0.25">
      <c r="A264" s="304">
        <f>Données!A265</f>
        <v>5872</v>
      </c>
      <c r="B264" s="308" t="str">
        <f>Données!B265</f>
        <v>Le Chenit</v>
      </c>
      <c r="C264" s="306">
        <f>VPI!Q265</f>
        <v>66.83</v>
      </c>
      <c r="D264" s="311">
        <f>Données!Z265</f>
        <v>4613</v>
      </c>
      <c r="E264" s="139">
        <f>VPI!R265</f>
        <v>316919.42630555143</v>
      </c>
      <c r="F264" s="240">
        <f>'Péréquation directe'!K271</f>
        <v>3313092.2688086387</v>
      </c>
      <c r="G264" s="250">
        <f>PCS!I271</f>
        <v>8341707.3903751187</v>
      </c>
      <c r="H264" s="266">
        <f>Police!L265</f>
        <v>800070.47392224567</v>
      </c>
      <c r="I264" s="350">
        <f t="shared" si="4"/>
        <v>12454870.133106003</v>
      </c>
      <c r="J264" s="140"/>
    </row>
    <row r="265" spans="1:10" s="86" customFormat="1" x14ac:dyDescent="0.25">
      <c r="A265" s="304">
        <f>Données!A266</f>
        <v>5873</v>
      </c>
      <c r="B265" s="308" t="str">
        <f>Données!B266</f>
        <v>Le Lieu</v>
      </c>
      <c r="C265" s="306">
        <f>VPI!Q266</f>
        <v>70</v>
      </c>
      <c r="D265" s="311">
        <f>Données!Z266</f>
        <v>886</v>
      </c>
      <c r="E265" s="139">
        <f>VPI!R266</f>
        <v>35203.466500000002</v>
      </c>
      <c r="F265" s="240">
        <f>'Péréquation directe'!K272</f>
        <v>-225489.11747811711</v>
      </c>
      <c r="G265" s="250">
        <f>PCS!I272</f>
        <v>827613.52013103396</v>
      </c>
      <c r="H265" s="266">
        <f>Police!L266</f>
        <v>109761.16446368986</v>
      </c>
      <c r="I265" s="350">
        <f t="shared" si="4"/>
        <v>711885.56711660675</v>
      </c>
      <c r="J265" s="140"/>
    </row>
    <row r="266" spans="1:10" s="86" customFormat="1" x14ac:dyDescent="0.25">
      <c r="A266" s="304">
        <f>Données!A267</f>
        <v>5882</v>
      </c>
      <c r="B266" s="308" t="str">
        <f>Données!B267</f>
        <v>Chardonne</v>
      </c>
      <c r="C266" s="306">
        <f>VPI!Q267</f>
        <v>68</v>
      </c>
      <c r="D266" s="311">
        <f>Données!Z267</f>
        <v>3192</v>
      </c>
      <c r="E266" s="139">
        <f>VPI!R267</f>
        <v>201755.16911764705</v>
      </c>
      <c r="F266" s="240">
        <f>'Péréquation directe'!K273</f>
        <v>2719512.4762727474</v>
      </c>
      <c r="G266" s="250">
        <f>PCS!I273</f>
        <v>4877359.4682823727</v>
      </c>
      <c r="H266" s="266">
        <f>Police!L267</f>
        <v>250344.33635403207</v>
      </c>
      <c r="I266" s="350">
        <f t="shared" si="4"/>
        <v>7847216.2809091527</v>
      </c>
      <c r="J266" s="140"/>
    </row>
    <row r="267" spans="1:10" s="86" customFormat="1" x14ac:dyDescent="0.25">
      <c r="A267" s="304">
        <f>Données!A268</f>
        <v>5883</v>
      </c>
      <c r="B267" s="308" t="str">
        <f>Données!B268</f>
        <v>Corseaux</v>
      </c>
      <c r="C267" s="306">
        <f>VPI!Q268</f>
        <v>67.5</v>
      </c>
      <c r="D267" s="311">
        <f>Données!Z268</f>
        <v>2307</v>
      </c>
      <c r="E267" s="139">
        <f>VPI!R268</f>
        <v>180895.17037037041</v>
      </c>
      <c r="F267" s="240">
        <f>'Péréquation directe'!K274</f>
        <v>2935027.9139251374</v>
      </c>
      <c r="G267" s="250">
        <f>PCS!I274</f>
        <v>4387931.7136757197</v>
      </c>
      <c r="H267" s="266">
        <f>Police!L268</f>
        <v>224460.57552861419</v>
      </c>
      <c r="I267" s="350">
        <f t="shared" si="4"/>
        <v>7547420.2031294713</v>
      </c>
      <c r="J267" s="140"/>
    </row>
    <row r="268" spans="1:10" s="86" customFormat="1" x14ac:dyDescent="0.25">
      <c r="A268" s="304">
        <f>Données!A269</f>
        <v>5884</v>
      </c>
      <c r="B268" s="308" t="str">
        <f>Données!B269</f>
        <v>Corsier-sur-Vevey</v>
      </c>
      <c r="C268" s="306">
        <f>VPI!Q269</f>
        <v>64.5</v>
      </c>
      <c r="D268" s="311">
        <f>Données!Z269</f>
        <v>3366</v>
      </c>
      <c r="E268" s="139">
        <f>VPI!R269</f>
        <v>128040.06408268733</v>
      </c>
      <c r="F268" s="240">
        <f>'Péréquation directe'!K275</f>
        <v>-503221.14437722042</v>
      </c>
      <c r="G268" s="250">
        <f>PCS!I275</f>
        <v>2287056.8544043489</v>
      </c>
      <c r="H268" s="266">
        <f>Police!L269</f>
        <v>158876.25090198693</v>
      </c>
      <c r="I268" s="350">
        <f t="shared" si="4"/>
        <v>1942711.9609291153</v>
      </c>
      <c r="J268" s="140"/>
    </row>
    <row r="269" spans="1:10" s="86" customFormat="1" x14ac:dyDescent="0.25">
      <c r="A269" s="304">
        <f>Données!A270</f>
        <v>5885</v>
      </c>
      <c r="B269" s="308" t="str">
        <f>Données!B270</f>
        <v>Jongny</v>
      </c>
      <c r="C269" s="306">
        <f>VPI!Q270</f>
        <v>69.5</v>
      </c>
      <c r="D269" s="311">
        <f>Données!Z270</f>
        <v>1842</v>
      </c>
      <c r="E269" s="139">
        <f>VPI!R270</f>
        <v>104088.6996882494</v>
      </c>
      <c r="F269" s="240">
        <f>'Péréquation directe'!K276</f>
        <v>1538741.5146728063</v>
      </c>
      <c r="G269" s="250">
        <f>PCS!I276</f>
        <v>1817436.5758549825</v>
      </c>
      <c r="H269" s="266">
        <f>Police!L270</f>
        <v>129156.6236412711</v>
      </c>
      <c r="I269" s="350">
        <f t="shared" si="4"/>
        <v>3485334.7141690599</v>
      </c>
      <c r="J269" s="140"/>
    </row>
    <row r="270" spans="1:10" s="86" customFormat="1" x14ac:dyDescent="0.25">
      <c r="A270" s="304">
        <f>Données!A271</f>
        <v>5886</v>
      </c>
      <c r="B270" s="308" t="str">
        <f>Données!B271</f>
        <v>Montreux</v>
      </c>
      <c r="C270" s="306">
        <f>VPI!Q271</f>
        <v>65</v>
      </c>
      <c r="D270" s="311">
        <f>Données!Z271</f>
        <v>26081</v>
      </c>
      <c r="E270" s="139">
        <f>VPI!R271</f>
        <v>1153058.3310769231</v>
      </c>
      <c r="F270" s="240">
        <f>'Péréquation directe'!K277</f>
        <v>-8032787.8318504803</v>
      </c>
      <c r="G270" s="250">
        <f>PCS!I277</f>
        <v>26063840.442991309</v>
      </c>
      <c r="H270" s="266">
        <f>Police!L271</f>
        <v>1430752.0542515386</v>
      </c>
      <c r="I270" s="350">
        <f t="shared" si="4"/>
        <v>19461804.665392369</v>
      </c>
      <c r="J270" s="140"/>
    </row>
    <row r="271" spans="1:10" s="86" customFormat="1" x14ac:dyDescent="0.25">
      <c r="A271" s="304">
        <f>Données!A272</f>
        <v>5889</v>
      </c>
      <c r="B271" s="308" t="str">
        <f>Données!B272</f>
        <v>La Tour-de-Peilz</v>
      </c>
      <c r="C271" s="306">
        <f>VPI!Q272</f>
        <v>64</v>
      </c>
      <c r="D271" s="311">
        <f>Données!Z272</f>
        <v>12400</v>
      </c>
      <c r="E271" s="139">
        <f>VPI!R272</f>
        <v>709087.81846354157</v>
      </c>
      <c r="F271" s="240">
        <f>'Péréquation directe'!K278</f>
        <v>5612859.9749840992</v>
      </c>
      <c r="G271" s="250">
        <f>PCS!I278</f>
        <v>12616815.903031006</v>
      </c>
      <c r="H271" s="266">
        <f>Police!L272</f>
        <v>879859.08914418379</v>
      </c>
      <c r="I271" s="350">
        <f t="shared" si="4"/>
        <v>19109534.96715929</v>
      </c>
      <c r="J271" s="140"/>
    </row>
    <row r="272" spans="1:10" s="86" customFormat="1" x14ac:dyDescent="0.25">
      <c r="A272" s="304">
        <f>Données!A273</f>
        <v>5890</v>
      </c>
      <c r="B272" s="308" t="str">
        <f>Données!B273</f>
        <v>Vevey</v>
      </c>
      <c r="C272" s="306">
        <f>VPI!Q273</f>
        <v>74.5</v>
      </c>
      <c r="D272" s="311">
        <f>Données!Z273</f>
        <v>19743</v>
      </c>
      <c r="E272" s="139">
        <f>VPI!R273</f>
        <v>944872.98138702475</v>
      </c>
      <c r="F272" s="240">
        <f>'Péréquation directe'!K279</f>
        <v>-639144.00204616785</v>
      </c>
      <c r="G272" s="250">
        <f>PCS!I279</f>
        <v>15317578.717211235</v>
      </c>
      <c r="H272" s="266">
        <f>Police!L273</f>
        <v>1172428.9419631057</v>
      </c>
      <c r="I272" s="350">
        <f t="shared" si="4"/>
        <v>15850863.657128174</v>
      </c>
      <c r="J272" s="140"/>
    </row>
    <row r="273" spans="1:10" s="86" customFormat="1" x14ac:dyDescent="0.25">
      <c r="A273" s="304">
        <f>Données!A274</f>
        <v>5891</v>
      </c>
      <c r="B273" s="308" t="str">
        <f>Données!B274</f>
        <v>Veytaux</v>
      </c>
      <c r="C273" s="306">
        <f>VPI!Q274</f>
        <v>69.5</v>
      </c>
      <c r="D273" s="311">
        <f>Données!Z274</f>
        <v>970</v>
      </c>
      <c r="E273" s="139">
        <f>VPI!R274</f>
        <v>41112.713045563549</v>
      </c>
      <c r="F273" s="240">
        <f>'Péréquation directe'!K280</f>
        <v>-120165.78616766282</v>
      </c>
      <c r="G273" s="250">
        <f>PCS!I280</f>
        <v>811879.53082325635</v>
      </c>
      <c r="H273" s="266">
        <f>Police!L274</f>
        <v>51013.983473720662</v>
      </c>
      <c r="I273" s="350">
        <f t="shared" si="4"/>
        <v>742727.72812931414</v>
      </c>
      <c r="J273" s="140"/>
    </row>
    <row r="274" spans="1:10" s="86" customFormat="1" x14ac:dyDescent="0.25">
      <c r="A274" s="304">
        <f>Données!A275</f>
        <v>5892</v>
      </c>
      <c r="B274" s="308" t="str">
        <f>Données!B275</f>
        <v>Blonay-St-Légier</v>
      </c>
      <c r="C274" s="306">
        <f>VPI!Q275</f>
        <v>68.5</v>
      </c>
      <c r="D274" s="311">
        <f>Données!Z275</f>
        <v>12123</v>
      </c>
      <c r="E274" s="139">
        <f>VPI!R275</f>
        <v>749721.2351824817</v>
      </c>
      <c r="F274" s="240">
        <f>'Péréquation directe'!K281</f>
        <v>5419891.4726390596</v>
      </c>
      <c r="G274" s="250">
        <f>PCS!I281</f>
        <v>15466260.748382477</v>
      </c>
      <c r="H274" s="266">
        <f>Police!L275</f>
        <v>930278.34624073037</v>
      </c>
      <c r="I274" s="350">
        <f t="shared" si="4"/>
        <v>21816430.567262266</v>
      </c>
      <c r="J274" s="140"/>
    </row>
    <row r="275" spans="1:10" s="86" customFormat="1" x14ac:dyDescent="0.25">
      <c r="A275" s="304">
        <f>Données!A276</f>
        <v>5902</v>
      </c>
      <c r="B275" s="308" t="str">
        <f>Données!B276</f>
        <v>Belmont-sur-Yverdon</v>
      </c>
      <c r="C275" s="306">
        <f>VPI!Q276</f>
        <v>70</v>
      </c>
      <c r="D275" s="311">
        <f>Données!Z276</f>
        <v>434</v>
      </c>
      <c r="E275" s="139">
        <f>VPI!R276</f>
        <v>11917.701714285715</v>
      </c>
      <c r="F275" s="240">
        <f>'Péréquation directe'!K282</f>
        <v>-3096.3876866393548</v>
      </c>
      <c r="G275" s="250">
        <f>PCS!I282</f>
        <v>190027.265549028</v>
      </c>
      <c r="H275" s="266">
        <f>Police!L276</f>
        <v>36629.601572691929</v>
      </c>
      <c r="I275" s="350">
        <f t="shared" si="4"/>
        <v>223560.47943508058</v>
      </c>
      <c r="J275" s="140"/>
    </row>
    <row r="276" spans="1:10" s="86" customFormat="1" x14ac:dyDescent="0.25">
      <c r="A276" s="304">
        <f>Données!A277</f>
        <v>5903</v>
      </c>
      <c r="B276" s="308" t="str">
        <f>Données!B277</f>
        <v>Bioley-Magnoux</v>
      </c>
      <c r="C276" s="306">
        <f>VPI!Q277</f>
        <v>72</v>
      </c>
      <c r="D276" s="311">
        <f>Données!Z277</f>
        <v>247</v>
      </c>
      <c r="E276" s="139">
        <f>VPI!R277</f>
        <v>6275.3681349206354</v>
      </c>
      <c r="F276" s="240">
        <f>'Péréquation directe'!K283</f>
        <v>-166712.05704297818</v>
      </c>
      <c r="G276" s="250">
        <f>PCS!I283</f>
        <v>98196.416714415362</v>
      </c>
      <c r="H276" s="266">
        <f>Police!L277</f>
        <v>19240.921879474852</v>
      </c>
      <c r="I276" s="350">
        <f t="shared" si="4"/>
        <v>-49274.718449087966</v>
      </c>
      <c r="J276" s="140"/>
    </row>
    <row r="277" spans="1:10" s="86" customFormat="1" x14ac:dyDescent="0.25">
      <c r="A277" s="304">
        <f>Données!A278</f>
        <v>5904</v>
      </c>
      <c r="B277" s="308" t="str">
        <f>Données!B278</f>
        <v>Chamblon</v>
      </c>
      <c r="C277" s="306">
        <f>VPI!Q278</f>
        <v>66</v>
      </c>
      <c r="D277" s="311">
        <f>Données!Z278</f>
        <v>567</v>
      </c>
      <c r="E277" s="139">
        <f>VPI!R278</f>
        <v>18889.911515151514</v>
      </c>
      <c r="F277" s="240">
        <f>'Péréquation directe'!K284</f>
        <v>152136.17635109022</v>
      </c>
      <c r="G277" s="250">
        <f>PCS!I284</f>
        <v>306692.79878597346</v>
      </c>
      <c r="H277" s="266">
        <f>Police!L278</f>
        <v>23439.2128971399</v>
      </c>
      <c r="I277" s="350">
        <f t="shared" si="4"/>
        <v>482268.18803420354</v>
      </c>
      <c r="J277" s="140"/>
    </row>
    <row r="278" spans="1:10" s="86" customFormat="1" x14ac:dyDescent="0.25">
      <c r="A278" s="304">
        <f>Données!A279</f>
        <v>5905</v>
      </c>
      <c r="B278" s="308" t="str">
        <f>Données!B279</f>
        <v>Champvent</v>
      </c>
      <c r="C278" s="306">
        <f>VPI!Q279</f>
        <v>70</v>
      </c>
      <c r="D278" s="311">
        <f>Données!Z279</f>
        <v>734</v>
      </c>
      <c r="E278" s="139">
        <f>VPI!R279</f>
        <v>21532.633285714288</v>
      </c>
      <c r="F278" s="240">
        <f>'Péréquation directe'!K285</f>
        <v>-22657.503447816242</v>
      </c>
      <c r="G278" s="250">
        <f>PCS!I285</f>
        <v>372361.47727386397</v>
      </c>
      <c r="H278" s="266">
        <f>Police!L279</f>
        <v>66568.609791927549</v>
      </c>
      <c r="I278" s="350">
        <f t="shared" si="4"/>
        <v>416272.5836179753</v>
      </c>
      <c r="J278" s="140"/>
    </row>
    <row r="279" spans="1:10" s="86" customFormat="1" x14ac:dyDescent="0.25">
      <c r="A279" s="304">
        <f>Données!A280</f>
        <v>5907</v>
      </c>
      <c r="B279" s="308" t="str">
        <f>Données!B280</f>
        <v>Chavannes-le-Chêne</v>
      </c>
      <c r="C279" s="306">
        <f>VPI!Q280</f>
        <v>75</v>
      </c>
      <c r="D279" s="311">
        <f>Données!Z280</f>
        <v>316</v>
      </c>
      <c r="E279" s="139">
        <f>VPI!R280</f>
        <v>8453.4518666666645</v>
      </c>
      <c r="F279" s="240">
        <f>'Péréquation directe'!K286</f>
        <v>-71453.238950985426</v>
      </c>
      <c r="G279" s="250">
        <f>PCS!I286</f>
        <v>139950.0110451639</v>
      </c>
      <c r="H279" s="266">
        <f>Police!L280</f>
        <v>26000.302766548124</v>
      </c>
      <c r="I279" s="350">
        <f t="shared" si="4"/>
        <v>94497.0748607266</v>
      </c>
      <c r="J279" s="140"/>
    </row>
    <row r="280" spans="1:10" s="86" customFormat="1" x14ac:dyDescent="0.25">
      <c r="A280" s="304">
        <f>Données!A281</f>
        <v>5908</v>
      </c>
      <c r="B280" s="308" t="str">
        <f>Données!B281</f>
        <v>Chêne-Pâquier</v>
      </c>
      <c r="C280" s="306">
        <f>VPI!Q281</f>
        <v>75</v>
      </c>
      <c r="D280" s="311">
        <f>Données!Z281</f>
        <v>163</v>
      </c>
      <c r="E280" s="139">
        <f>VPI!R281</f>
        <v>4917.7774666666683</v>
      </c>
      <c r="F280" s="240">
        <f>'Péréquation directe'!K287</f>
        <v>-29150.613674696462</v>
      </c>
      <c r="G280" s="250">
        <f>PCS!I287</f>
        <v>73637.707437136793</v>
      </c>
      <c r="H280" s="266">
        <f>Police!L281</f>
        <v>15309.529533402976</v>
      </c>
      <c r="I280" s="350">
        <f t="shared" si="4"/>
        <v>59796.62329584331</v>
      </c>
      <c r="J280" s="140"/>
    </row>
    <row r="281" spans="1:10" s="86" customFormat="1" x14ac:dyDescent="0.25">
      <c r="A281" s="304">
        <f>Données!A282</f>
        <v>5909</v>
      </c>
      <c r="B281" s="308" t="str">
        <f>Données!B282</f>
        <v>Cheseaux-Noréaz</v>
      </c>
      <c r="C281" s="306">
        <f>VPI!Q282</f>
        <v>67</v>
      </c>
      <c r="D281" s="311">
        <f>Données!Z282</f>
        <v>734</v>
      </c>
      <c r="E281" s="139">
        <f>VPI!R282</f>
        <v>34184.486119402987</v>
      </c>
      <c r="F281" s="240">
        <f>'Péréquation directe'!K288</f>
        <v>505166.14533381193</v>
      </c>
      <c r="G281" s="250">
        <f>PCS!I288</f>
        <v>534463.10097911907</v>
      </c>
      <c r="H281" s="266">
        <f>Police!L282</f>
        <v>42417.215522122766</v>
      </c>
      <c r="I281" s="350">
        <f t="shared" si="4"/>
        <v>1082046.4618350537</v>
      </c>
      <c r="J281" s="140"/>
    </row>
    <row r="282" spans="1:10" s="86" customFormat="1" x14ac:dyDescent="0.25">
      <c r="A282" s="304">
        <f>Données!A283</f>
        <v>5910</v>
      </c>
      <c r="B282" s="308" t="str">
        <f>Données!B283</f>
        <v>Cronay</v>
      </c>
      <c r="C282" s="306">
        <f>VPI!Q283</f>
        <v>77</v>
      </c>
      <c r="D282" s="311">
        <f>Données!Z283</f>
        <v>410</v>
      </c>
      <c r="E282" s="139">
        <f>VPI!R283</f>
        <v>10619.844545454544</v>
      </c>
      <c r="F282" s="240">
        <f>'Péréquation directe'!K289</f>
        <v>-114059.91037576422</v>
      </c>
      <c r="G282" s="250">
        <f>PCS!I289</f>
        <v>204691.59649600307</v>
      </c>
      <c r="H282" s="266">
        <f>Police!L283</f>
        <v>32687.221244569635</v>
      </c>
      <c r="I282" s="350">
        <f t="shared" si="4"/>
        <v>123318.90736480849</v>
      </c>
      <c r="J282" s="140"/>
    </row>
    <row r="283" spans="1:10" s="86" customFormat="1" x14ac:dyDescent="0.25">
      <c r="A283" s="304">
        <f>Données!A284</f>
        <v>5911</v>
      </c>
      <c r="B283" s="308" t="str">
        <f>Données!B284</f>
        <v>Cuarny</v>
      </c>
      <c r="C283" s="306">
        <f>VPI!Q284</f>
        <v>77</v>
      </c>
      <c r="D283" s="311">
        <f>Données!Z284</f>
        <v>236</v>
      </c>
      <c r="E283" s="139">
        <f>VPI!R284</f>
        <v>7630.6846753246737</v>
      </c>
      <c r="F283" s="240">
        <f>'Péréquation directe'!K290</f>
        <v>23506.523413862829</v>
      </c>
      <c r="G283" s="250">
        <f>PCS!I290</f>
        <v>110700.47314429155</v>
      </c>
      <c r="H283" s="266">
        <f>Police!L284</f>
        <v>23683.15660004918</v>
      </c>
      <c r="I283" s="350">
        <f t="shared" si="4"/>
        <v>157890.15315820355</v>
      </c>
      <c r="J283" s="140"/>
    </row>
    <row r="284" spans="1:10" s="86" customFormat="1" x14ac:dyDescent="0.25">
      <c r="A284" s="304">
        <f>Données!A285</f>
        <v>5912</v>
      </c>
      <c r="B284" s="308" t="str">
        <f>Données!B285</f>
        <v>Démoret</v>
      </c>
      <c r="C284" s="306">
        <f>VPI!Q285</f>
        <v>78</v>
      </c>
      <c r="D284" s="311">
        <f>Données!Z285</f>
        <v>167</v>
      </c>
      <c r="E284" s="139">
        <f>VPI!R285</f>
        <v>3035.5676923076921</v>
      </c>
      <c r="F284" s="240">
        <f>'Péréquation directe'!K291</f>
        <v>-97986.754496467998</v>
      </c>
      <c r="G284" s="250">
        <f>PCS!I291</f>
        <v>58682.339588458264</v>
      </c>
      <c r="H284" s="266">
        <f>Police!L285</f>
        <v>9237.7300162113188</v>
      </c>
      <c r="I284" s="350">
        <f t="shared" si="4"/>
        <v>-30066.684891798417</v>
      </c>
      <c r="J284" s="140"/>
    </row>
    <row r="285" spans="1:10" s="86" customFormat="1" x14ac:dyDescent="0.25">
      <c r="A285" s="304">
        <f>Données!A286</f>
        <v>5913</v>
      </c>
      <c r="B285" s="308" t="str">
        <f>Données!B286</f>
        <v>Donneloye</v>
      </c>
      <c r="C285" s="306">
        <f>VPI!Q286</f>
        <v>73</v>
      </c>
      <c r="D285" s="311">
        <f>Données!Z286</f>
        <v>905</v>
      </c>
      <c r="E285" s="139">
        <f>VPI!R286</f>
        <v>21868.154383561647</v>
      </c>
      <c r="F285" s="240">
        <f>'Péréquation directe'!K292</f>
        <v>-240110.15513504483</v>
      </c>
      <c r="G285" s="250">
        <f>PCS!I292</f>
        <v>365507.84262161213</v>
      </c>
      <c r="H285" s="266">
        <f>Police!L286</f>
        <v>67559.814849242161</v>
      </c>
      <c r="I285" s="350">
        <f t="shared" si="4"/>
        <v>192957.50233580946</v>
      </c>
      <c r="J285" s="140"/>
    </row>
    <row r="286" spans="1:10" s="86" customFormat="1" x14ac:dyDescent="0.25">
      <c r="A286" s="304">
        <f>Données!A287</f>
        <v>5914</v>
      </c>
      <c r="B286" s="308" t="str">
        <f>Données!B287</f>
        <v>Ependes</v>
      </c>
      <c r="C286" s="306">
        <f>VPI!Q287</f>
        <v>73.5</v>
      </c>
      <c r="D286" s="311">
        <f>Données!Z287</f>
        <v>372</v>
      </c>
      <c r="E286" s="139">
        <f>VPI!R287</f>
        <v>9825.9911564625836</v>
      </c>
      <c r="F286" s="240">
        <f>'Péréquation directe'!K293</f>
        <v>-101513.06728350869</v>
      </c>
      <c r="G286" s="250">
        <f>PCS!I293</f>
        <v>142471.00843693767</v>
      </c>
      <c r="H286" s="266">
        <f>Police!L287</f>
        <v>12192.407489945464</v>
      </c>
      <c r="I286" s="350">
        <f t="shared" si="4"/>
        <v>53150.348643374447</v>
      </c>
      <c r="J286" s="140"/>
    </row>
    <row r="287" spans="1:10" s="86" customFormat="1" x14ac:dyDescent="0.25">
      <c r="A287" s="304">
        <f>Données!A288</f>
        <v>5919</v>
      </c>
      <c r="B287" s="308" t="str">
        <f>Données!B288</f>
        <v>Mathod</v>
      </c>
      <c r="C287" s="306">
        <f>VPI!Q288</f>
        <v>72</v>
      </c>
      <c r="D287" s="311">
        <f>Données!Z288</f>
        <v>684</v>
      </c>
      <c r="E287" s="139">
        <f>VPI!R288</f>
        <v>20853.913634259261</v>
      </c>
      <c r="F287" s="240">
        <f>'Péréquation directe'!K294</f>
        <v>-25489.502463399491</v>
      </c>
      <c r="G287" s="250">
        <f>PCS!I294</f>
        <v>408415.90604380058</v>
      </c>
      <c r="H287" s="266">
        <f>Police!L288</f>
        <v>25876.210220461198</v>
      </c>
      <c r="I287" s="350">
        <f t="shared" si="4"/>
        <v>408802.61380086228</v>
      </c>
      <c r="J287" s="140"/>
    </row>
    <row r="288" spans="1:10" s="86" customFormat="1" x14ac:dyDescent="0.25">
      <c r="A288" s="304">
        <f>Données!A289</f>
        <v>5921</v>
      </c>
      <c r="B288" s="308" t="str">
        <f>Données!B289</f>
        <v>Molondin</v>
      </c>
      <c r="C288" s="306">
        <f>VPI!Q289</f>
        <v>81</v>
      </c>
      <c r="D288" s="311">
        <f>Données!Z289</f>
        <v>257</v>
      </c>
      <c r="E288" s="139">
        <f>VPI!R289</f>
        <v>5090.9581481481491</v>
      </c>
      <c r="F288" s="240">
        <f>'Péréquation directe'!K295</f>
        <v>-132348.09432048484</v>
      </c>
      <c r="G288" s="250">
        <f>PCS!I295</f>
        <v>79480.690328552359</v>
      </c>
      <c r="H288" s="266">
        <f>Police!L289</f>
        <v>15577.696072334975</v>
      </c>
      <c r="I288" s="350">
        <f t="shared" si="4"/>
        <v>-37289.707919597509</v>
      </c>
      <c r="J288" s="140"/>
    </row>
    <row r="289" spans="1:10" s="86" customFormat="1" x14ac:dyDescent="0.25">
      <c r="A289" s="304">
        <f>Données!A290</f>
        <v>5922</v>
      </c>
      <c r="B289" s="308" t="str">
        <f>Données!B290</f>
        <v>Montagny-près-Yverdon</v>
      </c>
      <c r="C289" s="306">
        <f>VPI!Q290</f>
        <v>64.5</v>
      </c>
      <c r="D289" s="311">
        <f>Données!Z290</f>
        <v>770</v>
      </c>
      <c r="E289" s="139">
        <f>VPI!R290</f>
        <v>39793.407325581393</v>
      </c>
      <c r="F289" s="240">
        <f>'Péréquation directe'!K296</f>
        <v>519400.15324898646</v>
      </c>
      <c r="G289" s="250">
        <f>PCS!I296</f>
        <v>691783.98492625228</v>
      </c>
      <c r="H289" s="266">
        <f>Police!L290</f>
        <v>116506.41481186016</v>
      </c>
      <c r="I289" s="350">
        <f t="shared" si="4"/>
        <v>1327690.5529870989</v>
      </c>
      <c r="J289" s="140"/>
    </row>
    <row r="290" spans="1:10" s="86" customFormat="1" x14ac:dyDescent="0.25">
      <c r="A290" s="304">
        <f>Données!A291</f>
        <v>5923</v>
      </c>
      <c r="B290" s="308" t="str">
        <f>Données!B291</f>
        <v>Oppens</v>
      </c>
      <c r="C290" s="306">
        <f>VPI!Q291</f>
        <v>81</v>
      </c>
      <c r="D290" s="311">
        <f>Données!Z291</f>
        <v>202</v>
      </c>
      <c r="E290" s="139">
        <f>VPI!R291</f>
        <v>4459.1672839506173</v>
      </c>
      <c r="F290" s="240">
        <f>'Péréquation directe'!K297</f>
        <v>-115858.42171092804</v>
      </c>
      <c r="G290" s="250">
        <f>PCS!I297</f>
        <v>68499.39653950333</v>
      </c>
      <c r="H290" s="266">
        <f>Police!L291</f>
        <v>13776.00608617567</v>
      </c>
      <c r="I290" s="350">
        <f t="shared" si="4"/>
        <v>-33583.019085249041</v>
      </c>
      <c r="J290" s="140"/>
    </row>
    <row r="291" spans="1:10" s="86" customFormat="1" x14ac:dyDescent="0.25">
      <c r="A291" s="304">
        <f>Données!A292</f>
        <v>5924</v>
      </c>
      <c r="B291" s="308" t="str">
        <f>Données!B292</f>
        <v>Orges</v>
      </c>
      <c r="C291" s="306">
        <f>VPI!Q292</f>
        <v>74</v>
      </c>
      <c r="D291" s="311">
        <f>Données!Z292</f>
        <v>407</v>
      </c>
      <c r="E291" s="139">
        <f>VPI!R292</f>
        <v>11637.444864864863</v>
      </c>
      <c r="F291" s="240">
        <f>'Péréquation directe'!K298</f>
        <v>-30331.968793019536</v>
      </c>
      <c r="G291" s="250">
        <f>PCS!I298</f>
        <v>175935.30215922082</v>
      </c>
      <c r="H291" s="266">
        <f>Police!L292</f>
        <v>36045.895381116105</v>
      </c>
      <c r="I291" s="350">
        <f t="shared" si="4"/>
        <v>181649.22874731739</v>
      </c>
      <c r="J291" s="140"/>
    </row>
    <row r="292" spans="1:10" s="86" customFormat="1" x14ac:dyDescent="0.25">
      <c r="A292" s="304">
        <f>Données!A293</f>
        <v>5925</v>
      </c>
      <c r="B292" s="308" t="str">
        <f>Données!B293</f>
        <v>Orzens</v>
      </c>
      <c r="C292" s="306">
        <f>VPI!Q293</f>
        <v>79</v>
      </c>
      <c r="D292" s="311">
        <f>Données!Z293</f>
        <v>212</v>
      </c>
      <c r="E292" s="139">
        <f>VPI!R293</f>
        <v>5255.7039240506319</v>
      </c>
      <c r="F292" s="240">
        <f>'Péréquation directe'!K299</f>
        <v>-98362.441730760387</v>
      </c>
      <c r="G292" s="250">
        <f>PCS!I299</f>
        <v>85117.540811930201</v>
      </c>
      <c r="H292" s="266">
        <f>Police!L293</f>
        <v>16128.964048693269</v>
      </c>
      <c r="I292" s="350">
        <f t="shared" si="4"/>
        <v>2884.0631298630833</v>
      </c>
      <c r="J292" s="140"/>
    </row>
    <row r="293" spans="1:10" s="86" customFormat="1" x14ac:dyDescent="0.25">
      <c r="A293" s="304">
        <f>Données!A294</f>
        <v>5926</v>
      </c>
      <c r="B293" s="308" t="str">
        <f>Données!B294</f>
        <v>Pomy</v>
      </c>
      <c r="C293" s="306">
        <f>VPI!Q294</f>
        <v>71</v>
      </c>
      <c r="D293" s="311">
        <f>Données!Z294</f>
        <v>868</v>
      </c>
      <c r="E293" s="139">
        <f>VPI!R294</f>
        <v>26782.091549295772</v>
      </c>
      <c r="F293" s="240">
        <f>'Péréquation directe'!K300</f>
        <v>59959.291938852111</v>
      </c>
      <c r="G293" s="250">
        <f>PCS!I300</f>
        <v>392088.99263090501</v>
      </c>
      <c r="H293" s="266">
        <f>Police!L294</f>
        <v>33232.085028620626</v>
      </c>
      <c r="I293" s="350">
        <f t="shared" si="4"/>
        <v>485280.36959837773</v>
      </c>
      <c r="J293" s="140"/>
    </row>
    <row r="294" spans="1:10" s="86" customFormat="1" x14ac:dyDescent="0.25">
      <c r="A294" s="304">
        <f>Données!A295</f>
        <v>5928</v>
      </c>
      <c r="B294" s="308" t="str">
        <f>Données!B295</f>
        <v>Rovray</v>
      </c>
      <c r="C294" s="306">
        <f>VPI!Q295</f>
        <v>71.5</v>
      </c>
      <c r="D294" s="311">
        <f>Données!Z295</f>
        <v>197</v>
      </c>
      <c r="E294" s="139">
        <f>VPI!R295</f>
        <v>5095.4959440559442</v>
      </c>
      <c r="F294" s="240">
        <f>'Péréquation directe'!K301</f>
        <v>-20152.159825444323</v>
      </c>
      <c r="G294" s="250">
        <f>PCS!I301</f>
        <v>63804.54529320763</v>
      </c>
      <c r="H294" s="266">
        <f>Police!L295</f>
        <v>15778.103931082976</v>
      </c>
      <c r="I294" s="350">
        <f t="shared" si="4"/>
        <v>59430.489398846286</v>
      </c>
      <c r="J294" s="140"/>
    </row>
    <row r="295" spans="1:10" s="86" customFormat="1" x14ac:dyDescent="0.25">
      <c r="A295" s="304">
        <f>Données!A296</f>
        <v>5929</v>
      </c>
      <c r="B295" s="308" t="str">
        <f>Données!B296</f>
        <v>Suchy</v>
      </c>
      <c r="C295" s="306">
        <f>VPI!Q296</f>
        <v>70</v>
      </c>
      <c r="D295" s="311">
        <f>Données!Z296</f>
        <v>671</v>
      </c>
      <c r="E295" s="139">
        <f>VPI!R296</f>
        <v>21602.649857142853</v>
      </c>
      <c r="F295" s="240">
        <f>'Péréquation directe'!K302</f>
        <v>117353.54177661776</v>
      </c>
      <c r="G295" s="250">
        <f>PCS!I302</f>
        <v>320604.90393830684</v>
      </c>
      <c r="H295" s="266">
        <f>Police!L296</f>
        <v>26805.266331597148</v>
      </c>
      <c r="I295" s="350">
        <f t="shared" si="4"/>
        <v>464763.71204652177</v>
      </c>
      <c r="J295" s="140"/>
    </row>
    <row r="296" spans="1:10" s="86" customFormat="1" x14ac:dyDescent="0.25">
      <c r="A296" s="304">
        <f>Données!A297</f>
        <v>5930</v>
      </c>
      <c r="B296" s="308" t="str">
        <f>Données!B297</f>
        <v>Suscévaz</v>
      </c>
      <c r="C296" s="306">
        <f>VPI!Q297</f>
        <v>72</v>
      </c>
      <c r="D296" s="311">
        <f>Données!Z297</f>
        <v>220</v>
      </c>
      <c r="E296" s="139">
        <f>VPI!R297</f>
        <v>5749.1573611111107</v>
      </c>
      <c r="F296" s="240">
        <f>'Péréquation directe'!K303</f>
        <v>-52382.129885363553</v>
      </c>
      <c r="G296" s="250">
        <f>PCS!I303</f>
        <v>96123.959921848378</v>
      </c>
      <c r="H296" s="266">
        <f>Police!L297</f>
        <v>7133.7403173199282</v>
      </c>
      <c r="I296" s="350">
        <f t="shared" si="4"/>
        <v>50875.570353804753</v>
      </c>
      <c r="J296" s="140"/>
    </row>
    <row r="297" spans="1:10" s="86" customFormat="1" x14ac:dyDescent="0.25">
      <c r="A297" s="304">
        <f>Données!A298</f>
        <v>5931</v>
      </c>
      <c r="B297" s="308" t="str">
        <f>Données!B298</f>
        <v>Treycovagnes</v>
      </c>
      <c r="C297" s="306">
        <f>VPI!Q298</f>
        <v>75</v>
      </c>
      <c r="D297" s="311">
        <f>Données!Z298</f>
        <v>520</v>
      </c>
      <c r="E297" s="139">
        <f>VPI!R298</f>
        <v>16306.589199999997</v>
      </c>
      <c r="F297" s="240">
        <f>'Péréquation directe'!K304</f>
        <v>6655.1630222136737</v>
      </c>
      <c r="G297" s="250">
        <f>PCS!I304</f>
        <v>307229.73552313156</v>
      </c>
      <c r="H297" s="266">
        <f>Police!L298</f>
        <v>20233.743052656984</v>
      </c>
      <c r="I297" s="350">
        <f t="shared" si="4"/>
        <v>334118.64159800223</v>
      </c>
      <c r="J297" s="140"/>
    </row>
    <row r="298" spans="1:10" s="86" customFormat="1" x14ac:dyDescent="0.25">
      <c r="A298" s="304">
        <f>Données!A299</f>
        <v>5932</v>
      </c>
      <c r="B298" s="308" t="str">
        <f>Données!B299</f>
        <v>Ursins</v>
      </c>
      <c r="C298" s="306">
        <f>VPI!Q299</f>
        <v>75</v>
      </c>
      <c r="D298" s="311">
        <f>Données!Z299</f>
        <v>230</v>
      </c>
      <c r="E298" s="139">
        <f>VPI!R299</f>
        <v>7945.6270666666669</v>
      </c>
      <c r="F298" s="240">
        <f>'Péréquation directe'!K305</f>
        <v>48453.869301180559</v>
      </c>
      <c r="G298" s="250">
        <f>PCS!I305</f>
        <v>109042.05860120765</v>
      </c>
      <c r="H298" s="266">
        <f>Police!L299</f>
        <v>24794.477070649031</v>
      </c>
      <c r="I298" s="350">
        <f t="shared" si="4"/>
        <v>182290.40497303725</v>
      </c>
      <c r="J298" s="140"/>
    </row>
    <row r="299" spans="1:10" s="86" customFormat="1" x14ac:dyDescent="0.25">
      <c r="A299" s="304">
        <f>Données!A300</f>
        <v>5933</v>
      </c>
      <c r="B299" s="308" t="str">
        <f>Données!B300</f>
        <v>Valeyres-sous-Montagny</v>
      </c>
      <c r="C299" s="306">
        <f>VPI!Q300</f>
        <v>70.5</v>
      </c>
      <c r="D299" s="311">
        <f>Données!Z300</f>
        <v>703</v>
      </c>
      <c r="E299" s="139">
        <f>VPI!R300</f>
        <v>23478.000425531918</v>
      </c>
      <c r="F299" s="240">
        <f>'Péréquation directe'!K306</f>
        <v>-171465.91824505676</v>
      </c>
      <c r="G299" s="250">
        <f>PCS!I306</f>
        <v>348304.00302525808</v>
      </c>
      <c r="H299" s="266">
        <f>Police!L300</f>
        <v>72496.472724925756</v>
      </c>
      <c r="I299" s="350">
        <f t="shared" si="4"/>
        <v>249334.55750512707</v>
      </c>
      <c r="J299" s="140"/>
    </row>
    <row r="300" spans="1:10" s="86" customFormat="1" x14ac:dyDescent="0.25">
      <c r="A300" s="304">
        <f>Données!A301</f>
        <v>5934</v>
      </c>
      <c r="B300" s="308" t="str">
        <f>Données!B301</f>
        <v>Valeyres-sous-Ursins</v>
      </c>
      <c r="C300" s="306">
        <f>VPI!Q301</f>
        <v>77</v>
      </c>
      <c r="D300" s="311">
        <f>Données!Z301</f>
        <v>241</v>
      </c>
      <c r="E300" s="139">
        <f>VPI!R301</f>
        <v>6917.5551948051934</v>
      </c>
      <c r="F300" s="240">
        <f>'Péréquation directe'!K307</f>
        <v>-9644.3444169119757</v>
      </c>
      <c r="G300" s="250">
        <f>PCS!I307</f>
        <v>116623.67080309436</v>
      </c>
      <c r="H300" s="266">
        <f>Police!L301</f>
        <v>21600.91962882084</v>
      </c>
      <c r="I300" s="350">
        <f t="shared" si="4"/>
        <v>128580.24601500321</v>
      </c>
      <c r="J300" s="140"/>
    </row>
    <row r="301" spans="1:10" s="86" customFormat="1" x14ac:dyDescent="0.25">
      <c r="A301" s="304">
        <f>Données!A302</f>
        <v>5935</v>
      </c>
      <c r="B301" s="308" t="str">
        <f>Données!B302</f>
        <v>Villars-Epeney</v>
      </c>
      <c r="C301" s="306">
        <f>VPI!Q302</f>
        <v>68</v>
      </c>
      <c r="D301" s="311">
        <f>Données!Z302</f>
        <v>92</v>
      </c>
      <c r="E301" s="139">
        <f>VPI!R302</f>
        <v>6724.3836764705884</v>
      </c>
      <c r="F301" s="240">
        <f>'Péréquation directe'!K308</f>
        <v>116483.3945276177</v>
      </c>
      <c r="G301" s="250">
        <f>PCS!I308</f>
        <v>155010.56334757741</v>
      </c>
      <c r="H301" s="266">
        <f>Police!L302</f>
        <v>16457.434994056734</v>
      </c>
      <c r="I301" s="350">
        <f t="shared" si="4"/>
        <v>287951.39286925178</v>
      </c>
      <c r="J301" s="140"/>
    </row>
    <row r="302" spans="1:10" s="86" customFormat="1" x14ac:dyDescent="0.25">
      <c r="A302" s="304">
        <f>Données!A303</f>
        <v>5937</v>
      </c>
      <c r="B302" s="308" t="str">
        <f>Données!B303</f>
        <v>Vugelles-La Mothe</v>
      </c>
      <c r="C302" s="306">
        <f>VPI!Q303</f>
        <v>70</v>
      </c>
      <c r="D302" s="311">
        <f>Données!Z303</f>
        <v>137</v>
      </c>
      <c r="E302" s="139">
        <f>VPI!R303</f>
        <v>3343.8780000000002</v>
      </c>
      <c r="F302" s="240">
        <f>'Péréquation directe'!K309</f>
        <v>-38441.073860871809</v>
      </c>
      <c r="G302" s="250">
        <f>PCS!I309</f>
        <v>50769.964938056713</v>
      </c>
      <c r="H302" s="266">
        <f>Police!L303</f>
        <v>10325.373640420246</v>
      </c>
      <c r="I302" s="350">
        <f t="shared" si="4"/>
        <v>22654.264717605151</v>
      </c>
      <c r="J302" s="140"/>
    </row>
    <row r="303" spans="1:10" s="86" customFormat="1" x14ac:dyDescent="0.25">
      <c r="A303" s="304">
        <f>Données!A304</f>
        <v>5938</v>
      </c>
      <c r="B303" s="308" t="str">
        <f>Données!B304</f>
        <v>Yverdon-les-Bains</v>
      </c>
      <c r="C303" s="306">
        <f>VPI!Q304</f>
        <v>75</v>
      </c>
      <c r="D303" s="311">
        <f>Données!Z304</f>
        <v>29877</v>
      </c>
      <c r="E303" s="139">
        <f>VPI!R304</f>
        <v>780545.69493333355</v>
      </c>
      <c r="F303" s="240">
        <f>'Péréquation directe'!K310</f>
        <v>-31896581.400512476</v>
      </c>
      <c r="G303" s="250">
        <f>PCS!I310</f>
        <v>14019962.406728145</v>
      </c>
      <c r="H303" s="266">
        <f>Police!L304</f>
        <v>968526.33241896215</v>
      </c>
      <c r="I303" s="350">
        <f t="shared" si="4"/>
        <v>-16908092.661365367</v>
      </c>
      <c r="J303" s="140"/>
    </row>
    <row r="304" spans="1:10" s="86" customFormat="1" x14ac:dyDescent="0.25">
      <c r="A304" s="305">
        <f>Données!A305</f>
        <v>5939</v>
      </c>
      <c r="B304" s="309" t="str">
        <f>Données!B305</f>
        <v>Yvonand</v>
      </c>
      <c r="C304" s="306">
        <f>VPI!Q305</f>
        <v>71.5</v>
      </c>
      <c r="D304" s="312">
        <f>Données!Z305</f>
        <v>3531</v>
      </c>
      <c r="E304" s="139">
        <f>VPI!R305</f>
        <v>97389.711048951052</v>
      </c>
      <c r="F304" s="256">
        <f>'Péréquation directe'!K311</f>
        <v>-1249092.7284528781</v>
      </c>
      <c r="G304" s="401">
        <f>PCS!I311</f>
        <v>1961033.1281461825</v>
      </c>
      <c r="H304" s="267">
        <f>Police!L305</f>
        <v>297414.99819079856</v>
      </c>
      <c r="I304" s="369">
        <f t="shared" si="4"/>
        <v>1009355.397884103</v>
      </c>
      <c r="J304" s="140"/>
    </row>
    <row r="305" spans="1:10" x14ac:dyDescent="0.25">
      <c r="A305" s="149"/>
      <c r="B305" s="307">
        <f>COUNTA(B5:B304)</f>
        <v>300</v>
      </c>
      <c r="C305" s="316">
        <f>VPI!Q306</f>
        <v>67.673642186656622</v>
      </c>
      <c r="D305" s="317">
        <f>SUM(D5:D304)</f>
        <v>830791</v>
      </c>
      <c r="E305" s="317">
        <f>SUM(E5:E304)</f>
        <v>39802348.273186527</v>
      </c>
      <c r="F305" s="364">
        <f>ROUND(SUM(F5:F304),5)</f>
        <v>450000</v>
      </c>
      <c r="G305" s="365">
        <f>ROUND(SUM(G5:G304),5)</f>
        <v>790754700</v>
      </c>
      <c r="H305" s="366">
        <f>ROUND(SUM(H5:H304),5)</f>
        <v>73172185</v>
      </c>
      <c r="I305" s="367">
        <f>SUM(I5:I304)</f>
        <v>864376884.99999881</v>
      </c>
    </row>
    <row r="306" spans="1:10" x14ac:dyDescent="0.25">
      <c r="D306" s="11"/>
      <c r="E306" s="11"/>
      <c r="G306" s="5"/>
      <c r="H306" s="5"/>
      <c r="I306" s="5"/>
      <c r="J306" s="5"/>
    </row>
    <row r="307" spans="1:10" x14ac:dyDescent="0.25">
      <c r="G307" s="5"/>
      <c r="H307" s="5"/>
      <c r="I307" s="5"/>
      <c r="J307" s="5"/>
    </row>
  </sheetData>
  <sheetProtection sheet="1" objects="1" scenarios="1"/>
  <phoneticPr fontId="0" type="noConversion"/>
  <conditionalFormatting sqref="F305">
    <cfRule type="cellIs" dxfId="2" priority="1" operator="equal">
      <formula>450000</formula>
    </cfRule>
  </conditionalFormatting>
  <hyperlinks>
    <hyperlink ref="D1" location="'Table des matières'!A1" display="Table des matières" xr:uid="{090680B4-EB0E-4E15-8AAA-D0F34968B211}"/>
    <hyperlink ref="C1" location="'Facture policière'!A1" display="← Précédent" xr:uid="{64470B6D-289A-4292-A2C1-B49B6B7BEF3C}"/>
    <hyperlink ref="E1" location="'Décompte vs acomptes'!A1" display="Suivant →" xr:uid="{272CB11A-40D6-45B0-BD95-5E8B832019FD}"/>
  </hyperlink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5" operator="equal" id="{B3933958-71B3-4AD2-B33A-F05BD16E4DE8}">
            <xm:f>Paramètres!$B$56</xm:f>
            <x14:dxf>
              <fill>
                <patternFill>
                  <bgColor rgb="FF00B050"/>
                </patternFill>
              </fill>
            </x14:dxf>
          </x14:cfRule>
          <xm:sqref>H305</xm:sqref>
        </x14:conditionalFormatting>
        <x14:conditionalFormatting xmlns:xm="http://schemas.microsoft.com/office/excel/2006/main">
          <x14:cfRule type="cellIs" priority="7" operator="equal" id="{F8010477-7BD4-48D1-BB1D-325051C343E7}">
            <xm:f>Paramètres!$B$11</xm:f>
            <x14:dxf>
              <fill>
                <patternFill>
                  <bgColor rgb="FF00B050"/>
                </patternFill>
              </fill>
            </x14:dxf>
          </x14:cfRule>
          <xm:sqref>G305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theme="3" tint="0.59999389629810485"/>
  </sheetPr>
  <dimension ref="A1:W310"/>
  <sheetViews>
    <sheetView workbookViewId="0">
      <pane ySplit="5" topLeftCell="A6" activePane="bottomLeft" state="frozen"/>
      <selection pane="bottomLeft" activeCell="A6" sqref="A6"/>
    </sheetView>
  </sheetViews>
  <sheetFormatPr baseColWidth="10" defaultColWidth="11" defaultRowHeight="12.75" x14ac:dyDescent="0.2"/>
  <cols>
    <col min="1" max="1" width="11" style="198"/>
    <col min="2" max="2" width="26.375" style="198" customWidth="1"/>
    <col min="3" max="11" width="12.25" style="198" customWidth="1"/>
    <col min="12" max="12" width="15" style="197" bestFit="1" customWidth="1"/>
    <col min="13" max="13" width="11.125" style="197" bestFit="1" customWidth="1"/>
    <col min="14" max="14" width="15" style="197" bestFit="1" customWidth="1"/>
    <col min="15" max="15" width="11.125" style="197" bestFit="1" customWidth="1"/>
    <col min="16" max="16" width="14" style="197" bestFit="1" customWidth="1"/>
    <col min="17" max="17" width="11.125" style="197" bestFit="1" customWidth="1"/>
    <col min="18" max="18" width="14" style="197" bestFit="1" customWidth="1"/>
    <col min="19" max="19" width="11.125" style="197" bestFit="1" customWidth="1"/>
    <col min="20" max="20" width="13" style="197" bestFit="1" customWidth="1"/>
    <col min="21" max="21" width="11.125" style="197" bestFit="1" customWidth="1"/>
    <col min="22" max="22" width="13" style="197" bestFit="1" customWidth="1"/>
    <col min="23" max="23" width="11.125" style="197" bestFit="1" customWidth="1"/>
    <col min="24" max="16384" width="11" style="198"/>
  </cols>
  <sheetData>
    <row r="1" spans="1:11" s="197" customFormat="1" ht="27" customHeight="1" x14ac:dyDescent="0.2">
      <c r="A1" s="224" t="s">
        <v>402</v>
      </c>
      <c r="B1" s="225"/>
      <c r="C1" s="314" t="s">
        <v>403</v>
      </c>
      <c r="D1" s="239" t="s">
        <v>395</v>
      </c>
      <c r="E1" s="334"/>
      <c r="F1" s="34"/>
      <c r="G1" s="160"/>
      <c r="H1" s="160"/>
      <c r="I1" s="34"/>
      <c r="J1" s="160"/>
      <c r="K1" s="160"/>
    </row>
    <row r="2" spans="1:11" s="197" customFormat="1" ht="21" x14ac:dyDescent="0.2">
      <c r="A2" s="279"/>
      <c r="B2" s="33"/>
      <c r="C2" s="191"/>
      <c r="D2" s="192"/>
      <c r="E2" s="192"/>
      <c r="F2" s="34"/>
      <c r="G2" s="160"/>
      <c r="H2" s="160"/>
      <c r="I2" s="34"/>
      <c r="J2" s="160"/>
      <c r="K2" s="160"/>
    </row>
    <row r="3" spans="1:11" s="197" customFormat="1" ht="15" x14ac:dyDescent="0.2">
      <c r="A3"/>
      <c r="B3" s="34"/>
      <c r="C3" s="34"/>
      <c r="D3" s="34"/>
      <c r="E3" s="34"/>
      <c r="F3" s="34"/>
      <c r="G3" s="34"/>
      <c r="H3" s="34"/>
      <c r="I3" s="34"/>
      <c r="J3" s="34"/>
      <c r="K3" s="34"/>
    </row>
    <row r="4" spans="1:11" s="197" customFormat="1" ht="31.5" customHeight="1" x14ac:dyDescent="0.2">
      <c r="A4" s="665" t="s">
        <v>44</v>
      </c>
      <c r="B4" s="728" t="s">
        <v>389</v>
      </c>
      <c r="C4" s="730" t="s">
        <v>392</v>
      </c>
      <c r="D4" s="731"/>
      <c r="E4" s="732"/>
      <c r="F4" s="733" t="s">
        <v>390</v>
      </c>
      <c r="G4" s="733"/>
      <c r="H4" s="734"/>
      <c r="I4" s="726" t="s">
        <v>407</v>
      </c>
      <c r="J4" s="726"/>
      <c r="K4" s="727"/>
    </row>
    <row r="5" spans="1:11" s="197" customFormat="1" ht="15" x14ac:dyDescent="0.2">
      <c r="A5" s="666"/>
      <c r="B5" s="729"/>
      <c r="C5" s="242" t="s">
        <v>559</v>
      </c>
      <c r="D5" s="370" t="s">
        <v>560</v>
      </c>
      <c r="E5" s="370" t="s">
        <v>561</v>
      </c>
      <c r="F5" s="374" t="s">
        <v>562</v>
      </c>
      <c r="G5" s="375" t="s">
        <v>563</v>
      </c>
      <c r="H5" s="375" t="s">
        <v>564</v>
      </c>
      <c r="I5" s="378" t="s">
        <v>565</v>
      </c>
      <c r="J5" s="379" t="s">
        <v>566</v>
      </c>
      <c r="K5" s="379" t="s">
        <v>567</v>
      </c>
    </row>
    <row r="6" spans="1:11" s="197" customFormat="1" ht="15" x14ac:dyDescent="0.25">
      <c r="A6" s="85">
        <f>Données!A6</f>
        <v>5401</v>
      </c>
      <c r="B6" s="308" t="str">
        <f>Données!B6</f>
        <v>Aigle</v>
      </c>
      <c r="C6" s="194">
        <f>Synthèse!G5</f>
        <v>5029414.4008794567</v>
      </c>
      <c r="D6" s="371" t="s">
        <v>522</v>
      </c>
      <c r="E6" s="372" t="s">
        <v>522</v>
      </c>
      <c r="F6" s="193">
        <f>Synthèse!F5</f>
        <v>-8141498.709252432</v>
      </c>
      <c r="G6" s="376" t="s">
        <v>522</v>
      </c>
      <c r="H6" s="376" t="s">
        <v>522</v>
      </c>
      <c r="I6" s="194">
        <f>Synthèse!H5</f>
        <v>365570.97015868151</v>
      </c>
      <c r="J6" s="380" t="s">
        <v>522</v>
      </c>
      <c r="K6" s="380" t="s">
        <v>522</v>
      </c>
    </row>
    <row r="7" spans="1:11" s="197" customFormat="1" ht="15" x14ac:dyDescent="0.25">
      <c r="A7" s="85">
        <f>Données!A7</f>
        <v>5402</v>
      </c>
      <c r="B7" s="308" t="str">
        <f>Données!B7</f>
        <v>Bex</v>
      </c>
      <c r="C7" s="194">
        <f>Synthèse!G6</f>
        <v>3319494.1033233204</v>
      </c>
      <c r="D7" s="371" t="s">
        <v>522</v>
      </c>
      <c r="E7" s="372" t="s">
        <v>522</v>
      </c>
      <c r="F7" s="193">
        <f>Synthèse!F6</f>
        <v>-7010836.479998691</v>
      </c>
      <c r="G7" s="376" t="s">
        <v>522</v>
      </c>
      <c r="H7" s="376" t="s">
        <v>522</v>
      </c>
      <c r="I7" s="194">
        <f>Synthèse!H6</f>
        <v>238180.47106177377</v>
      </c>
      <c r="J7" s="380" t="s">
        <v>522</v>
      </c>
      <c r="K7" s="380" t="s">
        <v>522</v>
      </c>
    </row>
    <row r="8" spans="1:11" s="197" customFormat="1" ht="15" x14ac:dyDescent="0.25">
      <c r="A8" s="85">
        <f>Données!A8</f>
        <v>5403</v>
      </c>
      <c r="B8" s="308" t="str">
        <f>Données!B8</f>
        <v>Chessel</v>
      </c>
      <c r="C8" s="194">
        <f>Synthèse!G7</f>
        <v>185351.4447262318</v>
      </c>
      <c r="D8" s="371" t="s">
        <v>522</v>
      </c>
      <c r="E8" s="372" t="s">
        <v>522</v>
      </c>
      <c r="F8" s="193">
        <f>Synthèse!F7</f>
        <v>-25553.069512359041</v>
      </c>
      <c r="G8" s="376" t="s">
        <v>522</v>
      </c>
      <c r="H8" s="376" t="s">
        <v>522</v>
      </c>
      <c r="I8" s="194">
        <f>Synthèse!H7</f>
        <v>40860.244791386496</v>
      </c>
      <c r="J8" s="380" t="s">
        <v>522</v>
      </c>
      <c r="K8" s="380" t="s">
        <v>522</v>
      </c>
    </row>
    <row r="9" spans="1:11" s="197" customFormat="1" ht="15" x14ac:dyDescent="0.25">
      <c r="A9" s="85">
        <f>Données!A9</f>
        <v>5404</v>
      </c>
      <c r="B9" s="308" t="str">
        <f>Données!B9</f>
        <v>Corbeyrier</v>
      </c>
      <c r="C9" s="194">
        <f>Synthèse!G8</f>
        <v>250341.84717535326</v>
      </c>
      <c r="D9" s="371" t="s">
        <v>522</v>
      </c>
      <c r="E9" s="372" t="s">
        <v>522</v>
      </c>
      <c r="F9" s="193">
        <f>Synthèse!F8</f>
        <v>-226290.87213210072</v>
      </c>
      <c r="G9" s="376" t="s">
        <v>522</v>
      </c>
      <c r="H9" s="376" t="s">
        <v>522</v>
      </c>
      <c r="I9" s="194">
        <f>Synthèse!H8</f>
        <v>35327.142378279896</v>
      </c>
      <c r="J9" s="380" t="s">
        <v>522</v>
      </c>
      <c r="K9" s="380" t="s">
        <v>522</v>
      </c>
    </row>
    <row r="10" spans="1:11" s="197" customFormat="1" ht="15" x14ac:dyDescent="0.25">
      <c r="A10" s="85">
        <f>Données!A10</f>
        <v>5405</v>
      </c>
      <c r="B10" s="308" t="str">
        <f>Données!B10</f>
        <v>Gryon</v>
      </c>
      <c r="C10" s="194">
        <f>Synthèse!G9</f>
        <v>1608362.0248110362</v>
      </c>
      <c r="D10" s="371" t="s">
        <v>522</v>
      </c>
      <c r="E10" s="372" t="s">
        <v>522</v>
      </c>
      <c r="F10" s="193">
        <f>Synthèse!F9</f>
        <v>563592.41229865362</v>
      </c>
      <c r="G10" s="376" t="s">
        <v>522</v>
      </c>
      <c r="H10" s="376" t="s">
        <v>522</v>
      </c>
      <c r="I10" s="194">
        <f>Synthèse!H9</f>
        <v>213431.77546053586</v>
      </c>
      <c r="J10" s="380" t="s">
        <v>522</v>
      </c>
      <c r="K10" s="380" t="s">
        <v>522</v>
      </c>
    </row>
    <row r="11" spans="1:11" s="197" customFormat="1" ht="15" x14ac:dyDescent="0.25">
      <c r="A11" s="85">
        <f>Données!A11</f>
        <v>5406</v>
      </c>
      <c r="B11" s="308" t="str">
        <f>Données!B11</f>
        <v>Lavey-Morcles</v>
      </c>
      <c r="C11" s="194">
        <f>Synthèse!G10</f>
        <v>443699.75007451663</v>
      </c>
      <c r="D11" s="371" t="s">
        <v>522</v>
      </c>
      <c r="E11" s="372" t="s">
        <v>522</v>
      </c>
      <c r="F11" s="193">
        <f>Synthèse!F10</f>
        <v>-370452.36787078466</v>
      </c>
      <c r="G11" s="376" t="s">
        <v>522</v>
      </c>
      <c r="H11" s="376" t="s">
        <v>522</v>
      </c>
      <c r="I11" s="194">
        <f>Synthèse!H10</f>
        <v>66975.082397662001</v>
      </c>
      <c r="J11" s="380" t="s">
        <v>522</v>
      </c>
      <c r="K11" s="380" t="s">
        <v>522</v>
      </c>
    </row>
    <row r="12" spans="1:11" s="197" customFormat="1" ht="15" x14ac:dyDescent="0.25">
      <c r="A12" s="85">
        <f>Données!A12</f>
        <v>5407</v>
      </c>
      <c r="B12" s="308" t="str">
        <f>Données!B12</f>
        <v>Leysin</v>
      </c>
      <c r="C12" s="194">
        <f>Synthèse!G11</f>
        <v>1598517.1765195495</v>
      </c>
      <c r="D12" s="371" t="s">
        <v>522</v>
      </c>
      <c r="E12" s="372" t="s">
        <v>522</v>
      </c>
      <c r="F12" s="193">
        <f>Synthèse!F11</f>
        <v>-3249317.8692093464</v>
      </c>
      <c r="G12" s="376" t="s">
        <v>522</v>
      </c>
      <c r="H12" s="376" t="s">
        <v>522</v>
      </c>
      <c r="I12" s="194">
        <f>Synthèse!H11</f>
        <v>267442.57821125636</v>
      </c>
      <c r="J12" s="380" t="s">
        <v>522</v>
      </c>
      <c r="K12" s="380" t="s">
        <v>522</v>
      </c>
    </row>
    <row r="13" spans="1:11" s="197" customFormat="1" ht="15" x14ac:dyDescent="0.25">
      <c r="A13" s="85">
        <f>Données!A13</f>
        <v>5408</v>
      </c>
      <c r="B13" s="308" t="str">
        <f>Données!B13</f>
        <v>Noville</v>
      </c>
      <c r="C13" s="194">
        <f>Synthèse!G12</f>
        <v>652537.51860105549</v>
      </c>
      <c r="D13" s="371" t="s">
        <v>522</v>
      </c>
      <c r="E13" s="372" t="s">
        <v>522</v>
      </c>
      <c r="F13" s="193">
        <f>Synthèse!F12</f>
        <v>186562.9347056679</v>
      </c>
      <c r="G13" s="376" t="s">
        <v>522</v>
      </c>
      <c r="H13" s="376" t="s">
        <v>522</v>
      </c>
      <c r="I13" s="194">
        <f>Synthèse!H12</f>
        <v>126204.63490803514</v>
      </c>
      <c r="J13" s="380" t="s">
        <v>522</v>
      </c>
      <c r="K13" s="380" t="s">
        <v>522</v>
      </c>
    </row>
    <row r="14" spans="1:11" s="197" customFormat="1" ht="15" x14ac:dyDescent="0.25">
      <c r="A14" s="85">
        <f>Données!A14</f>
        <v>5409</v>
      </c>
      <c r="B14" s="308" t="str">
        <f>Données!B14</f>
        <v>Ollon</v>
      </c>
      <c r="C14" s="194">
        <f>Synthèse!G13</f>
        <v>7848293.2552500153</v>
      </c>
      <c r="D14" s="371" t="s">
        <v>522</v>
      </c>
      <c r="E14" s="372" t="s">
        <v>522</v>
      </c>
      <c r="F14" s="193">
        <f>Synthèse!F13</f>
        <v>674273.8088087514</v>
      </c>
      <c r="G14" s="376" t="s">
        <v>522</v>
      </c>
      <c r="H14" s="376" t="s">
        <v>522</v>
      </c>
      <c r="I14" s="194">
        <f>Synthèse!H13</f>
        <v>503690.68297156185</v>
      </c>
      <c r="J14" s="380" t="s">
        <v>522</v>
      </c>
      <c r="K14" s="380" t="s">
        <v>522</v>
      </c>
    </row>
    <row r="15" spans="1:11" s="197" customFormat="1" ht="15" x14ac:dyDescent="0.25">
      <c r="A15" s="85">
        <f>Données!A15</f>
        <v>5410</v>
      </c>
      <c r="B15" s="308" t="str">
        <f>Données!B15</f>
        <v>Ormont-Dessous</v>
      </c>
      <c r="C15" s="194">
        <f>Synthèse!G14</f>
        <v>738787.22211324365</v>
      </c>
      <c r="D15" s="371" t="s">
        <v>522</v>
      </c>
      <c r="E15" s="372" t="s">
        <v>522</v>
      </c>
      <c r="F15" s="193">
        <f>Synthèse!F14</f>
        <v>-770332.49287501362</v>
      </c>
      <c r="G15" s="376" t="s">
        <v>522</v>
      </c>
      <c r="H15" s="376" t="s">
        <v>522</v>
      </c>
      <c r="I15" s="194">
        <f>Synthèse!H14</f>
        <v>113851.37577135977</v>
      </c>
      <c r="J15" s="380" t="s">
        <v>522</v>
      </c>
      <c r="K15" s="380" t="s">
        <v>522</v>
      </c>
    </row>
    <row r="16" spans="1:11" s="197" customFormat="1" ht="15" x14ac:dyDescent="0.25">
      <c r="A16" s="85">
        <f>Données!A16</f>
        <v>5411</v>
      </c>
      <c r="B16" s="308" t="str">
        <f>Données!B16</f>
        <v>Ormont-Dessus</v>
      </c>
      <c r="C16" s="194">
        <f>Synthèse!G15</f>
        <v>1672743.9950081524</v>
      </c>
      <c r="D16" s="371" t="s">
        <v>522</v>
      </c>
      <c r="E16" s="372" t="s">
        <v>522</v>
      </c>
      <c r="F16" s="193">
        <f>Synthèse!F15</f>
        <v>519489.99517774885</v>
      </c>
      <c r="G16" s="376" t="s">
        <v>522</v>
      </c>
      <c r="H16" s="376" t="s">
        <v>522</v>
      </c>
      <c r="I16" s="194">
        <f>Synthèse!H15</f>
        <v>220174.37023713376</v>
      </c>
      <c r="J16" s="380" t="s">
        <v>522</v>
      </c>
      <c r="K16" s="380" t="s">
        <v>522</v>
      </c>
    </row>
    <row r="17" spans="1:11" s="197" customFormat="1" ht="15" x14ac:dyDescent="0.25">
      <c r="A17" s="85">
        <f>Données!A17</f>
        <v>5412</v>
      </c>
      <c r="B17" s="308" t="str">
        <f>Données!B17</f>
        <v>Rennaz</v>
      </c>
      <c r="C17" s="194">
        <f>Synthèse!G16</f>
        <v>829576.37271996669</v>
      </c>
      <c r="D17" s="371" t="s">
        <v>522</v>
      </c>
      <c r="E17" s="372" t="s">
        <v>522</v>
      </c>
      <c r="F17" s="193">
        <f>Synthèse!F16</f>
        <v>217332.93856240436</v>
      </c>
      <c r="G17" s="376" t="s">
        <v>522</v>
      </c>
      <c r="H17" s="376" t="s">
        <v>522</v>
      </c>
      <c r="I17" s="194">
        <f>Synthèse!H16</f>
        <v>94679.413592191937</v>
      </c>
      <c r="J17" s="380" t="s">
        <v>522</v>
      </c>
      <c r="K17" s="380" t="s">
        <v>522</v>
      </c>
    </row>
    <row r="18" spans="1:11" s="197" customFormat="1" ht="15" x14ac:dyDescent="0.25">
      <c r="A18" s="85">
        <f>Données!A18</f>
        <v>5413</v>
      </c>
      <c r="B18" s="308" t="str">
        <f>Données!B18</f>
        <v>Roche</v>
      </c>
      <c r="C18" s="194">
        <f>Synthèse!G17</f>
        <v>937333.86781989038</v>
      </c>
      <c r="D18" s="371" t="s">
        <v>522</v>
      </c>
      <c r="E18" s="372" t="s">
        <v>522</v>
      </c>
      <c r="F18" s="193">
        <f>Synthèse!F17</f>
        <v>-666548.53124196909</v>
      </c>
      <c r="G18" s="376" t="s">
        <v>522</v>
      </c>
      <c r="H18" s="376" t="s">
        <v>522</v>
      </c>
      <c r="I18" s="194">
        <f>Synthèse!H17</f>
        <v>128239.64858428112</v>
      </c>
      <c r="J18" s="380" t="s">
        <v>522</v>
      </c>
      <c r="K18" s="380" t="s">
        <v>522</v>
      </c>
    </row>
    <row r="19" spans="1:11" s="197" customFormat="1" ht="15" x14ac:dyDescent="0.25">
      <c r="A19" s="85">
        <f>Données!A19</f>
        <v>5414</v>
      </c>
      <c r="B19" s="308" t="str">
        <f>Données!B19</f>
        <v>Villeneuve</v>
      </c>
      <c r="C19" s="194">
        <f>Synthèse!G18</f>
        <v>3132528.2689544791</v>
      </c>
      <c r="D19" s="371" t="s">
        <v>522</v>
      </c>
      <c r="E19" s="372" t="s">
        <v>522</v>
      </c>
      <c r="F19" s="193">
        <f>Synthèse!F18</f>
        <v>-3374218.6836736198</v>
      </c>
      <c r="G19" s="376" t="s">
        <v>522</v>
      </c>
      <c r="H19" s="376" t="s">
        <v>522</v>
      </c>
      <c r="I19" s="194">
        <f>Synthèse!H18</f>
        <v>493283.85727073997</v>
      </c>
      <c r="J19" s="380" t="s">
        <v>522</v>
      </c>
      <c r="K19" s="380" t="s">
        <v>522</v>
      </c>
    </row>
    <row r="20" spans="1:11" s="197" customFormat="1" ht="15" x14ac:dyDescent="0.25">
      <c r="A20" s="85">
        <f>Données!A20</f>
        <v>5415</v>
      </c>
      <c r="B20" s="308" t="str">
        <f>Données!B20</f>
        <v>Yvorne</v>
      </c>
      <c r="C20" s="194">
        <f>Synthèse!G19</f>
        <v>615593.34917829465</v>
      </c>
      <c r="D20" s="371" t="s">
        <v>522</v>
      </c>
      <c r="E20" s="372" t="s">
        <v>522</v>
      </c>
      <c r="F20" s="193">
        <f>Synthèse!F19</f>
        <v>-241202.60527164536</v>
      </c>
      <c r="G20" s="376" t="s">
        <v>522</v>
      </c>
      <c r="H20" s="376" t="s">
        <v>522</v>
      </c>
      <c r="I20" s="194">
        <f>Synthèse!H19</f>
        <v>102403.29961117625</v>
      </c>
      <c r="J20" s="380" t="s">
        <v>522</v>
      </c>
      <c r="K20" s="380" t="s">
        <v>522</v>
      </c>
    </row>
    <row r="21" spans="1:11" s="197" customFormat="1" ht="15" x14ac:dyDescent="0.25">
      <c r="A21" s="85">
        <f>Données!A21</f>
        <v>5422</v>
      </c>
      <c r="B21" s="308" t="str">
        <f>Données!B21</f>
        <v>Aubonne</v>
      </c>
      <c r="C21" s="194">
        <f>Synthèse!G20</f>
        <v>7589587.1471197326</v>
      </c>
      <c r="D21" s="371" t="s">
        <v>522</v>
      </c>
      <c r="E21" s="372" t="s">
        <v>522</v>
      </c>
      <c r="F21" s="193">
        <f>Synthèse!F20</f>
        <v>4551430.4709471874</v>
      </c>
      <c r="G21" s="376" t="s">
        <v>522</v>
      </c>
      <c r="H21" s="376" t="s">
        <v>522</v>
      </c>
      <c r="I21" s="194">
        <f>Synthèse!H20</f>
        <v>703604.58691244549</v>
      </c>
      <c r="J21" s="380" t="s">
        <v>522</v>
      </c>
      <c r="K21" s="380" t="s">
        <v>522</v>
      </c>
    </row>
    <row r="22" spans="1:11" s="197" customFormat="1" ht="15" x14ac:dyDescent="0.25">
      <c r="A22" s="85">
        <f>Données!A22</f>
        <v>5423</v>
      </c>
      <c r="B22" s="308" t="str">
        <f>Données!B22</f>
        <v>Ballens</v>
      </c>
      <c r="C22" s="194">
        <f>Synthèse!G21</f>
        <v>330369.78447731532</v>
      </c>
      <c r="D22" s="371" t="s">
        <v>522</v>
      </c>
      <c r="E22" s="372" t="s">
        <v>522</v>
      </c>
      <c r="F22" s="193">
        <f>Synthèse!F21</f>
        <v>-43358.978208730055</v>
      </c>
      <c r="G22" s="376" t="s">
        <v>522</v>
      </c>
      <c r="H22" s="376" t="s">
        <v>522</v>
      </c>
      <c r="I22" s="194">
        <f>Synthèse!H21</f>
        <v>53858.075113565661</v>
      </c>
      <c r="J22" s="380" t="s">
        <v>522</v>
      </c>
      <c r="K22" s="380" t="s">
        <v>522</v>
      </c>
    </row>
    <row r="23" spans="1:11" s="197" customFormat="1" ht="15" x14ac:dyDescent="0.25">
      <c r="A23" s="85">
        <f>Données!A23</f>
        <v>5424</v>
      </c>
      <c r="B23" s="308" t="str">
        <f>Données!B23</f>
        <v>Berolle</v>
      </c>
      <c r="C23" s="194">
        <f>Synthèse!G22</f>
        <v>166820.92002181784</v>
      </c>
      <c r="D23" s="371" t="s">
        <v>522</v>
      </c>
      <c r="E23" s="372" t="s">
        <v>522</v>
      </c>
      <c r="F23" s="193">
        <f>Synthèse!F22</f>
        <v>-19092.263592438394</v>
      </c>
      <c r="G23" s="376" t="s">
        <v>522</v>
      </c>
      <c r="H23" s="376" t="s">
        <v>522</v>
      </c>
      <c r="I23" s="194">
        <f>Synthèse!H22</f>
        <v>31824.241008094694</v>
      </c>
      <c r="J23" s="380" t="s">
        <v>522</v>
      </c>
      <c r="K23" s="380" t="s">
        <v>522</v>
      </c>
    </row>
    <row r="24" spans="1:11" s="197" customFormat="1" ht="15" x14ac:dyDescent="0.25">
      <c r="A24" s="85">
        <f>Données!A24</f>
        <v>5425</v>
      </c>
      <c r="B24" s="308" t="str">
        <f>Données!B24</f>
        <v>Bière</v>
      </c>
      <c r="C24" s="194">
        <f>Synthèse!G23</f>
        <v>646330.69861198426</v>
      </c>
      <c r="D24" s="371" t="s">
        <v>522</v>
      </c>
      <c r="E24" s="372" t="s">
        <v>522</v>
      </c>
      <c r="F24" s="193">
        <f>Synthèse!F23</f>
        <v>-819821.78268610465</v>
      </c>
      <c r="G24" s="376" t="s">
        <v>522</v>
      </c>
      <c r="H24" s="376" t="s">
        <v>522</v>
      </c>
      <c r="I24" s="194">
        <f>Synthèse!H23</f>
        <v>129971.87360578598</v>
      </c>
      <c r="J24" s="380" t="s">
        <v>522</v>
      </c>
      <c r="K24" s="380" t="s">
        <v>522</v>
      </c>
    </row>
    <row r="25" spans="1:11" s="197" customFormat="1" ht="15" x14ac:dyDescent="0.25">
      <c r="A25" s="85">
        <f>Données!A25</f>
        <v>5426</v>
      </c>
      <c r="B25" s="308" t="str">
        <f>Données!B25</f>
        <v>Bougy-Villars</v>
      </c>
      <c r="C25" s="194">
        <f>Synthèse!G24</f>
        <v>2083232.7175604939</v>
      </c>
      <c r="D25" s="371" t="s">
        <v>522</v>
      </c>
      <c r="E25" s="372" t="s">
        <v>522</v>
      </c>
      <c r="F25" s="193">
        <f>Synthèse!F24</f>
        <v>1147969.7918917374</v>
      </c>
      <c r="G25" s="376" t="s">
        <v>522</v>
      </c>
      <c r="H25" s="376" t="s">
        <v>522</v>
      </c>
      <c r="I25" s="194">
        <f>Synthèse!H24</f>
        <v>121487.84948735092</v>
      </c>
      <c r="J25" s="380" t="s">
        <v>522</v>
      </c>
      <c r="K25" s="380" t="s">
        <v>522</v>
      </c>
    </row>
    <row r="26" spans="1:11" s="197" customFormat="1" ht="15" x14ac:dyDescent="0.25">
      <c r="A26" s="85">
        <f>Données!A26</f>
        <v>5427</v>
      </c>
      <c r="B26" s="308" t="str">
        <f>Données!B26</f>
        <v>Féchy</v>
      </c>
      <c r="C26" s="194">
        <f>Synthèse!G25</f>
        <v>2314221.4338383442</v>
      </c>
      <c r="D26" s="371" t="s">
        <v>522</v>
      </c>
      <c r="E26" s="372" t="s">
        <v>522</v>
      </c>
      <c r="F26" s="193">
        <f>Synthèse!F25</f>
        <v>1587628.4228670707</v>
      </c>
      <c r="G26" s="376" t="s">
        <v>522</v>
      </c>
      <c r="H26" s="376" t="s">
        <v>522</v>
      </c>
      <c r="I26" s="194">
        <f>Synthèse!H25</f>
        <v>186080.57834208588</v>
      </c>
      <c r="J26" s="380" t="s">
        <v>522</v>
      </c>
      <c r="K26" s="380" t="s">
        <v>522</v>
      </c>
    </row>
    <row r="27" spans="1:11" s="197" customFormat="1" ht="15" x14ac:dyDescent="0.25">
      <c r="A27" s="85">
        <f>Données!A27</f>
        <v>5428</v>
      </c>
      <c r="B27" s="308" t="str">
        <f>Données!B27</f>
        <v>Gimel</v>
      </c>
      <c r="C27" s="194">
        <f>Synthèse!G26</f>
        <v>1339634.6607657748</v>
      </c>
      <c r="D27" s="371" t="s">
        <v>522</v>
      </c>
      <c r="E27" s="372" t="s">
        <v>522</v>
      </c>
      <c r="F27" s="193">
        <f>Synthèse!F26</f>
        <v>-766445.32432005415</v>
      </c>
      <c r="G27" s="376" t="s">
        <v>522</v>
      </c>
      <c r="H27" s="376" t="s">
        <v>522</v>
      </c>
      <c r="I27" s="194">
        <f>Synthèse!H26</f>
        <v>219153.73887092114</v>
      </c>
      <c r="J27" s="380" t="s">
        <v>522</v>
      </c>
      <c r="K27" s="380" t="s">
        <v>522</v>
      </c>
    </row>
    <row r="28" spans="1:11" s="197" customFormat="1" ht="15" x14ac:dyDescent="0.25">
      <c r="A28" s="85">
        <f>Données!A28</f>
        <v>5429</v>
      </c>
      <c r="B28" s="308" t="str">
        <f>Données!B28</f>
        <v>Longirod</v>
      </c>
      <c r="C28" s="194">
        <f>Synthèse!G27</f>
        <v>274955.15339939471</v>
      </c>
      <c r="D28" s="371" t="s">
        <v>522</v>
      </c>
      <c r="E28" s="372" t="s">
        <v>522</v>
      </c>
      <c r="F28" s="193">
        <f>Synthèse!F27</f>
        <v>-12005.316447670572</v>
      </c>
      <c r="G28" s="376" t="s">
        <v>522</v>
      </c>
      <c r="H28" s="376" t="s">
        <v>522</v>
      </c>
      <c r="I28" s="194">
        <f>Synthèse!H27</f>
        <v>52651.191134225002</v>
      </c>
      <c r="J28" s="380" t="s">
        <v>522</v>
      </c>
      <c r="K28" s="380" t="s">
        <v>522</v>
      </c>
    </row>
    <row r="29" spans="1:11" s="197" customFormat="1" ht="15" x14ac:dyDescent="0.25">
      <c r="A29" s="85">
        <f>Données!A29</f>
        <v>5430</v>
      </c>
      <c r="B29" s="308" t="str">
        <f>Données!B29</f>
        <v>Marchissy</v>
      </c>
      <c r="C29" s="194">
        <f>Synthèse!G28</f>
        <v>274620.68196297099</v>
      </c>
      <c r="D29" s="371" t="s">
        <v>522</v>
      </c>
      <c r="E29" s="372" t="s">
        <v>522</v>
      </c>
      <c r="F29" s="193">
        <f>Synthèse!F28</f>
        <v>48378.723266906163</v>
      </c>
      <c r="G29" s="376" t="s">
        <v>522</v>
      </c>
      <c r="H29" s="376" t="s">
        <v>522</v>
      </c>
      <c r="I29" s="194">
        <f>Synthèse!H28</f>
        <v>53071.739769191816</v>
      </c>
      <c r="J29" s="380" t="s">
        <v>522</v>
      </c>
      <c r="K29" s="380" t="s">
        <v>522</v>
      </c>
    </row>
    <row r="30" spans="1:11" s="197" customFormat="1" ht="15" x14ac:dyDescent="0.25">
      <c r="A30" s="85">
        <f>Données!A30</f>
        <v>5431</v>
      </c>
      <c r="B30" s="308" t="str">
        <f>Données!B30</f>
        <v>Mollens</v>
      </c>
      <c r="C30" s="194">
        <f>Synthèse!G29</f>
        <v>147528.40588637156</v>
      </c>
      <c r="D30" s="371" t="s">
        <v>522</v>
      </c>
      <c r="E30" s="372" t="s">
        <v>522</v>
      </c>
      <c r="F30" s="193">
        <f>Synthèse!F29</f>
        <v>-45698.670617762516</v>
      </c>
      <c r="G30" s="376" t="s">
        <v>522</v>
      </c>
      <c r="H30" s="376" t="s">
        <v>522</v>
      </c>
      <c r="I30" s="194">
        <f>Synthèse!H29</f>
        <v>29213.602877581478</v>
      </c>
      <c r="J30" s="380" t="s">
        <v>522</v>
      </c>
      <c r="K30" s="380" t="s">
        <v>522</v>
      </c>
    </row>
    <row r="31" spans="1:11" s="197" customFormat="1" ht="15" x14ac:dyDescent="0.25">
      <c r="A31" s="85">
        <f>Données!A31</f>
        <v>5434</v>
      </c>
      <c r="B31" s="308" t="str">
        <f>Données!B31</f>
        <v>Saint-George</v>
      </c>
      <c r="C31" s="194">
        <f>Synthèse!G30</f>
        <v>850973.43529223977</v>
      </c>
      <c r="D31" s="371" t="s">
        <v>522</v>
      </c>
      <c r="E31" s="372" t="s">
        <v>522</v>
      </c>
      <c r="F31" s="193">
        <f>Synthèse!F30</f>
        <v>291067.7406283298</v>
      </c>
      <c r="G31" s="376" t="s">
        <v>522</v>
      </c>
      <c r="H31" s="376" t="s">
        <v>522</v>
      </c>
      <c r="I31" s="194">
        <f>Synthèse!H30</f>
        <v>125369.35973561311</v>
      </c>
      <c r="J31" s="380" t="s">
        <v>522</v>
      </c>
      <c r="K31" s="380" t="s">
        <v>522</v>
      </c>
    </row>
    <row r="32" spans="1:11" s="197" customFormat="1" ht="15" x14ac:dyDescent="0.25">
      <c r="A32" s="85">
        <f>Données!A32</f>
        <v>5435</v>
      </c>
      <c r="B32" s="308" t="str">
        <f>Données!B32</f>
        <v>Saint-Livres</v>
      </c>
      <c r="C32" s="194">
        <f>Synthèse!G31</f>
        <v>499019.68618734251</v>
      </c>
      <c r="D32" s="371" t="s">
        <v>522</v>
      </c>
      <c r="E32" s="372" t="s">
        <v>522</v>
      </c>
      <c r="F32" s="193">
        <f>Synthèse!F31</f>
        <v>223480.01264290983</v>
      </c>
      <c r="G32" s="376" t="s">
        <v>522</v>
      </c>
      <c r="H32" s="376" t="s">
        <v>522</v>
      </c>
      <c r="I32" s="194">
        <f>Synthèse!H31</f>
        <v>78636.043307752174</v>
      </c>
      <c r="J32" s="380" t="s">
        <v>522</v>
      </c>
      <c r="K32" s="380" t="s">
        <v>522</v>
      </c>
    </row>
    <row r="33" spans="1:11" s="197" customFormat="1" ht="15" x14ac:dyDescent="0.25">
      <c r="A33" s="85">
        <f>Données!A33</f>
        <v>5436</v>
      </c>
      <c r="B33" s="308" t="str">
        <f>Données!B33</f>
        <v>Saint-Oyens</v>
      </c>
      <c r="C33" s="194">
        <f>Synthèse!G32</f>
        <v>227297.7866284537</v>
      </c>
      <c r="D33" s="371" t="s">
        <v>522</v>
      </c>
      <c r="E33" s="372" t="s">
        <v>522</v>
      </c>
      <c r="F33" s="193">
        <f>Synthèse!F32</f>
        <v>127197.23203758715</v>
      </c>
      <c r="G33" s="376" t="s">
        <v>522</v>
      </c>
      <c r="H33" s="376" t="s">
        <v>522</v>
      </c>
      <c r="I33" s="194">
        <f>Synthèse!H32</f>
        <v>50896.979338947815</v>
      </c>
      <c r="J33" s="380" t="s">
        <v>522</v>
      </c>
      <c r="K33" s="380" t="s">
        <v>522</v>
      </c>
    </row>
    <row r="34" spans="1:11" s="197" customFormat="1" ht="15" x14ac:dyDescent="0.25">
      <c r="A34" s="85">
        <f>Données!A34</f>
        <v>5437</v>
      </c>
      <c r="B34" s="308" t="str">
        <f>Données!B34</f>
        <v>Saubraz</v>
      </c>
      <c r="C34" s="194">
        <f>Synthèse!G33</f>
        <v>236318.8608043821</v>
      </c>
      <c r="D34" s="371" t="s">
        <v>522</v>
      </c>
      <c r="E34" s="372" t="s">
        <v>522</v>
      </c>
      <c r="F34" s="193">
        <f>Synthèse!F33</f>
        <v>-64174.640417915682</v>
      </c>
      <c r="G34" s="376" t="s">
        <v>522</v>
      </c>
      <c r="H34" s="376" t="s">
        <v>522</v>
      </c>
      <c r="I34" s="194">
        <f>Synthèse!H33</f>
        <v>37322.657089045199</v>
      </c>
      <c r="J34" s="380" t="s">
        <v>522</v>
      </c>
      <c r="K34" s="380" t="s">
        <v>522</v>
      </c>
    </row>
    <row r="35" spans="1:11" s="197" customFormat="1" ht="15" x14ac:dyDescent="0.25">
      <c r="A35" s="85">
        <f>Données!A35</f>
        <v>5451</v>
      </c>
      <c r="B35" s="308" t="str">
        <f>Données!B35</f>
        <v>Avenches</v>
      </c>
      <c r="C35" s="194">
        <f>Synthèse!G34</f>
        <v>2383961.2156102997</v>
      </c>
      <c r="D35" s="371" t="s">
        <v>522</v>
      </c>
      <c r="E35" s="372" t="s">
        <v>522</v>
      </c>
      <c r="F35" s="193">
        <f>Synthèse!F34</f>
        <v>-1656677.5103782881</v>
      </c>
      <c r="G35" s="376" t="s">
        <v>522</v>
      </c>
      <c r="H35" s="376" t="s">
        <v>522</v>
      </c>
      <c r="I35" s="194">
        <f>Synthèse!H34</f>
        <v>428189.14843861043</v>
      </c>
      <c r="J35" s="380" t="s">
        <v>522</v>
      </c>
      <c r="K35" s="380" t="s">
        <v>522</v>
      </c>
    </row>
    <row r="36" spans="1:11" s="197" customFormat="1" ht="15" x14ac:dyDescent="0.25">
      <c r="A36" s="85">
        <f>Données!A36</f>
        <v>5456</v>
      </c>
      <c r="B36" s="308" t="str">
        <f>Données!B36</f>
        <v>Cudrefin</v>
      </c>
      <c r="C36" s="194">
        <f>Synthèse!G35</f>
        <v>1124353.7211144562</v>
      </c>
      <c r="D36" s="371" t="s">
        <v>522</v>
      </c>
      <c r="E36" s="372" t="s">
        <v>522</v>
      </c>
      <c r="F36" s="193">
        <f>Synthèse!F35</f>
        <v>292100.54621378263</v>
      </c>
      <c r="G36" s="376" t="s">
        <v>522</v>
      </c>
      <c r="H36" s="376" t="s">
        <v>522</v>
      </c>
      <c r="I36" s="194">
        <f>Synthèse!H35</f>
        <v>194743.78591446945</v>
      </c>
      <c r="J36" s="380" t="s">
        <v>522</v>
      </c>
      <c r="K36" s="380" t="s">
        <v>522</v>
      </c>
    </row>
    <row r="37" spans="1:11" s="197" customFormat="1" ht="15" x14ac:dyDescent="0.25">
      <c r="A37" s="85">
        <f>Données!A37</f>
        <v>5458</v>
      </c>
      <c r="B37" s="308" t="str">
        <f>Données!B37</f>
        <v>Faoug</v>
      </c>
      <c r="C37" s="194">
        <f>Synthèse!G36</f>
        <v>488990.21755466022</v>
      </c>
      <c r="D37" s="371" t="s">
        <v>522</v>
      </c>
      <c r="E37" s="372" t="s">
        <v>522</v>
      </c>
      <c r="F37" s="193">
        <f>Synthèse!F36</f>
        <v>231496.58883908251</v>
      </c>
      <c r="G37" s="376" t="s">
        <v>522</v>
      </c>
      <c r="H37" s="376" t="s">
        <v>522</v>
      </c>
      <c r="I37" s="194">
        <f>Synthèse!H36</f>
        <v>99397.664796130208</v>
      </c>
      <c r="J37" s="380" t="s">
        <v>522</v>
      </c>
      <c r="K37" s="380" t="s">
        <v>522</v>
      </c>
    </row>
    <row r="38" spans="1:11" s="197" customFormat="1" ht="15" x14ac:dyDescent="0.25">
      <c r="A38" s="85">
        <f>Données!A38</f>
        <v>5464</v>
      </c>
      <c r="B38" s="308" t="str">
        <f>Données!B38</f>
        <v>Vully-les-Lacs</v>
      </c>
      <c r="C38" s="194">
        <f>Synthèse!G37</f>
        <v>1992339.6740744126</v>
      </c>
      <c r="D38" s="371" t="s">
        <v>522</v>
      </c>
      <c r="E38" s="372" t="s">
        <v>522</v>
      </c>
      <c r="F38" s="193">
        <f>Synthèse!F37</f>
        <v>-149930.8730521407</v>
      </c>
      <c r="G38" s="376" t="s">
        <v>522</v>
      </c>
      <c r="H38" s="376" t="s">
        <v>522</v>
      </c>
      <c r="I38" s="194">
        <f>Synthèse!H37</f>
        <v>359610.85398640274</v>
      </c>
      <c r="J38" s="380" t="s">
        <v>522</v>
      </c>
      <c r="K38" s="380" t="s">
        <v>522</v>
      </c>
    </row>
    <row r="39" spans="1:11" s="197" customFormat="1" ht="15" x14ac:dyDescent="0.25">
      <c r="A39" s="85">
        <f>Données!A39</f>
        <v>5471</v>
      </c>
      <c r="B39" s="308" t="str">
        <f>Données!B39</f>
        <v>Bettens</v>
      </c>
      <c r="C39" s="194">
        <f>Synthèse!G38</f>
        <v>321910.85420239629</v>
      </c>
      <c r="D39" s="371" t="s">
        <v>522</v>
      </c>
      <c r="E39" s="372" t="s">
        <v>522</v>
      </c>
      <c r="F39" s="193">
        <f>Synthèse!F38</f>
        <v>194416.85960210697</v>
      </c>
      <c r="G39" s="376" t="s">
        <v>522</v>
      </c>
      <c r="H39" s="376" t="s">
        <v>522</v>
      </c>
      <c r="I39" s="194">
        <f>Synthèse!H38</f>
        <v>69500.633359326923</v>
      </c>
      <c r="J39" s="380" t="s">
        <v>522</v>
      </c>
      <c r="K39" s="380" t="s">
        <v>522</v>
      </c>
    </row>
    <row r="40" spans="1:11" s="197" customFormat="1" ht="15" x14ac:dyDescent="0.25">
      <c r="A40" s="85">
        <f>Données!A40</f>
        <v>5472</v>
      </c>
      <c r="B40" s="308" t="str">
        <f>Données!B40</f>
        <v>Bournens</v>
      </c>
      <c r="C40" s="194">
        <f>Synthèse!G39</f>
        <v>321137.76985197066</v>
      </c>
      <c r="D40" s="371" t="s">
        <v>522</v>
      </c>
      <c r="E40" s="372" t="s">
        <v>522</v>
      </c>
      <c r="F40" s="193">
        <f>Synthèse!F39</f>
        <v>230738.66822951805</v>
      </c>
      <c r="G40" s="376" t="s">
        <v>522</v>
      </c>
      <c r="H40" s="376" t="s">
        <v>522</v>
      </c>
      <c r="I40" s="194">
        <f>Synthèse!H39</f>
        <v>61310.64875023983</v>
      </c>
      <c r="J40" s="380" t="s">
        <v>522</v>
      </c>
      <c r="K40" s="380" t="s">
        <v>522</v>
      </c>
    </row>
    <row r="41" spans="1:11" s="197" customFormat="1" ht="15" x14ac:dyDescent="0.25">
      <c r="A41" s="85">
        <f>Données!A41</f>
        <v>5473</v>
      </c>
      <c r="B41" s="308" t="str">
        <f>Données!B41</f>
        <v>Boussens</v>
      </c>
      <c r="C41" s="194">
        <f>Synthèse!G40</f>
        <v>611207.33126485511</v>
      </c>
      <c r="D41" s="371" t="s">
        <v>522</v>
      </c>
      <c r="E41" s="372" t="s">
        <v>522</v>
      </c>
      <c r="F41" s="193">
        <f>Synthèse!F40</f>
        <v>506307.88233944977</v>
      </c>
      <c r="G41" s="376" t="s">
        <v>522</v>
      </c>
      <c r="H41" s="376" t="s">
        <v>522</v>
      </c>
      <c r="I41" s="194">
        <f>Synthèse!H40</f>
        <v>123635.43467569503</v>
      </c>
      <c r="J41" s="380" t="s">
        <v>522</v>
      </c>
      <c r="K41" s="380" t="s">
        <v>522</v>
      </c>
    </row>
    <row r="42" spans="1:11" s="197" customFormat="1" ht="15" x14ac:dyDescent="0.25">
      <c r="A42" s="85">
        <f>Données!A42</f>
        <v>5474</v>
      </c>
      <c r="B42" s="308" t="str">
        <f>Données!B42</f>
        <v>La Chaux (Cossonay)</v>
      </c>
      <c r="C42" s="194">
        <f>Synthèse!G41</f>
        <v>218638.58117046198</v>
      </c>
      <c r="D42" s="371" t="s">
        <v>522</v>
      </c>
      <c r="E42" s="372" t="s">
        <v>522</v>
      </c>
      <c r="F42" s="193">
        <f>Synthèse!F41</f>
        <v>-91171.403143440781</v>
      </c>
      <c r="G42" s="376" t="s">
        <v>522</v>
      </c>
      <c r="H42" s="376" t="s">
        <v>522</v>
      </c>
      <c r="I42" s="194">
        <f>Synthèse!H41</f>
        <v>42962.426903876883</v>
      </c>
      <c r="J42" s="380" t="s">
        <v>522</v>
      </c>
      <c r="K42" s="380" t="s">
        <v>522</v>
      </c>
    </row>
    <row r="43" spans="1:11" s="197" customFormat="1" ht="15" x14ac:dyDescent="0.25">
      <c r="A43" s="85">
        <f>Données!A43</f>
        <v>5475</v>
      </c>
      <c r="B43" s="308" t="str">
        <f>Données!B43</f>
        <v>Chavannes-le-Veyron</v>
      </c>
      <c r="C43" s="194">
        <f>Synthèse!G42</f>
        <v>64817.272707397969</v>
      </c>
      <c r="D43" s="371" t="s">
        <v>522</v>
      </c>
      <c r="E43" s="372" t="s">
        <v>522</v>
      </c>
      <c r="F43" s="193">
        <f>Synthèse!F42</f>
        <v>-65477.29098011383</v>
      </c>
      <c r="G43" s="376" t="s">
        <v>522</v>
      </c>
      <c r="H43" s="376" t="s">
        <v>522</v>
      </c>
      <c r="I43" s="194">
        <f>Synthèse!H42</f>
        <v>13242.997419591115</v>
      </c>
      <c r="J43" s="380" t="s">
        <v>522</v>
      </c>
      <c r="K43" s="380" t="s">
        <v>522</v>
      </c>
    </row>
    <row r="44" spans="1:11" s="197" customFormat="1" ht="15" x14ac:dyDescent="0.25">
      <c r="A44" s="85">
        <f>Données!A44</f>
        <v>5476</v>
      </c>
      <c r="B44" s="308" t="str">
        <f>Données!B44</f>
        <v>Chevilly</v>
      </c>
      <c r="C44" s="194">
        <f>Synthèse!G43</f>
        <v>198646.48975957598</v>
      </c>
      <c r="D44" s="371" t="s">
        <v>522</v>
      </c>
      <c r="E44" s="372" t="s">
        <v>522</v>
      </c>
      <c r="F44" s="193">
        <f>Synthèse!F43</f>
        <v>174157.97029275991</v>
      </c>
      <c r="G44" s="376" t="s">
        <v>522</v>
      </c>
      <c r="H44" s="376" t="s">
        <v>522</v>
      </c>
      <c r="I44" s="194">
        <f>Synthèse!H43</f>
        <v>42223.752226874014</v>
      </c>
      <c r="J44" s="380" t="s">
        <v>522</v>
      </c>
      <c r="K44" s="380" t="s">
        <v>522</v>
      </c>
    </row>
    <row r="45" spans="1:11" s="197" customFormat="1" ht="15" x14ac:dyDescent="0.25">
      <c r="A45" s="85">
        <f>Données!A45</f>
        <v>5477</v>
      </c>
      <c r="B45" s="308" t="str">
        <f>Données!B45</f>
        <v>Cossonay</v>
      </c>
      <c r="C45" s="194">
        <f>Synthèse!G44</f>
        <v>2660456.0770010017</v>
      </c>
      <c r="D45" s="371" t="s">
        <v>522</v>
      </c>
      <c r="E45" s="372" t="s">
        <v>522</v>
      </c>
      <c r="F45" s="193">
        <f>Synthèse!F44</f>
        <v>-641503.09750299668</v>
      </c>
      <c r="G45" s="376" t="s">
        <v>522</v>
      </c>
      <c r="H45" s="376" t="s">
        <v>522</v>
      </c>
      <c r="I45" s="194">
        <f>Synthèse!H44</f>
        <v>467313.54580071568</v>
      </c>
      <c r="J45" s="380" t="s">
        <v>522</v>
      </c>
      <c r="K45" s="380" t="s">
        <v>522</v>
      </c>
    </row>
    <row r="46" spans="1:11" s="197" customFormat="1" ht="15" x14ac:dyDescent="0.25">
      <c r="A46" s="85">
        <f>Données!A46</f>
        <v>5479</v>
      </c>
      <c r="B46" s="308" t="str">
        <f>Données!B46</f>
        <v>Cuarnens</v>
      </c>
      <c r="C46" s="194">
        <f>Synthèse!G45</f>
        <v>237116.04855423304</v>
      </c>
      <c r="D46" s="371" t="s">
        <v>522</v>
      </c>
      <c r="E46" s="372" t="s">
        <v>522</v>
      </c>
      <c r="F46" s="193">
        <f>Synthèse!F45</f>
        <v>-312733.74798848893</v>
      </c>
      <c r="G46" s="376" t="s">
        <v>522</v>
      </c>
      <c r="H46" s="376" t="s">
        <v>522</v>
      </c>
      <c r="I46" s="194">
        <f>Synthèse!H45</f>
        <v>43898.870452463925</v>
      </c>
      <c r="J46" s="380" t="s">
        <v>522</v>
      </c>
      <c r="K46" s="380" t="s">
        <v>522</v>
      </c>
    </row>
    <row r="47" spans="1:11" s="197" customFormat="1" ht="15" x14ac:dyDescent="0.25">
      <c r="A47" s="85">
        <f>Données!A47</f>
        <v>5480</v>
      </c>
      <c r="B47" s="308" t="str">
        <f>Données!B47</f>
        <v>Daillens</v>
      </c>
      <c r="C47" s="194">
        <f>Synthèse!G46</f>
        <v>974688.20635525952</v>
      </c>
      <c r="D47" s="371" t="s">
        <v>522</v>
      </c>
      <c r="E47" s="372" t="s">
        <v>522</v>
      </c>
      <c r="F47" s="193">
        <f>Synthèse!F46</f>
        <v>451655.82964631892</v>
      </c>
      <c r="G47" s="376" t="s">
        <v>522</v>
      </c>
      <c r="H47" s="376" t="s">
        <v>522</v>
      </c>
      <c r="I47" s="194">
        <f>Synthèse!H46</f>
        <v>128076.88973835437</v>
      </c>
      <c r="J47" s="380" t="s">
        <v>522</v>
      </c>
      <c r="K47" s="380" t="s">
        <v>522</v>
      </c>
    </row>
    <row r="48" spans="1:11" s="197" customFormat="1" ht="15" x14ac:dyDescent="0.25">
      <c r="A48" s="85">
        <f>Données!A48</f>
        <v>5481</v>
      </c>
      <c r="B48" s="308" t="str">
        <f>Données!B48</f>
        <v>Dizy</v>
      </c>
      <c r="C48" s="194">
        <f>Synthèse!G47</f>
        <v>128372.38352764334</v>
      </c>
      <c r="D48" s="371" t="s">
        <v>522</v>
      </c>
      <c r="E48" s="372" t="s">
        <v>522</v>
      </c>
      <c r="F48" s="193">
        <f>Synthèse!F47</f>
        <v>48084.163915608195</v>
      </c>
      <c r="G48" s="376" t="s">
        <v>522</v>
      </c>
      <c r="H48" s="376" t="s">
        <v>522</v>
      </c>
      <c r="I48" s="194">
        <f>Synthèse!H47</f>
        <v>26671.131976569275</v>
      </c>
      <c r="J48" s="380" t="s">
        <v>522</v>
      </c>
      <c r="K48" s="380" t="s">
        <v>522</v>
      </c>
    </row>
    <row r="49" spans="1:11" s="197" customFormat="1" ht="15" x14ac:dyDescent="0.25">
      <c r="A49" s="85">
        <f>Données!A49</f>
        <v>5482</v>
      </c>
      <c r="B49" s="308" t="str">
        <f>Données!B49</f>
        <v>Eclépens</v>
      </c>
      <c r="C49" s="194">
        <f>Synthèse!G48</f>
        <v>823841.33827207319</v>
      </c>
      <c r="D49" s="371" t="s">
        <v>522</v>
      </c>
      <c r="E49" s="372" t="s">
        <v>522</v>
      </c>
      <c r="F49" s="193">
        <f>Synthèse!F48</f>
        <v>522876.6555241312</v>
      </c>
      <c r="G49" s="376" t="s">
        <v>522</v>
      </c>
      <c r="H49" s="376" t="s">
        <v>522</v>
      </c>
      <c r="I49" s="194">
        <f>Synthèse!H48</f>
        <v>136448.99946266436</v>
      </c>
      <c r="J49" s="380" t="s">
        <v>522</v>
      </c>
      <c r="K49" s="380" t="s">
        <v>522</v>
      </c>
    </row>
    <row r="50" spans="1:11" s="197" customFormat="1" ht="15" x14ac:dyDescent="0.25">
      <c r="A50" s="85">
        <f>Données!A50</f>
        <v>5483</v>
      </c>
      <c r="B50" s="308" t="str">
        <f>Données!B50</f>
        <v>Ferreyres</v>
      </c>
      <c r="C50" s="194">
        <f>Synthèse!G49</f>
        <v>134260.57807393887</v>
      </c>
      <c r="D50" s="371" t="s">
        <v>522</v>
      </c>
      <c r="E50" s="372" t="s">
        <v>522</v>
      </c>
      <c r="F50" s="193">
        <f>Synthèse!F49</f>
        <v>57708.583289692499</v>
      </c>
      <c r="G50" s="376" t="s">
        <v>522</v>
      </c>
      <c r="H50" s="376" t="s">
        <v>522</v>
      </c>
      <c r="I50" s="194">
        <f>Synthèse!H49</f>
        <v>31744.184002718823</v>
      </c>
      <c r="J50" s="380" t="s">
        <v>522</v>
      </c>
      <c r="K50" s="380" t="s">
        <v>522</v>
      </c>
    </row>
    <row r="51" spans="1:11" s="197" customFormat="1" ht="15" x14ac:dyDescent="0.25">
      <c r="A51" s="85">
        <f>Données!A51</f>
        <v>5484</v>
      </c>
      <c r="B51" s="308" t="str">
        <f>Données!B51</f>
        <v>Gollion</v>
      </c>
      <c r="C51" s="194">
        <f>Synthèse!G50</f>
        <v>518402.33145196812</v>
      </c>
      <c r="D51" s="371" t="s">
        <v>522</v>
      </c>
      <c r="E51" s="372" t="s">
        <v>522</v>
      </c>
      <c r="F51" s="193">
        <f>Synthèse!F50</f>
        <v>-150417.53164338297</v>
      </c>
      <c r="G51" s="376" t="s">
        <v>522</v>
      </c>
      <c r="H51" s="376" t="s">
        <v>522</v>
      </c>
      <c r="I51" s="194">
        <f>Synthèse!H50</f>
        <v>100165.78508420596</v>
      </c>
      <c r="J51" s="380" t="s">
        <v>522</v>
      </c>
      <c r="K51" s="380" t="s">
        <v>522</v>
      </c>
    </row>
    <row r="52" spans="1:11" s="197" customFormat="1" ht="15" x14ac:dyDescent="0.25">
      <c r="A52" s="85">
        <f>Données!A52</f>
        <v>5485</v>
      </c>
      <c r="B52" s="308" t="str">
        <f>Données!B52</f>
        <v>Grancy</v>
      </c>
      <c r="C52" s="194">
        <f>Synthèse!G51</f>
        <v>277961.48074550804</v>
      </c>
      <c r="D52" s="371" t="s">
        <v>522</v>
      </c>
      <c r="E52" s="372" t="s">
        <v>522</v>
      </c>
      <c r="F52" s="193">
        <f>Synthèse!F51</f>
        <v>146607.12372751068</v>
      </c>
      <c r="G52" s="376" t="s">
        <v>522</v>
      </c>
      <c r="H52" s="376" t="s">
        <v>522</v>
      </c>
      <c r="I52" s="194">
        <f>Synthèse!H51</f>
        <v>58839.731725045014</v>
      </c>
      <c r="J52" s="380" t="s">
        <v>522</v>
      </c>
      <c r="K52" s="380" t="s">
        <v>522</v>
      </c>
    </row>
    <row r="53" spans="1:11" s="197" customFormat="1" ht="15" x14ac:dyDescent="0.25">
      <c r="A53" s="85">
        <f>Données!A53</f>
        <v>5486</v>
      </c>
      <c r="B53" s="308" t="str">
        <f>Données!B53</f>
        <v>L'Isle</v>
      </c>
      <c r="C53" s="194">
        <f>Synthèse!G52</f>
        <v>615786.96610761993</v>
      </c>
      <c r="D53" s="371" t="s">
        <v>522</v>
      </c>
      <c r="E53" s="372" t="s">
        <v>522</v>
      </c>
      <c r="F53" s="193">
        <f>Synthèse!F52</f>
        <v>-235558.51559312455</v>
      </c>
      <c r="G53" s="376" t="s">
        <v>522</v>
      </c>
      <c r="H53" s="376" t="s">
        <v>522</v>
      </c>
      <c r="I53" s="194">
        <f>Synthèse!H52</f>
        <v>106893.84568098343</v>
      </c>
      <c r="J53" s="380" t="s">
        <v>522</v>
      </c>
      <c r="K53" s="380" t="s">
        <v>522</v>
      </c>
    </row>
    <row r="54" spans="1:11" s="197" customFormat="1" ht="15" x14ac:dyDescent="0.25">
      <c r="A54" s="85">
        <f>Données!A54</f>
        <v>5487</v>
      </c>
      <c r="B54" s="308" t="str">
        <f>Données!B54</f>
        <v>Lussery-Villars</v>
      </c>
      <c r="C54" s="194">
        <f>Synthèse!G53</f>
        <v>192664.31649474427</v>
      </c>
      <c r="D54" s="371" t="s">
        <v>522</v>
      </c>
      <c r="E54" s="372" t="s">
        <v>522</v>
      </c>
      <c r="F54" s="193">
        <f>Synthèse!F53</f>
        <v>-79679.010768465407</v>
      </c>
      <c r="G54" s="376" t="s">
        <v>522</v>
      </c>
      <c r="H54" s="376" t="s">
        <v>522</v>
      </c>
      <c r="I54" s="194">
        <f>Synthèse!H53</f>
        <v>36797.347636001708</v>
      </c>
      <c r="J54" s="380" t="s">
        <v>522</v>
      </c>
      <c r="K54" s="380" t="s">
        <v>522</v>
      </c>
    </row>
    <row r="55" spans="1:11" s="197" customFormat="1" ht="15" x14ac:dyDescent="0.25">
      <c r="A55" s="85">
        <f>Données!A55</f>
        <v>5488</v>
      </c>
      <c r="B55" s="308" t="str">
        <f>Données!B55</f>
        <v>Mauraz</v>
      </c>
      <c r="C55" s="194">
        <f>Synthèse!G54</f>
        <v>46068.824276094136</v>
      </c>
      <c r="D55" s="371" t="s">
        <v>522</v>
      </c>
      <c r="E55" s="372" t="s">
        <v>522</v>
      </c>
      <c r="F55" s="193">
        <f>Synthèse!F54</f>
        <v>10020.860866099782</v>
      </c>
      <c r="G55" s="376" t="s">
        <v>522</v>
      </c>
      <c r="H55" s="376" t="s">
        <v>522</v>
      </c>
      <c r="I55" s="194">
        <f>Synthèse!H54</f>
        <v>6674.7464562434161</v>
      </c>
      <c r="J55" s="380" t="s">
        <v>522</v>
      </c>
      <c r="K55" s="380" t="s">
        <v>522</v>
      </c>
    </row>
    <row r="56" spans="1:11" s="197" customFormat="1" ht="15" x14ac:dyDescent="0.25">
      <c r="A56" s="85">
        <f>Données!A56</f>
        <v>5489</v>
      </c>
      <c r="B56" s="308" t="str">
        <f>Données!B56</f>
        <v>Mex</v>
      </c>
      <c r="C56" s="194">
        <f>Synthèse!G55</f>
        <v>1318116.3166882454</v>
      </c>
      <c r="D56" s="371" t="s">
        <v>522</v>
      </c>
      <c r="E56" s="372" t="s">
        <v>522</v>
      </c>
      <c r="F56" s="193">
        <f>Synthèse!F55</f>
        <v>1074738.8903525861</v>
      </c>
      <c r="G56" s="376" t="s">
        <v>522</v>
      </c>
      <c r="H56" s="376" t="s">
        <v>522</v>
      </c>
      <c r="I56" s="194">
        <f>Synthèse!H55</f>
        <v>146862.05225557531</v>
      </c>
      <c r="J56" s="380" t="s">
        <v>522</v>
      </c>
      <c r="K56" s="380" t="s">
        <v>522</v>
      </c>
    </row>
    <row r="57" spans="1:11" s="197" customFormat="1" ht="15" x14ac:dyDescent="0.25">
      <c r="A57" s="85">
        <f>Données!A57</f>
        <v>5490</v>
      </c>
      <c r="B57" s="308" t="str">
        <f>Données!B57</f>
        <v>Moiry</v>
      </c>
      <c r="C57" s="194">
        <f>Synthèse!G56</f>
        <v>115680.14860796834</v>
      </c>
      <c r="D57" s="371" t="s">
        <v>522</v>
      </c>
      <c r="E57" s="372" t="s">
        <v>522</v>
      </c>
      <c r="F57" s="193">
        <f>Synthèse!F56</f>
        <v>-45470.460222236405</v>
      </c>
      <c r="G57" s="376" t="s">
        <v>522</v>
      </c>
      <c r="H57" s="376" t="s">
        <v>522</v>
      </c>
      <c r="I57" s="194">
        <f>Synthèse!H56</f>
        <v>26174.878336635124</v>
      </c>
      <c r="J57" s="380" t="s">
        <v>522</v>
      </c>
      <c r="K57" s="380" t="s">
        <v>522</v>
      </c>
    </row>
    <row r="58" spans="1:11" s="197" customFormat="1" ht="15" x14ac:dyDescent="0.25">
      <c r="A58" s="85">
        <f>Données!A58</f>
        <v>5491</v>
      </c>
      <c r="B58" s="308" t="str">
        <f>Données!B58</f>
        <v>Mont-la-Ville</v>
      </c>
      <c r="C58" s="194">
        <f>Synthèse!G57</f>
        <v>241946.05907578667</v>
      </c>
      <c r="D58" s="371" t="s">
        <v>522</v>
      </c>
      <c r="E58" s="372" t="s">
        <v>522</v>
      </c>
      <c r="F58" s="193">
        <f>Synthèse!F57</f>
        <v>-712368.76995167113</v>
      </c>
      <c r="G58" s="376" t="s">
        <v>522</v>
      </c>
      <c r="H58" s="376" t="s">
        <v>522</v>
      </c>
      <c r="I58" s="194">
        <f>Synthèse!H57</f>
        <v>42329.070223832037</v>
      </c>
      <c r="J58" s="380" t="s">
        <v>522</v>
      </c>
      <c r="K58" s="380" t="s">
        <v>522</v>
      </c>
    </row>
    <row r="59" spans="1:11" s="197" customFormat="1" ht="15" x14ac:dyDescent="0.25">
      <c r="A59" s="85">
        <f>Données!A59</f>
        <v>5492</v>
      </c>
      <c r="B59" s="308" t="str">
        <f>Données!B59</f>
        <v>Montricher</v>
      </c>
      <c r="C59" s="194">
        <f>Synthèse!G58</f>
        <v>4839845.8516402729</v>
      </c>
      <c r="D59" s="371" t="s">
        <v>522</v>
      </c>
      <c r="E59" s="372" t="s">
        <v>522</v>
      </c>
      <c r="F59" s="193">
        <f>Synthèse!F58</f>
        <v>2474275.5308597246</v>
      </c>
      <c r="G59" s="376" t="s">
        <v>522</v>
      </c>
      <c r="H59" s="376" t="s">
        <v>522</v>
      </c>
      <c r="I59" s="194">
        <f>Synthèse!H58</f>
        <v>272259.98941602156</v>
      </c>
      <c r="J59" s="380" t="s">
        <v>522</v>
      </c>
      <c r="K59" s="380" t="s">
        <v>522</v>
      </c>
    </row>
    <row r="60" spans="1:11" s="197" customFormat="1" ht="15" x14ac:dyDescent="0.25">
      <c r="A60" s="85">
        <f>Données!A60</f>
        <v>5493</v>
      </c>
      <c r="B60" s="308" t="str">
        <f>Données!B60</f>
        <v>Orny</v>
      </c>
      <c r="C60" s="194">
        <f>Synthèse!G59</f>
        <v>238181.13806435955</v>
      </c>
      <c r="D60" s="371" t="s">
        <v>522</v>
      </c>
      <c r="E60" s="372" t="s">
        <v>522</v>
      </c>
      <c r="F60" s="193">
        <f>Synthèse!F59</f>
        <v>-29762.906583082629</v>
      </c>
      <c r="G60" s="376" t="s">
        <v>522</v>
      </c>
      <c r="H60" s="376" t="s">
        <v>522</v>
      </c>
      <c r="I60" s="194">
        <f>Synthèse!H59</f>
        <v>45143.89438551593</v>
      </c>
      <c r="J60" s="380" t="s">
        <v>522</v>
      </c>
      <c r="K60" s="380" t="s">
        <v>522</v>
      </c>
    </row>
    <row r="61" spans="1:11" s="197" customFormat="1" ht="15" x14ac:dyDescent="0.25">
      <c r="A61" s="85">
        <f>Données!A61</f>
        <v>5495</v>
      </c>
      <c r="B61" s="308" t="str">
        <f>Données!B61</f>
        <v>Penthalaz</v>
      </c>
      <c r="C61" s="194">
        <f>Synthèse!G60</f>
        <v>1642115.4582245559</v>
      </c>
      <c r="D61" s="371" t="s">
        <v>522</v>
      </c>
      <c r="E61" s="372" t="s">
        <v>522</v>
      </c>
      <c r="F61" s="193">
        <f>Synthèse!F60</f>
        <v>-668948.81032829918</v>
      </c>
      <c r="G61" s="376" t="s">
        <v>522</v>
      </c>
      <c r="H61" s="376" t="s">
        <v>522</v>
      </c>
      <c r="I61" s="194">
        <f>Synthèse!H60</f>
        <v>318002.40891817055</v>
      </c>
      <c r="J61" s="380" t="s">
        <v>522</v>
      </c>
      <c r="K61" s="380" t="s">
        <v>522</v>
      </c>
    </row>
    <row r="62" spans="1:11" s="197" customFormat="1" ht="15" x14ac:dyDescent="0.25">
      <c r="A62" s="85">
        <f>Données!A62</f>
        <v>5496</v>
      </c>
      <c r="B62" s="308" t="str">
        <f>Données!B62</f>
        <v>Penthaz</v>
      </c>
      <c r="C62" s="194">
        <f>Synthèse!G61</f>
        <v>928443.35326474404</v>
      </c>
      <c r="D62" s="371" t="s">
        <v>522</v>
      </c>
      <c r="E62" s="372" t="s">
        <v>522</v>
      </c>
      <c r="F62" s="193">
        <f>Synthèse!F61</f>
        <v>-8632.106936346041</v>
      </c>
      <c r="G62" s="376" t="s">
        <v>522</v>
      </c>
      <c r="H62" s="376" t="s">
        <v>522</v>
      </c>
      <c r="I62" s="194">
        <f>Synthèse!H61</f>
        <v>188450.46979849419</v>
      </c>
      <c r="J62" s="380" t="s">
        <v>522</v>
      </c>
      <c r="K62" s="380" t="s">
        <v>522</v>
      </c>
    </row>
    <row r="63" spans="1:11" s="197" customFormat="1" ht="15" x14ac:dyDescent="0.25">
      <c r="A63" s="85">
        <f>Données!A63</f>
        <v>5497</v>
      </c>
      <c r="B63" s="308" t="str">
        <f>Données!B63</f>
        <v>Pompaples</v>
      </c>
      <c r="C63" s="194">
        <f>Synthèse!G62</f>
        <v>392134.55677177489</v>
      </c>
      <c r="D63" s="371" t="s">
        <v>522</v>
      </c>
      <c r="E63" s="372" t="s">
        <v>522</v>
      </c>
      <c r="F63" s="193">
        <f>Synthèse!F62</f>
        <v>-110529.03870144964</v>
      </c>
      <c r="G63" s="376" t="s">
        <v>522</v>
      </c>
      <c r="H63" s="376" t="s">
        <v>522</v>
      </c>
      <c r="I63" s="194">
        <f>Synthèse!H62</f>
        <v>70039.302200992766</v>
      </c>
      <c r="J63" s="380" t="s">
        <v>522</v>
      </c>
      <c r="K63" s="380" t="s">
        <v>522</v>
      </c>
    </row>
    <row r="64" spans="1:11" s="197" customFormat="1" ht="15" x14ac:dyDescent="0.25">
      <c r="A64" s="85">
        <f>Données!A64</f>
        <v>5498</v>
      </c>
      <c r="B64" s="308" t="str">
        <f>Données!B64</f>
        <v>La Sarraz</v>
      </c>
      <c r="C64" s="194">
        <f>Synthèse!G63</f>
        <v>1075414.8916202576</v>
      </c>
      <c r="D64" s="371" t="s">
        <v>522</v>
      </c>
      <c r="E64" s="372" t="s">
        <v>522</v>
      </c>
      <c r="F64" s="193">
        <f>Synthèse!F63</f>
        <v>-657129.49436449446</v>
      </c>
      <c r="G64" s="376" t="s">
        <v>522</v>
      </c>
      <c r="H64" s="376" t="s">
        <v>522</v>
      </c>
      <c r="I64" s="194">
        <f>Synthèse!H63</f>
        <v>225543.88602459809</v>
      </c>
      <c r="J64" s="380" t="s">
        <v>522</v>
      </c>
      <c r="K64" s="380" t="s">
        <v>522</v>
      </c>
    </row>
    <row r="65" spans="1:11" s="197" customFormat="1" ht="15" x14ac:dyDescent="0.25">
      <c r="A65" s="85">
        <f>Données!A65</f>
        <v>5499</v>
      </c>
      <c r="B65" s="308" t="str">
        <f>Données!B65</f>
        <v>Senarclens</v>
      </c>
      <c r="C65" s="194">
        <f>Synthèse!G64</f>
        <v>304997.58429701836</v>
      </c>
      <c r="D65" s="371" t="s">
        <v>522</v>
      </c>
      <c r="E65" s="372" t="s">
        <v>522</v>
      </c>
      <c r="F65" s="193">
        <f>Synthèse!F64</f>
        <v>242721.61616299377</v>
      </c>
      <c r="G65" s="376" t="s">
        <v>522</v>
      </c>
      <c r="H65" s="376" t="s">
        <v>522</v>
      </c>
      <c r="I65" s="194">
        <f>Synthèse!H64</f>
        <v>63388.918664603814</v>
      </c>
      <c r="J65" s="380" t="s">
        <v>522</v>
      </c>
      <c r="K65" s="380" t="s">
        <v>522</v>
      </c>
    </row>
    <row r="66" spans="1:11" s="197" customFormat="1" ht="15" x14ac:dyDescent="0.25">
      <c r="A66" s="85">
        <f>Données!A66</f>
        <v>5501</v>
      </c>
      <c r="B66" s="308" t="str">
        <f>Données!B66</f>
        <v>Sullens</v>
      </c>
      <c r="C66" s="194">
        <f>Synthèse!G65</f>
        <v>956021.52694364591</v>
      </c>
      <c r="D66" s="371" t="s">
        <v>522</v>
      </c>
      <c r="E66" s="372" t="s">
        <v>522</v>
      </c>
      <c r="F66" s="193">
        <f>Synthèse!F65</f>
        <v>826802.13348812051</v>
      </c>
      <c r="G66" s="376" t="s">
        <v>522</v>
      </c>
      <c r="H66" s="376" t="s">
        <v>522</v>
      </c>
      <c r="I66" s="194">
        <f>Synthèse!H65</f>
        <v>166591.85029768397</v>
      </c>
      <c r="J66" s="380" t="s">
        <v>522</v>
      </c>
      <c r="K66" s="380" t="s">
        <v>522</v>
      </c>
    </row>
    <row r="67" spans="1:11" s="197" customFormat="1" ht="15" x14ac:dyDescent="0.25">
      <c r="A67" s="85">
        <f>Données!A67</f>
        <v>5503</v>
      </c>
      <c r="B67" s="308" t="str">
        <f>Données!B67</f>
        <v>Vufflens-la-Ville</v>
      </c>
      <c r="C67" s="194">
        <f>Synthèse!G66</f>
        <v>1248635.5253500305</v>
      </c>
      <c r="D67" s="371" t="s">
        <v>522</v>
      </c>
      <c r="E67" s="372" t="s">
        <v>522</v>
      </c>
      <c r="F67" s="193">
        <f>Synthèse!F66</f>
        <v>1232422.5049962956</v>
      </c>
      <c r="G67" s="376" t="s">
        <v>522</v>
      </c>
      <c r="H67" s="376" t="s">
        <v>522</v>
      </c>
      <c r="I67" s="194">
        <f>Synthèse!H66</f>
        <v>211721.11851224073</v>
      </c>
      <c r="J67" s="380" t="s">
        <v>522</v>
      </c>
      <c r="K67" s="380" t="s">
        <v>522</v>
      </c>
    </row>
    <row r="68" spans="1:11" s="197" customFormat="1" ht="15" x14ac:dyDescent="0.25">
      <c r="A68" s="85">
        <f>Données!A68</f>
        <v>5511</v>
      </c>
      <c r="B68" s="308" t="str">
        <f>Données!B68</f>
        <v>Assens</v>
      </c>
      <c r="C68" s="194">
        <f>Synthèse!G67</f>
        <v>1069590.4718098599</v>
      </c>
      <c r="D68" s="371" t="s">
        <v>522</v>
      </c>
      <c r="E68" s="372" t="s">
        <v>522</v>
      </c>
      <c r="F68" s="193">
        <f>Synthèse!F67</f>
        <v>662555.48669507459</v>
      </c>
      <c r="G68" s="376" t="s">
        <v>522</v>
      </c>
      <c r="H68" s="376" t="s">
        <v>522</v>
      </c>
      <c r="I68" s="194">
        <f>Synthèse!H67</f>
        <v>224235.94759435774</v>
      </c>
      <c r="J68" s="380" t="s">
        <v>522</v>
      </c>
      <c r="K68" s="380" t="s">
        <v>522</v>
      </c>
    </row>
    <row r="69" spans="1:11" s="197" customFormat="1" ht="15" x14ac:dyDescent="0.25">
      <c r="A69" s="85">
        <f>Données!A69</f>
        <v>5512</v>
      </c>
      <c r="B69" s="308" t="str">
        <f>Données!B69</f>
        <v>Bercher</v>
      </c>
      <c r="C69" s="194">
        <f>Synthèse!G68</f>
        <v>632640.64379720343</v>
      </c>
      <c r="D69" s="371" t="s">
        <v>522</v>
      </c>
      <c r="E69" s="372" t="s">
        <v>522</v>
      </c>
      <c r="F69" s="193">
        <f>Synthèse!F68</f>
        <v>-292698.6082949863</v>
      </c>
      <c r="G69" s="376" t="s">
        <v>522</v>
      </c>
      <c r="H69" s="376" t="s">
        <v>522</v>
      </c>
      <c r="I69" s="194">
        <f>Synthèse!H68</f>
        <v>126416.45088067678</v>
      </c>
      <c r="J69" s="380" t="s">
        <v>522</v>
      </c>
      <c r="K69" s="380" t="s">
        <v>522</v>
      </c>
    </row>
    <row r="70" spans="1:11" s="197" customFormat="1" ht="15" x14ac:dyDescent="0.25">
      <c r="A70" s="85">
        <f>Données!A70</f>
        <v>5514</v>
      </c>
      <c r="B70" s="308" t="str">
        <f>Données!B70</f>
        <v>Bottens</v>
      </c>
      <c r="C70" s="194">
        <f>Synthèse!G69</f>
        <v>674446.60327962541</v>
      </c>
      <c r="D70" s="371" t="s">
        <v>522</v>
      </c>
      <c r="E70" s="372" t="s">
        <v>522</v>
      </c>
      <c r="F70" s="193">
        <f>Synthèse!F69</f>
        <v>188353.02503073949</v>
      </c>
      <c r="G70" s="376" t="s">
        <v>522</v>
      </c>
      <c r="H70" s="376" t="s">
        <v>522</v>
      </c>
      <c r="I70" s="194">
        <f>Synthèse!H69</f>
        <v>141140.71978314756</v>
      </c>
      <c r="J70" s="380" t="s">
        <v>522</v>
      </c>
      <c r="K70" s="380" t="s">
        <v>522</v>
      </c>
    </row>
    <row r="71" spans="1:11" s="197" customFormat="1" ht="15" x14ac:dyDescent="0.25">
      <c r="A71" s="85">
        <f>Données!A71</f>
        <v>5515</v>
      </c>
      <c r="B71" s="308" t="str">
        <f>Données!B71</f>
        <v>Bretigny-sur-Morrens</v>
      </c>
      <c r="C71" s="194">
        <f>Synthèse!G70</f>
        <v>413908.73527644644</v>
      </c>
      <c r="D71" s="371" t="s">
        <v>522</v>
      </c>
      <c r="E71" s="372" t="s">
        <v>522</v>
      </c>
      <c r="F71" s="193">
        <f>Synthèse!F70</f>
        <v>105185.8568610911</v>
      </c>
      <c r="G71" s="376" t="s">
        <v>522</v>
      </c>
      <c r="H71" s="376" t="s">
        <v>522</v>
      </c>
      <c r="I71" s="194">
        <f>Synthèse!H70</f>
        <v>89524.093441201461</v>
      </c>
      <c r="J71" s="380" t="s">
        <v>522</v>
      </c>
      <c r="K71" s="380" t="s">
        <v>522</v>
      </c>
    </row>
    <row r="72" spans="1:11" s="197" customFormat="1" ht="15" x14ac:dyDescent="0.25">
      <c r="A72" s="85">
        <f>Données!A72</f>
        <v>5516</v>
      </c>
      <c r="B72" s="308" t="str">
        <f>Données!B72</f>
        <v>Cugy</v>
      </c>
      <c r="C72" s="194">
        <f>Synthèse!G71</f>
        <v>1687182.2653546776</v>
      </c>
      <c r="D72" s="371" t="s">
        <v>522</v>
      </c>
      <c r="E72" s="372" t="s">
        <v>522</v>
      </c>
      <c r="F72" s="193">
        <f>Synthèse!F71</f>
        <v>782374.61969276285</v>
      </c>
      <c r="G72" s="376" t="s">
        <v>522</v>
      </c>
      <c r="H72" s="376" t="s">
        <v>522</v>
      </c>
      <c r="I72" s="194">
        <f>Synthèse!H71</f>
        <v>340353.71528437251</v>
      </c>
      <c r="J72" s="380" t="s">
        <v>522</v>
      </c>
      <c r="K72" s="380" t="s">
        <v>522</v>
      </c>
    </row>
    <row r="73" spans="1:11" s="197" customFormat="1" ht="15" x14ac:dyDescent="0.25">
      <c r="A73" s="85">
        <f>Données!A73</f>
        <v>5518</v>
      </c>
      <c r="B73" s="308" t="str">
        <f>Données!B73</f>
        <v>Echallens</v>
      </c>
      <c r="C73" s="194">
        <f>Synthèse!G72</f>
        <v>3037443.1766780792</v>
      </c>
      <c r="D73" s="371" t="s">
        <v>522</v>
      </c>
      <c r="E73" s="372" t="s">
        <v>522</v>
      </c>
      <c r="F73" s="193">
        <f>Synthèse!F72</f>
        <v>-1862000.7816035808</v>
      </c>
      <c r="G73" s="376" t="s">
        <v>522</v>
      </c>
      <c r="H73" s="376" t="s">
        <v>522</v>
      </c>
      <c r="I73" s="194">
        <f>Synthèse!H72</f>
        <v>592826.44686031225</v>
      </c>
      <c r="J73" s="380" t="s">
        <v>522</v>
      </c>
      <c r="K73" s="380" t="s">
        <v>522</v>
      </c>
    </row>
    <row r="74" spans="1:11" s="197" customFormat="1" ht="15" x14ac:dyDescent="0.25">
      <c r="A74" s="85">
        <f>Données!A74</f>
        <v>5520</v>
      </c>
      <c r="B74" s="308" t="str">
        <f>Données!B74</f>
        <v>Essertines-sur-Yverdon</v>
      </c>
      <c r="C74" s="194">
        <f>Synthèse!G73</f>
        <v>523114.33529795165</v>
      </c>
      <c r="D74" s="371" t="s">
        <v>522</v>
      </c>
      <c r="E74" s="372" t="s">
        <v>522</v>
      </c>
      <c r="F74" s="193">
        <f>Synthèse!F73</f>
        <v>-381648.99682994862</v>
      </c>
      <c r="G74" s="376" t="s">
        <v>522</v>
      </c>
      <c r="H74" s="376" t="s">
        <v>522</v>
      </c>
      <c r="I74" s="194">
        <f>Synthèse!H73</f>
        <v>96283.524129116558</v>
      </c>
      <c r="J74" s="380" t="s">
        <v>522</v>
      </c>
      <c r="K74" s="380" t="s">
        <v>522</v>
      </c>
    </row>
    <row r="75" spans="1:11" s="197" customFormat="1" ht="15" x14ac:dyDescent="0.25">
      <c r="A75" s="85">
        <f>Données!A75</f>
        <v>5521</v>
      </c>
      <c r="B75" s="308" t="str">
        <f>Données!B75</f>
        <v>Etagnières</v>
      </c>
      <c r="C75" s="194">
        <f>Synthèse!G74</f>
        <v>960094.69799769134</v>
      </c>
      <c r="D75" s="371" t="s">
        <v>522</v>
      </c>
      <c r="E75" s="372" t="s">
        <v>522</v>
      </c>
      <c r="F75" s="193">
        <f>Synthèse!F74</f>
        <v>500062.80550537369</v>
      </c>
      <c r="G75" s="376" t="s">
        <v>522</v>
      </c>
      <c r="H75" s="376" t="s">
        <v>522</v>
      </c>
      <c r="I75" s="194">
        <f>Synthèse!H74</f>
        <v>144749.81773915217</v>
      </c>
      <c r="J75" s="380" t="s">
        <v>522</v>
      </c>
      <c r="K75" s="380" t="s">
        <v>522</v>
      </c>
    </row>
    <row r="76" spans="1:11" s="197" customFormat="1" ht="15" x14ac:dyDescent="0.25">
      <c r="A76" s="85">
        <f>Données!A76</f>
        <v>5522</v>
      </c>
      <c r="B76" s="308" t="str">
        <f>Données!B76</f>
        <v>Fey</v>
      </c>
      <c r="C76" s="194">
        <f>Synthèse!G75</f>
        <v>375740.19865189219</v>
      </c>
      <c r="D76" s="371" t="s">
        <v>522</v>
      </c>
      <c r="E76" s="372" t="s">
        <v>522</v>
      </c>
      <c r="F76" s="193">
        <f>Synthèse!F75</f>
        <v>556.11230397049803</v>
      </c>
      <c r="G76" s="376" t="s">
        <v>522</v>
      </c>
      <c r="H76" s="376" t="s">
        <v>522</v>
      </c>
      <c r="I76" s="194">
        <f>Synthèse!H75</f>
        <v>74387.74246633405</v>
      </c>
      <c r="J76" s="380" t="s">
        <v>522</v>
      </c>
      <c r="K76" s="380" t="s">
        <v>522</v>
      </c>
    </row>
    <row r="77" spans="1:11" s="197" customFormat="1" ht="15" x14ac:dyDescent="0.25">
      <c r="A77" s="85">
        <f>Données!A77</f>
        <v>5523</v>
      </c>
      <c r="B77" s="308" t="str">
        <f>Données!B77</f>
        <v>Froideville</v>
      </c>
      <c r="C77" s="194">
        <f>Synthèse!G76</f>
        <v>1515205.6683212237</v>
      </c>
      <c r="D77" s="371" t="s">
        <v>522</v>
      </c>
      <c r="E77" s="372" t="s">
        <v>522</v>
      </c>
      <c r="F77" s="193">
        <f>Synthèse!F76</f>
        <v>155745.92668991024</v>
      </c>
      <c r="G77" s="376" t="s">
        <v>522</v>
      </c>
      <c r="H77" s="376" t="s">
        <v>522</v>
      </c>
      <c r="I77" s="194">
        <f>Synthèse!H76</f>
        <v>282633.57853414601</v>
      </c>
      <c r="J77" s="380" t="s">
        <v>522</v>
      </c>
      <c r="K77" s="380" t="s">
        <v>522</v>
      </c>
    </row>
    <row r="78" spans="1:11" s="197" customFormat="1" ht="15" x14ac:dyDescent="0.25">
      <c r="A78" s="85">
        <f>Données!A78</f>
        <v>5527</v>
      </c>
      <c r="B78" s="308" t="str">
        <f>Données!B78</f>
        <v>Morrens</v>
      </c>
      <c r="C78" s="194">
        <f>Synthèse!G77</f>
        <v>652045.21349981357</v>
      </c>
      <c r="D78" s="371" t="s">
        <v>522</v>
      </c>
      <c r="E78" s="372" t="s">
        <v>522</v>
      </c>
      <c r="F78" s="193">
        <f>Synthèse!F77</f>
        <v>259164.19286580803</v>
      </c>
      <c r="G78" s="376" t="s">
        <v>522</v>
      </c>
      <c r="H78" s="376" t="s">
        <v>522</v>
      </c>
      <c r="I78" s="194">
        <f>Synthèse!H77</f>
        <v>125056.45240551815</v>
      </c>
      <c r="J78" s="380" t="s">
        <v>522</v>
      </c>
      <c r="K78" s="380" t="s">
        <v>522</v>
      </c>
    </row>
    <row r="79" spans="1:11" s="197" customFormat="1" ht="15" x14ac:dyDescent="0.25">
      <c r="A79" s="85">
        <f>Données!A79</f>
        <v>5529</v>
      </c>
      <c r="B79" s="308" t="str">
        <f>Données!B79</f>
        <v>Oulens-sous-Echallens</v>
      </c>
      <c r="C79" s="194">
        <f>Synthèse!G78</f>
        <v>289526.0183496055</v>
      </c>
      <c r="D79" s="371" t="s">
        <v>522</v>
      </c>
      <c r="E79" s="372" t="s">
        <v>522</v>
      </c>
      <c r="F79" s="193">
        <f>Synthèse!F78</f>
        <v>145204.15420169686</v>
      </c>
      <c r="G79" s="376" t="s">
        <v>522</v>
      </c>
      <c r="H79" s="376" t="s">
        <v>522</v>
      </c>
      <c r="I79" s="194">
        <f>Synthèse!H78</f>
        <v>69584.455813002773</v>
      </c>
      <c r="J79" s="380" t="s">
        <v>522</v>
      </c>
      <c r="K79" s="380" t="s">
        <v>522</v>
      </c>
    </row>
    <row r="80" spans="1:11" s="197" customFormat="1" ht="15" x14ac:dyDescent="0.25">
      <c r="A80" s="85">
        <f>Données!A80</f>
        <v>5530</v>
      </c>
      <c r="B80" s="308" t="str">
        <f>Données!B80</f>
        <v>Pailly</v>
      </c>
      <c r="C80" s="194">
        <f>Synthèse!G79</f>
        <v>527224.74646601873</v>
      </c>
      <c r="D80" s="371" t="s">
        <v>522</v>
      </c>
      <c r="E80" s="372" t="s">
        <v>522</v>
      </c>
      <c r="F80" s="193">
        <f>Synthèse!F79</f>
        <v>89106.924219935085</v>
      </c>
      <c r="G80" s="376" t="s">
        <v>522</v>
      </c>
      <c r="H80" s="376" t="s">
        <v>522</v>
      </c>
      <c r="I80" s="194">
        <f>Synthèse!H79</f>
        <v>62981.118254584311</v>
      </c>
      <c r="J80" s="380" t="s">
        <v>522</v>
      </c>
      <c r="K80" s="380" t="s">
        <v>522</v>
      </c>
    </row>
    <row r="81" spans="1:11" s="197" customFormat="1" ht="15" x14ac:dyDescent="0.25">
      <c r="A81" s="85">
        <f>Données!A81</f>
        <v>5531</v>
      </c>
      <c r="B81" s="308" t="str">
        <f>Données!B81</f>
        <v>Penthéréaz</v>
      </c>
      <c r="C81" s="194">
        <f>Synthèse!G80</f>
        <v>240033.19593555754</v>
      </c>
      <c r="D81" s="371" t="s">
        <v>522</v>
      </c>
      <c r="E81" s="372" t="s">
        <v>522</v>
      </c>
      <c r="F81" s="193">
        <f>Synthèse!F80</f>
        <v>158764.22913493597</v>
      </c>
      <c r="G81" s="376" t="s">
        <v>522</v>
      </c>
      <c r="H81" s="376" t="s">
        <v>522</v>
      </c>
      <c r="I81" s="194">
        <f>Synthèse!H80</f>
        <v>53769.948283445541</v>
      </c>
      <c r="J81" s="380" t="s">
        <v>522</v>
      </c>
      <c r="K81" s="380" t="s">
        <v>522</v>
      </c>
    </row>
    <row r="82" spans="1:11" s="197" customFormat="1" ht="15" x14ac:dyDescent="0.25">
      <c r="A82" s="85">
        <f>Données!A82</f>
        <v>5533</v>
      </c>
      <c r="B82" s="308" t="str">
        <f>Données!B82</f>
        <v>Poliez-Pittet</v>
      </c>
      <c r="C82" s="194">
        <f>Synthèse!G81</f>
        <v>409644.19732412638</v>
      </c>
      <c r="D82" s="371" t="s">
        <v>522</v>
      </c>
      <c r="E82" s="372" t="s">
        <v>522</v>
      </c>
      <c r="F82" s="193">
        <f>Synthèse!F81</f>
        <v>94535.64086828212</v>
      </c>
      <c r="G82" s="376" t="s">
        <v>522</v>
      </c>
      <c r="H82" s="376" t="s">
        <v>522</v>
      </c>
      <c r="I82" s="194">
        <f>Synthèse!H81</f>
        <v>86124.289066123587</v>
      </c>
      <c r="J82" s="380" t="s">
        <v>522</v>
      </c>
      <c r="K82" s="380" t="s">
        <v>522</v>
      </c>
    </row>
    <row r="83" spans="1:11" s="197" customFormat="1" ht="15" x14ac:dyDescent="0.25">
      <c r="A83" s="85">
        <f>Données!A83</f>
        <v>5534</v>
      </c>
      <c r="B83" s="308" t="str">
        <f>Données!B83</f>
        <v>Rueyres</v>
      </c>
      <c r="C83" s="194">
        <f>Synthèse!G82</f>
        <v>221022.43828266513</v>
      </c>
      <c r="D83" s="371" t="s">
        <v>522</v>
      </c>
      <c r="E83" s="372" t="s">
        <v>522</v>
      </c>
      <c r="F83" s="193">
        <f>Synthèse!F82</f>
        <v>255087.10091733045</v>
      </c>
      <c r="G83" s="376" t="s">
        <v>522</v>
      </c>
      <c r="H83" s="376" t="s">
        <v>522</v>
      </c>
      <c r="I83" s="194">
        <f>Synthèse!H82</f>
        <v>45383.556929679558</v>
      </c>
      <c r="J83" s="380" t="s">
        <v>522</v>
      </c>
      <c r="K83" s="380" t="s">
        <v>522</v>
      </c>
    </row>
    <row r="84" spans="1:11" s="197" customFormat="1" ht="15" x14ac:dyDescent="0.25">
      <c r="A84" s="85">
        <f>Données!A84</f>
        <v>5535</v>
      </c>
      <c r="B84" s="308" t="str">
        <f>Données!B84</f>
        <v>Saint-Barthélemy</v>
      </c>
      <c r="C84" s="194">
        <f>Synthèse!G83</f>
        <v>402209.47881868447</v>
      </c>
      <c r="D84" s="371" t="s">
        <v>522</v>
      </c>
      <c r="E84" s="372" t="s">
        <v>522</v>
      </c>
      <c r="F84" s="193">
        <f>Synthèse!F83</f>
        <v>89878.499857864052</v>
      </c>
      <c r="G84" s="376" t="s">
        <v>522</v>
      </c>
      <c r="H84" s="376" t="s">
        <v>522</v>
      </c>
      <c r="I84" s="194">
        <f>Synthèse!H83</f>
        <v>78606.251620643379</v>
      </c>
      <c r="J84" s="380" t="s">
        <v>522</v>
      </c>
      <c r="K84" s="380" t="s">
        <v>522</v>
      </c>
    </row>
    <row r="85" spans="1:11" s="197" customFormat="1" ht="15" x14ac:dyDescent="0.25">
      <c r="A85" s="85">
        <f>Données!A85</f>
        <v>5537</v>
      </c>
      <c r="B85" s="308" t="str">
        <f>Données!B85</f>
        <v>Villars-le-Terroir</v>
      </c>
      <c r="C85" s="194">
        <f>Synthèse!G84</f>
        <v>554286.33074841357</v>
      </c>
      <c r="D85" s="371" t="s">
        <v>522</v>
      </c>
      <c r="E85" s="372" t="s">
        <v>522</v>
      </c>
      <c r="F85" s="193">
        <f>Synthèse!F84</f>
        <v>-95428.517910473514</v>
      </c>
      <c r="G85" s="376" t="s">
        <v>522</v>
      </c>
      <c r="H85" s="376" t="s">
        <v>522</v>
      </c>
      <c r="I85" s="194">
        <f>Synthèse!H84</f>
        <v>119709.46802593456</v>
      </c>
      <c r="J85" s="380" t="s">
        <v>522</v>
      </c>
      <c r="K85" s="380" t="s">
        <v>522</v>
      </c>
    </row>
    <row r="86" spans="1:11" s="197" customFormat="1" ht="15" x14ac:dyDescent="0.25">
      <c r="A86" s="85">
        <f>Données!A86</f>
        <v>5539</v>
      </c>
      <c r="B86" s="308" t="str">
        <f>Données!B86</f>
        <v>Vuarrens</v>
      </c>
      <c r="C86" s="194">
        <f>Synthèse!G85</f>
        <v>536808.30599394254</v>
      </c>
      <c r="D86" s="371" t="s">
        <v>522</v>
      </c>
      <c r="E86" s="372" t="s">
        <v>522</v>
      </c>
      <c r="F86" s="193">
        <f>Synthèse!F85</f>
        <v>89696.746034813696</v>
      </c>
      <c r="G86" s="376" t="s">
        <v>522</v>
      </c>
      <c r="H86" s="376" t="s">
        <v>522</v>
      </c>
      <c r="I86" s="194">
        <f>Synthèse!H85</f>
        <v>105970.41492013732</v>
      </c>
      <c r="J86" s="380" t="s">
        <v>522</v>
      </c>
      <c r="K86" s="380" t="s">
        <v>522</v>
      </c>
    </row>
    <row r="87" spans="1:11" s="197" customFormat="1" ht="15" x14ac:dyDescent="0.25">
      <c r="A87" s="85">
        <f>Données!A87</f>
        <v>5540</v>
      </c>
      <c r="B87" s="308" t="str">
        <f>Données!B87</f>
        <v>Montilliez</v>
      </c>
      <c r="C87" s="194">
        <f>Synthèse!G86</f>
        <v>963118.35025245789</v>
      </c>
      <c r="D87" s="371" t="s">
        <v>522</v>
      </c>
      <c r="E87" s="372" t="s">
        <v>522</v>
      </c>
      <c r="F87" s="193">
        <f>Synthèse!F86</f>
        <v>274801.07152447873</v>
      </c>
      <c r="G87" s="376" t="s">
        <v>522</v>
      </c>
      <c r="H87" s="376" t="s">
        <v>522</v>
      </c>
      <c r="I87" s="194">
        <f>Synthèse!H86</f>
        <v>208387.71454207541</v>
      </c>
      <c r="J87" s="380" t="s">
        <v>522</v>
      </c>
      <c r="K87" s="380" t="s">
        <v>522</v>
      </c>
    </row>
    <row r="88" spans="1:11" s="197" customFormat="1" ht="15" x14ac:dyDescent="0.25">
      <c r="A88" s="85">
        <f>Données!A88</f>
        <v>5541</v>
      </c>
      <c r="B88" s="308" t="str">
        <f>Données!B88</f>
        <v>Goumoëns</v>
      </c>
      <c r="C88" s="194">
        <f>Synthèse!G87</f>
        <v>659166.57726559497</v>
      </c>
      <c r="D88" s="371" t="s">
        <v>522</v>
      </c>
      <c r="E88" s="372" t="s">
        <v>522</v>
      </c>
      <c r="F88" s="193">
        <f>Synthèse!F87</f>
        <v>280297.57105563604</v>
      </c>
      <c r="G88" s="376" t="s">
        <v>522</v>
      </c>
      <c r="H88" s="376" t="s">
        <v>522</v>
      </c>
      <c r="I88" s="194">
        <f>Synthèse!H87</f>
        <v>129140.81096949095</v>
      </c>
      <c r="J88" s="380" t="s">
        <v>522</v>
      </c>
      <c r="K88" s="380" t="s">
        <v>522</v>
      </c>
    </row>
    <row r="89" spans="1:11" s="197" customFormat="1" ht="15" x14ac:dyDescent="0.25">
      <c r="A89" s="85">
        <f>Données!A89</f>
        <v>5551</v>
      </c>
      <c r="B89" s="308" t="str">
        <f>Données!B89</f>
        <v>Bonvillars</v>
      </c>
      <c r="C89" s="194">
        <f>Synthèse!G88</f>
        <v>408747.42172587675</v>
      </c>
      <c r="D89" s="371" t="s">
        <v>522</v>
      </c>
      <c r="E89" s="372" t="s">
        <v>522</v>
      </c>
      <c r="F89" s="193">
        <f>Synthèse!F88</f>
        <v>114750.13020613138</v>
      </c>
      <c r="G89" s="376" t="s">
        <v>522</v>
      </c>
      <c r="H89" s="376" t="s">
        <v>522</v>
      </c>
      <c r="I89" s="194">
        <f>Synthèse!H88</f>
        <v>55564.85759368031</v>
      </c>
      <c r="J89" s="380" t="s">
        <v>522</v>
      </c>
      <c r="K89" s="380" t="s">
        <v>522</v>
      </c>
    </row>
    <row r="90" spans="1:11" s="197" customFormat="1" ht="15" x14ac:dyDescent="0.25">
      <c r="A90" s="85">
        <f>Données!A90</f>
        <v>5552</v>
      </c>
      <c r="B90" s="308" t="str">
        <f>Données!B90</f>
        <v>Bullet</v>
      </c>
      <c r="C90" s="194">
        <f>Synthèse!G89</f>
        <v>319175.24948258902</v>
      </c>
      <c r="D90" s="371" t="s">
        <v>522</v>
      </c>
      <c r="E90" s="372" t="s">
        <v>522</v>
      </c>
      <c r="F90" s="193">
        <f>Synthèse!F89</f>
        <v>-272762.63542393874</v>
      </c>
      <c r="G90" s="376" t="s">
        <v>522</v>
      </c>
      <c r="H90" s="376" t="s">
        <v>522</v>
      </c>
      <c r="I90" s="194">
        <f>Synthèse!H89</f>
        <v>57847.725852191099</v>
      </c>
      <c r="J90" s="380" t="s">
        <v>522</v>
      </c>
      <c r="K90" s="380" t="s">
        <v>522</v>
      </c>
    </row>
    <row r="91" spans="1:11" s="197" customFormat="1" ht="15" x14ac:dyDescent="0.25">
      <c r="A91" s="85">
        <f>Données!A91</f>
        <v>5553</v>
      </c>
      <c r="B91" s="308" t="str">
        <f>Données!B91</f>
        <v>Champagne</v>
      </c>
      <c r="C91" s="194">
        <f>Synthèse!G90</f>
        <v>607112.99605112872</v>
      </c>
      <c r="D91" s="371" t="s">
        <v>522</v>
      </c>
      <c r="E91" s="372" t="s">
        <v>522</v>
      </c>
      <c r="F91" s="193">
        <f>Synthèse!F90</f>
        <v>78699.456594997202</v>
      </c>
      <c r="G91" s="376" t="s">
        <v>522</v>
      </c>
      <c r="H91" s="376" t="s">
        <v>522</v>
      </c>
      <c r="I91" s="194">
        <f>Synthèse!H90</f>
        <v>115997.19703248971</v>
      </c>
      <c r="J91" s="380" t="s">
        <v>522</v>
      </c>
      <c r="K91" s="380" t="s">
        <v>522</v>
      </c>
    </row>
    <row r="92" spans="1:11" s="197" customFormat="1" ht="15" x14ac:dyDescent="0.25">
      <c r="A92" s="85">
        <f>Données!A92</f>
        <v>5554</v>
      </c>
      <c r="B92" s="308" t="str">
        <f>Données!B92</f>
        <v>Concise</v>
      </c>
      <c r="C92" s="194">
        <f>Synthèse!G91</f>
        <v>557412.09229650267</v>
      </c>
      <c r="D92" s="371" t="s">
        <v>522</v>
      </c>
      <c r="E92" s="372" t="s">
        <v>522</v>
      </c>
      <c r="F92" s="193">
        <f>Synthèse!F91</f>
        <v>14981.285190644441</v>
      </c>
      <c r="G92" s="376" t="s">
        <v>522</v>
      </c>
      <c r="H92" s="376" t="s">
        <v>522</v>
      </c>
      <c r="I92" s="194">
        <f>Synthèse!H91</f>
        <v>104695.53295111915</v>
      </c>
      <c r="J92" s="380" t="s">
        <v>522</v>
      </c>
      <c r="K92" s="380" t="s">
        <v>522</v>
      </c>
    </row>
    <row r="93" spans="1:11" s="197" customFormat="1" ht="15" x14ac:dyDescent="0.25">
      <c r="A93" s="85">
        <f>Données!A93</f>
        <v>5555</v>
      </c>
      <c r="B93" s="308" t="str">
        <f>Données!B93</f>
        <v>Corcelles-près-Concise</v>
      </c>
      <c r="C93" s="194">
        <f>Synthèse!G92</f>
        <v>183270.12457836972</v>
      </c>
      <c r="D93" s="371" t="s">
        <v>522</v>
      </c>
      <c r="E93" s="372" t="s">
        <v>522</v>
      </c>
      <c r="F93" s="193">
        <f>Synthèse!F92</f>
        <v>-80518.455703882151</v>
      </c>
      <c r="G93" s="376" t="s">
        <v>522</v>
      </c>
      <c r="H93" s="376" t="s">
        <v>522</v>
      </c>
      <c r="I93" s="194">
        <f>Synthèse!H92</f>
        <v>40585.393082327239</v>
      </c>
      <c r="J93" s="380" t="s">
        <v>522</v>
      </c>
      <c r="K93" s="380" t="s">
        <v>522</v>
      </c>
    </row>
    <row r="94" spans="1:11" s="197" customFormat="1" ht="15" x14ac:dyDescent="0.25">
      <c r="A94" s="85">
        <f>Données!A94</f>
        <v>5556</v>
      </c>
      <c r="B94" s="308" t="str">
        <f>Données!B94</f>
        <v>Fiez</v>
      </c>
      <c r="C94" s="194">
        <f>Synthèse!G93</f>
        <v>227899.25764499151</v>
      </c>
      <c r="D94" s="371" t="s">
        <v>522</v>
      </c>
      <c r="E94" s="372" t="s">
        <v>522</v>
      </c>
      <c r="F94" s="193">
        <f>Synthèse!F93</f>
        <v>-27383.323951592058</v>
      </c>
      <c r="G94" s="376" t="s">
        <v>522</v>
      </c>
      <c r="H94" s="376" t="s">
        <v>522</v>
      </c>
      <c r="I94" s="194">
        <f>Synthèse!H93</f>
        <v>40847.544050241748</v>
      </c>
      <c r="J94" s="380" t="s">
        <v>522</v>
      </c>
      <c r="K94" s="380" t="s">
        <v>522</v>
      </c>
    </row>
    <row r="95" spans="1:11" s="197" customFormat="1" ht="15" x14ac:dyDescent="0.25">
      <c r="A95" s="85">
        <f>Données!A95</f>
        <v>5557</v>
      </c>
      <c r="B95" s="308" t="str">
        <f>Données!B95</f>
        <v>Fontaines-sur-Grandson</v>
      </c>
      <c r="C95" s="194">
        <f>Synthèse!G94</f>
        <v>72599.314647630774</v>
      </c>
      <c r="D95" s="371" t="s">
        <v>522</v>
      </c>
      <c r="E95" s="372" t="s">
        <v>522</v>
      </c>
      <c r="F95" s="193">
        <f>Synthèse!F94</f>
        <v>-73923.397287004351</v>
      </c>
      <c r="G95" s="376" t="s">
        <v>522</v>
      </c>
      <c r="H95" s="376" t="s">
        <v>522</v>
      </c>
      <c r="I95" s="194">
        <f>Synthèse!H94</f>
        <v>15393.25067447796</v>
      </c>
      <c r="J95" s="380" t="s">
        <v>522</v>
      </c>
      <c r="K95" s="380" t="s">
        <v>522</v>
      </c>
    </row>
    <row r="96" spans="1:11" s="197" customFormat="1" ht="15" x14ac:dyDescent="0.25">
      <c r="A96" s="85">
        <f>Données!A96</f>
        <v>5559</v>
      </c>
      <c r="B96" s="308" t="str">
        <f>Données!B96</f>
        <v>Giez</v>
      </c>
      <c r="C96" s="194">
        <f>Synthèse!G95</f>
        <v>324472.33693113062</v>
      </c>
      <c r="D96" s="371" t="s">
        <v>522</v>
      </c>
      <c r="E96" s="372" t="s">
        <v>522</v>
      </c>
      <c r="F96" s="193">
        <f>Synthèse!F95</f>
        <v>324681.88808704686</v>
      </c>
      <c r="G96" s="376" t="s">
        <v>522</v>
      </c>
      <c r="H96" s="376" t="s">
        <v>522</v>
      </c>
      <c r="I96" s="194">
        <f>Synthèse!H95</f>
        <v>65200.896224047363</v>
      </c>
      <c r="J96" s="380" t="s">
        <v>522</v>
      </c>
      <c r="K96" s="380" t="s">
        <v>522</v>
      </c>
    </row>
    <row r="97" spans="1:11" s="197" customFormat="1" ht="15" x14ac:dyDescent="0.25">
      <c r="A97" s="85">
        <f>Données!A97</f>
        <v>5560</v>
      </c>
      <c r="B97" s="308" t="str">
        <f>Données!B97</f>
        <v>Grandevent</v>
      </c>
      <c r="C97" s="194">
        <f>Synthèse!G96</f>
        <v>139084.93736625719</v>
      </c>
      <c r="D97" s="371" t="s">
        <v>522</v>
      </c>
      <c r="E97" s="372" t="s">
        <v>522</v>
      </c>
      <c r="F97" s="193">
        <f>Synthèse!F96</f>
        <v>91037.566923112172</v>
      </c>
      <c r="G97" s="376" t="s">
        <v>522</v>
      </c>
      <c r="H97" s="376" t="s">
        <v>522</v>
      </c>
      <c r="I97" s="194">
        <f>Synthèse!H96</f>
        <v>27884.817258882103</v>
      </c>
      <c r="J97" s="380" t="s">
        <v>522</v>
      </c>
      <c r="K97" s="380" t="s">
        <v>522</v>
      </c>
    </row>
    <row r="98" spans="1:11" s="197" customFormat="1" ht="15" x14ac:dyDescent="0.25">
      <c r="A98" s="85">
        <f>Données!A98</f>
        <v>5561</v>
      </c>
      <c r="B98" s="308" t="str">
        <f>Données!B98</f>
        <v>Grandson</v>
      </c>
      <c r="C98" s="194">
        <f>Synthèse!G97</f>
        <v>2096166.9160048661</v>
      </c>
      <c r="D98" s="371" t="s">
        <v>522</v>
      </c>
      <c r="E98" s="372" t="s">
        <v>522</v>
      </c>
      <c r="F98" s="193">
        <f>Synthèse!F97</f>
        <v>50517.429618182592</v>
      </c>
      <c r="G98" s="376" t="s">
        <v>522</v>
      </c>
      <c r="H98" s="376" t="s">
        <v>522</v>
      </c>
      <c r="I98" s="194">
        <f>Synthèse!H97</f>
        <v>408568.15733757184</v>
      </c>
      <c r="J98" s="380" t="s">
        <v>522</v>
      </c>
      <c r="K98" s="380" t="s">
        <v>522</v>
      </c>
    </row>
    <row r="99" spans="1:11" s="197" customFormat="1" ht="15" x14ac:dyDescent="0.25">
      <c r="A99" s="85">
        <f>Données!A99</f>
        <v>5562</v>
      </c>
      <c r="B99" s="308" t="str">
        <f>Données!B99</f>
        <v>Mauborget</v>
      </c>
      <c r="C99" s="194">
        <f>Synthèse!G98</f>
        <v>61039.132770048855</v>
      </c>
      <c r="D99" s="371" t="s">
        <v>522</v>
      </c>
      <c r="E99" s="372" t="s">
        <v>522</v>
      </c>
      <c r="F99" s="193">
        <f>Synthèse!F98</f>
        <v>20646.700524317988</v>
      </c>
      <c r="G99" s="376" t="s">
        <v>522</v>
      </c>
      <c r="H99" s="376" t="s">
        <v>522</v>
      </c>
      <c r="I99" s="194">
        <f>Synthèse!H98</f>
        <v>13950.438182349579</v>
      </c>
      <c r="J99" s="380" t="s">
        <v>522</v>
      </c>
      <c r="K99" s="380" t="s">
        <v>522</v>
      </c>
    </row>
    <row r="100" spans="1:11" s="197" customFormat="1" ht="15" x14ac:dyDescent="0.25">
      <c r="A100" s="85">
        <f>Données!A100</f>
        <v>5563</v>
      </c>
      <c r="B100" s="308" t="str">
        <f>Données!B100</f>
        <v>Mutrux</v>
      </c>
      <c r="C100" s="194">
        <f>Synthèse!G99</f>
        <v>59369.6455332193</v>
      </c>
      <c r="D100" s="371" t="s">
        <v>522</v>
      </c>
      <c r="E100" s="372" t="s">
        <v>522</v>
      </c>
      <c r="F100" s="193">
        <f>Synthèse!F99</f>
        <v>-127117.21757113065</v>
      </c>
      <c r="G100" s="376" t="s">
        <v>522</v>
      </c>
      <c r="H100" s="376" t="s">
        <v>522</v>
      </c>
      <c r="I100" s="194">
        <f>Synthèse!H99</f>
        <v>6834.1838033138119</v>
      </c>
      <c r="J100" s="380" t="s">
        <v>522</v>
      </c>
      <c r="K100" s="380" t="s">
        <v>522</v>
      </c>
    </row>
    <row r="101" spans="1:11" s="197" customFormat="1" ht="15" x14ac:dyDescent="0.25">
      <c r="A101" s="85">
        <f>Données!A101</f>
        <v>5564</v>
      </c>
      <c r="B101" s="308" t="str">
        <f>Données!B101</f>
        <v>Novalles</v>
      </c>
      <c r="C101" s="194">
        <f>Synthèse!G100</f>
        <v>31856.697869139323</v>
      </c>
      <c r="D101" s="371" t="s">
        <v>522</v>
      </c>
      <c r="E101" s="372" t="s">
        <v>522</v>
      </c>
      <c r="F101" s="193">
        <f>Synthèse!F100</f>
        <v>-48063.870113386889</v>
      </c>
      <c r="G101" s="376" t="s">
        <v>522</v>
      </c>
      <c r="H101" s="376" t="s">
        <v>522</v>
      </c>
      <c r="I101" s="194">
        <f>Synthèse!H100</f>
        <v>7884.9918985030026</v>
      </c>
      <c r="J101" s="380" t="s">
        <v>522</v>
      </c>
      <c r="K101" s="380" t="s">
        <v>522</v>
      </c>
    </row>
    <row r="102" spans="1:11" s="197" customFormat="1" ht="15" x14ac:dyDescent="0.25">
      <c r="A102" s="85">
        <f>Données!A102</f>
        <v>5565</v>
      </c>
      <c r="B102" s="308" t="str">
        <f>Données!B102</f>
        <v>Onnens</v>
      </c>
      <c r="C102" s="194">
        <f>Synthèse!G101</f>
        <v>276656.70968822821</v>
      </c>
      <c r="D102" s="371" t="s">
        <v>522</v>
      </c>
      <c r="E102" s="372" t="s">
        <v>522</v>
      </c>
      <c r="F102" s="193">
        <f>Synthèse!F101</f>
        <v>145022.63792117365</v>
      </c>
      <c r="G102" s="376" t="s">
        <v>522</v>
      </c>
      <c r="H102" s="376" t="s">
        <v>522</v>
      </c>
      <c r="I102" s="194">
        <f>Synthèse!H101</f>
        <v>56838.260549688901</v>
      </c>
      <c r="J102" s="380" t="s">
        <v>522</v>
      </c>
      <c r="K102" s="380" t="s">
        <v>522</v>
      </c>
    </row>
    <row r="103" spans="1:11" s="197" customFormat="1" ht="15" x14ac:dyDescent="0.25">
      <c r="A103" s="85">
        <f>Données!A103</f>
        <v>5566</v>
      </c>
      <c r="B103" s="308" t="str">
        <f>Données!B103</f>
        <v>Provence</v>
      </c>
      <c r="C103" s="194">
        <f>Synthèse!G102</f>
        <v>145531.69493957912</v>
      </c>
      <c r="D103" s="371" t="s">
        <v>522</v>
      </c>
      <c r="E103" s="372" t="s">
        <v>522</v>
      </c>
      <c r="F103" s="193">
        <f>Synthèse!F102</f>
        <v>-495171.09868028777</v>
      </c>
      <c r="G103" s="376" t="s">
        <v>522</v>
      </c>
      <c r="H103" s="376" t="s">
        <v>522</v>
      </c>
      <c r="I103" s="194">
        <f>Synthèse!H102</f>
        <v>26107.265251665125</v>
      </c>
      <c r="J103" s="380" t="s">
        <v>522</v>
      </c>
      <c r="K103" s="380" t="s">
        <v>522</v>
      </c>
    </row>
    <row r="104" spans="1:11" s="197" customFormat="1" ht="15" x14ac:dyDescent="0.25">
      <c r="A104" s="85">
        <f>Données!A104</f>
        <v>5568</v>
      </c>
      <c r="B104" s="308" t="str">
        <f>Données!B104</f>
        <v>Sainte-Croix</v>
      </c>
      <c r="C104" s="194">
        <f>Synthèse!G103</f>
        <v>2401244.9565260247</v>
      </c>
      <c r="D104" s="371" t="s">
        <v>522</v>
      </c>
      <c r="E104" s="372" t="s">
        <v>522</v>
      </c>
      <c r="F104" s="193">
        <f>Synthèse!F103</f>
        <v>-4102555.0842011091</v>
      </c>
      <c r="G104" s="376" t="s">
        <v>522</v>
      </c>
      <c r="H104" s="376" t="s">
        <v>522</v>
      </c>
      <c r="I104" s="194">
        <f>Synthèse!H103</f>
        <v>323480.4570459933</v>
      </c>
      <c r="J104" s="380" t="s">
        <v>522</v>
      </c>
      <c r="K104" s="380" t="s">
        <v>522</v>
      </c>
    </row>
    <row r="105" spans="1:11" s="197" customFormat="1" ht="15" x14ac:dyDescent="0.25">
      <c r="A105" s="85">
        <f>Données!A105</f>
        <v>5571</v>
      </c>
      <c r="B105" s="308" t="str">
        <f>Données!B105</f>
        <v>Tévenon</v>
      </c>
      <c r="C105" s="194">
        <f>Synthèse!G104</f>
        <v>380543.66121344385</v>
      </c>
      <c r="D105" s="371" t="s">
        <v>522</v>
      </c>
      <c r="E105" s="372" t="s">
        <v>522</v>
      </c>
      <c r="F105" s="193">
        <f>Synthèse!F104</f>
        <v>-102464.17819144402</v>
      </c>
      <c r="G105" s="376" t="s">
        <v>522</v>
      </c>
      <c r="H105" s="376" t="s">
        <v>522</v>
      </c>
      <c r="I105" s="194">
        <f>Synthèse!H104</f>
        <v>78936.268514294483</v>
      </c>
      <c r="J105" s="380" t="s">
        <v>522</v>
      </c>
      <c r="K105" s="380" t="s">
        <v>522</v>
      </c>
    </row>
    <row r="106" spans="1:11" s="197" customFormat="1" ht="15" x14ac:dyDescent="0.25">
      <c r="A106" s="85">
        <f>Données!A106</f>
        <v>5581</v>
      </c>
      <c r="B106" s="308" t="str">
        <f>Données!B106</f>
        <v>Belmont-sur-Lausanne</v>
      </c>
      <c r="C106" s="194">
        <f>Synthèse!G105</f>
        <v>4353966.1553163454</v>
      </c>
      <c r="D106" s="371" t="s">
        <v>522</v>
      </c>
      <c r="E106" s="372" t="s">
        <v>522</v>
      </c>
      <c r="F106" s="193">
        <f>Synthèse!F105</f>
        <v>2208101.3195590535</v>
      </c>
      <c r="G106" s="376" t="s">
        <v>522</v>
      </c>
      <c r="H106" s="376" t="s">
        <v>522</v>
      </c>
      <c r="I106" s="194">
        <f>Synthèse!H105</f>
        <v>289941.65533330425</v>
      </c>
      <c r="J106" s="380" t="s">
        <v>522</v>
      </c>
      <c r="K106" s="380" t="s">
        <v>522</v>
      </c>
    </row>
    <row r="107" spans="1:11" s="197" customFormat="1" ht="15" x14ac:dyDescent="0.25">
      <c r="A107" s="85">
        <f>Données!A107</f>
        <v>5582</v>
      </c>
      <c r="B107" s="308" t="str">
        <f>Données!B107</f>
        <v>Cheseaux-sur-Lausanne</v>
      </c>
      <c r="C107" s="194">
        <f>Synthèse!G106</f>
        <v>2575940.2872761074</v>
      </c>
      <c r="D107" s="371" t="s">
        <v>522</v>
      </c>
      <c r="E107" s="372" t="s">
        <v>522</v>
      </c>
      <c r="F107" s="193">
        <f>Synthèse!F106</f>
        <v>213965.88327320572</v>
      </c>
      <c r="G107" s="376" t="s">
        <v>522</v>
      </c>
      <c r="H107" s="376" t="s">
        <v>522</v>
      </c>
      <c r="I107" s="194">
        <f>Synthèse!H106</f>
        <v>521631.98735637439</v>
      </c>
      <c r="J107" s="380" t="s">
        <v>522</v>
      </c>
      <c r="K107" s="380" t="s">
        <v>522</v>
      </c>
    </row>
    <row r="108" spans="1:11" s="197" customFormat="1" ht="15" x14ac:dyDescent="0.25">
      <c r="A108" s="85">
        <f>Données!A108</f>
        <v>5583</v>
      </c>
      <c r="B108" s="308" t="str">
        <f>Données!B108</f>
        <v>Crissier</v>
      </c>
      <c r="C108" s="194">
        <f>Synthèse!G107</f>
        <v>6463557.0911694467</v>
      </c>
      <c r="D108" s="371" t="s">
        <v>522</v>
      </c>
      <c r="E108" s="372" t="s">
        <v>522</v>
      </c>
      <c r="F108" s="193">
        <f>Synthèse!F107</f>
        <v>-2990376.2937987205</v>
      </c>
      <c r="G108" s="376" t="s">
        <v>522</v>
      </c>
      <c r="H108" s="376" t="s">
        <v>522</v>
      </c>
      <c r="I108" s="194">
        <f>Synthèse!H107</f>
        <v>422441.77397572057</v>
      </c>
      <c r="J108" s="380" t="s">
        <v>522</v>
      </c>
      <c r="K108" s="380" t="s">
        <v>522</v>
      </c>
    </row>
    <row r="109" spans="1:11" s="197" customFormat="1" ht="15" x14ac:dyDescent="0.25">
      <c r="A109" s="85">
        <f>Données!A109</f>
        <v>5584</v>
      </c>
      <c r="B109" s="308" t="str">
        <f>Données!B109</f>
        <v>Epalinges</v>
      </c>
      <c r="C109" s="194">
        <f>Synthèse!G108</f>
        <v>8825163.4876215328</v>
      </c>
      <c r="D109" s="371" t="s">
        <v>522</v>
      </c>
      <c r="E109" s="372" t="s">
        <v>522</v>
      </c>
      <c r="F109" s="193">
        <f>Synthèse!F108</f>
        <v>71638.251515099779</v>
      </c>
      <c r="G109" s="376" t="s">
        <v>522</v>
      </c>
      <c r="H109" s="376" t="s">
        <v>522</v>
      </c>
      <c r="I109" s="194">
        <f>Synthèse!H108</f>
        <v>1474168.8404793523</v>
      </c>
      <c r="J109" s="380" t="s">
        <v>522</v>
      </c>
      <c r="K109" s="380" t="s">
        <v>522</v>
      </c>
    </row>
    <row r="110" spans="1:11" s="197" customFormat="1" ht="15" x14ac:dyDescent="0.25">
      <c r="A110" s="85">
        <f>Données!A110</f>
        <v>5585</v>
      </c>
      <c r="B110" s="308" t="str">
        <f>Données!B110</f>
        <v>Jouxtens-Mézery</v>
      </c>
      <c r="C110" s="194">
        <f>Synthèse!G109</f>
        <v>6431430.7855759468</v>
      </c>
      <c r="D110" s="371" t="s">
        <v>522</v>
      </c>
      <c r="E110" s="372" t="s">
        <v>522</v>
      </c>
      <c r="F110" s="193">
        <f>Synthèse!F109</f>
        <v>3824937.5185898365</v>
      </c>
      <c r="G110" s="376" t="s">
        <v>522</v>
      </c>
      <c r="H110" s="376" t="s">
        <v>522</v>
      </c>
      <c r="I110" s="194">
        <f>Synthèse!H109</f>
        <v>390750.19200307789</v>
      </c>
      <c r="J110" s="380" t="s">
        <v>522</v>
      </c>
      <c r="K110" s="380" t="s">
        <v>522</v>
      </c>
    </row>
    <row r="111" spans="1:11" s="197" customFormat="1" ht="15" x14ac:dyDescent="0.25">
      <c r="A111" s="85">
        <f>Données!A111</f>
        <v>5586</v>
      </c>
      <c r="B111" s="308" t="str">
        <f>Données!B111</f>
        <v>Lausanne</v>
      </c>
      <c r="C111" s="194">
        <f>Synthèse!G110</f>
        <v>106578434.27141744</v>
      </c>
      <c r="D111" s="371" t="s">
        <v>522</v>
      </c>
      <c r="E111" s="372" t="s">
        <v>522</v>
      </c>
      <c r="F111" s="193">
        <f>Synthèse!F110</f>
        <v>-69926171.246062219</v>
      </c>
      <c r="G111" s="376" t="s">
        <v>522</v>
      </c>
      <c r="H111" s="376" t="s">
        <v>522</v>
      </c>
      <c r="I111" s="194">
        <f>Synthèse!H110</f>
        <v>8277387.7644193405</v>
      </c>
      <c r="J111" s="380" t="s">
        <v>522</v>
      </c>
      <c r="K111" s="380" t="s">
        <v>522</v>
      </c>
    </row>
    <row r="112" spans="1:11" s="197" customFormat="1" ht="15" x14ac:dyDescent="0.25">
      <c r="A112" s="85">
        <f>Données!A112</f>
        <v>5587</v>
      </c>
      <c r="B112" s="308" t="str">
        <f>Données!B112</f>
        <v>Le Mont-sur-Lausanne</v>
      </c>
      <c r="C112" s="194">
        <f>Synthèse!G111</f>
        <v>8965034.3213823959</v>
      </c>
      <c r="D112" s="371" t="s">
        <v>522</v>
      </c>
      <c r="E112" s="372" t="s">
        <v>522</v>
      </c>
      <c r="F112" s="193">
        <f>Synthèse!F111</f>
        <v>2410481.9497978948</v>
      </c>
      <c r="G112" s="376" t="s">
        <v>522</v>
      </c>
      <c r="H112" s="376" t="s">
        <v>522</v>
      </c>
      <c r="I112" s="194">
        <f>Synthèse!H111</f>
        <v>1420505.7850190685</v>
      </c>
      <c r="J112" s="380" t="s">
        <v>522</v>
      </c>
      <c r="K112" s="380" t="s">
        <v>522</v>
      </c>
    </row>
    <row r="113" spans="1:11" s="197" customFormat="1" ht="15" x14ac:dyDescent="0.25">
      <c r="A113" s="85">
        <f>Données!A113</f>
        <v>5588</v>
      </c>
      <c r="B113" s="308" t="str">
        <f>Données!B113</f>
        <v>Paudex</v>
      </c>
      <c r="C113" s="194">
        <f>Synthèse!G112</f>
        <v>3350810.0468021664</v>
      </c>
      <c r="D113" s="371" t="s">
        <v>522</v>
      </c>
      <c r="E113" s="372" t="s">
        <v>522</v>
      </c>
      <c r="F113" s="193">
        <f>Synthèse!F112</f>
        <v>2363217.5819076379</v>
      </c>
      <c r="G113" s="376" t="s">
        <v>522</v>
      </c>
      <c r="H113" s="376" t="s">
        <v>522</v>
      </c>
      <c r="I113" s="194">
        <f>Synthèse!H112</f>
        <v>170670.06979779911</v>
      </c>
      <c r="J113" s="380" t="s">
        <v>522</v>
      </c>
      <c r="K113" s="380" t="s">
        <v>522</v>
      </c>
    </row>
    <row r="114" spans="1:11" s="197" customFormat="1" ht="15" x14ac:dyDescent="0.25">
      <c r="A114" s="85">
        <f>Données!A114</f>
        <v>5589</v>
      </c>
      <c r="B114" s="308" t="str">
        <f>Données!B114</f>
        <v>Prilly</v>
      </c>
      <c r="C114" s="194">
        <f>Synthèse!G113</f>
        <v>6795978.0839818399</v>
      </c>
      <c r="D114" s="371" t="s">
        <v>522</v>
      </c>
      <c r="E114" s="372" t="s">
        <v>522</v>
      </c>
      <c r="F114" s="193">
        <f>Synthèse!F113</f>
        <v>-6796919.7343278555</v>
      </c>
      <c r="G114" s="376" t="s">
        <v>522</v>
      </c>
      <c r="H114" s="376" t="s">
        <v>522</v>
      </c>
      <c r="I114" s="194">
        <f>Synthèse!H113</f>
        <v>501510.9250462848</v>
      </c>
      <c r="J114" s="380" t="s">
        <v>522</v>
      </c>
      <c r="K114" s="380" t="s">
        <v>522</v>
      </c>
    </row>
    <row r="115" spans="1:11" s="197" customFormat="1" ht="15" x14ac:dyDescent="0.25">
      <c r="A115" s="85">
        <f>Données!A115</f>
        <v>5590</v>
      </c>
      <c r="B115" s="308" t="str">
        <f>Données!B115</f>
        <v>Pully</v>
      </c>
      <c r="C115" s="194">
        <f>Synthèse!G114</f>
        <v>29866058.971306089</v>
      </c>
      <c r="D115" s="371" t="s">
        <v>522</v>
      </c>
      <c r="E115" s="372" t="s">
        <v>522</v>
      </c>
      <c r="F115" s="193">
        <f>Synthèse!F114</f>
        <v>8269418.3332354538</v>
      </c>
      <c r="G115" s="376" t="s">
        <v>522</v>
      </c>
      <c r="H115" s="376" t="s">
        <v>522</v>
      </c>
      <c r="I115" s="194">
        <f>Synthèse!H114</f>
        <v>1732709.888572685</v>
      </c>
      <c r="J115" s="380" t="s">
        <v>522</v>
      </c>
      <c r="K115" s="380" t="s">
        <v>522</v>
      </c>
    </row>
    <row r="116" spans="1:11" s="197" customFormat="1" ht="15" x14ac:dyDescent="0.25">
      <c r="A116" s="85">
        <f>Données!A116</f>
        <v>5591</v>
      </c>
      <c r="B116" s="308" t="str">
        <f>Données!B116</f>
        <v>Renens</v>
      </c>
      <c r="C116" s="194">
        <f>Synthèse!G115</f>
        <v>10357581.986091323</v>
      </c>
      <c r="D116" s="371" t="s">
        <v>522</v>
      </c>
      <c r="E116" s="372" t="s">
        <v>522</v>
      </c>
      <c r="F116" s="193">
        <f>Synthèse!F115</f>
        <v>-22707465.590219494</v>
      </c>
      <c r="G116" s="376" t="s">
        <v>522</v>
      </c>
      <c r="H116" s="376" t="s">
        <v>522</v>
      </c>
      <c r="I116" s="194">
        <f>Synthèse!H115</f>
        <v>735612.20169404952</v>
      </c>
      <c r="J116" s="380" t="s">
        <v>522</v>
      </c>
      <c r="K116" s="380" t="s">
        <v>522</v>
      </c>
    </row>
    <row r="117" spans="1:11" s="197" customFormat="1" ht="15" x14ac:dyDescent="0.25">
      <c r="A117" s="85">
        <f>Données!A117</f>
        <v>5592</v>
      </c>
      <c r="B117" s="308" t="str">
        <f>Données!B117</f>
        <v>Romanel-sur-Lausanne</v>
      </c>
      <c r="C117" s="194">
        <f>Synthèse!G116</f>
        <v>2203819.6143238051</v>
      </c>
      <c r="D117" s="371" t="s">
        <v>522</v>
      </c>
      <c r="E117" s="372" t="s">
        <v>522</v>
      </c>
      <c r="F117" s="193">
        <f>Synthèse!F116</f>
        <v>-738368.602726785</v>
      </c>
      <c r="G117" s="376" t="s">
        <v>522</v>
      </c>
      <c r="H117" s="376" t="s">
        <v>522</v>
      </c>
      <c r="I117" s="194">
        <f>Synthèse!H116</f>
        <v>340422.55463210528</v>
      </c>
      <c r="J117" s="380" t="s">
        <v>522</v>
      </c>
      <c r="K117" s="380" t="s">
        <v>522</v>
      </c>
    </row>
    <row r="118" spans="1:11" s="197" customFormat="1" ht="15" x14ac:dyDescent="0.25">
      <c r="A118" s="85">
        <f>Données!A118</f>
        <v>5601</v>
      </c>
      <c r="B118" s="308" t="str">
        <f>Données!B118</f>
        <v>Chexbres</v>
      </c>
      <c r="C118" s="194">
        <f>Synthèse!G117</f>
        <v>1790442.1300433641</v>
      </c>
      <c r="D118" s="371" t="s">
        <v>522</v>
      </c>
      <c r="E118" s="372" t="s">
        <v>522</v>
      </c>
      <c r="F118" s="193">
        <f>Synthèse!F117</f>
        <v>1154098.8687060853</v>
      </c>
      <c r="G118" s="376" t="s">
        <v>522</v>
      </c>
      <c r="H118" s="376" t="s">
        <v>522</v>
      </c>
      <c r="I118" s="194">
        <f>Synthèse!H117</f>
        <v>131545.8282946033</v>
      </c>
      <c r="J118" s="380" t="s">
        <v>522</v>
      </c>
      <c r="K118" s="380" t="s">
        <v>522</v>
      </c>
    </row>
    <row r="119" spans="1:11" s="197" customFormat="1" ht="15" x14ac:dyDescent="0.25">
      <c r="A119" s="85">
        <f>Données!A119</f>
        <v>5604</v>
      </c>
      <c r="B119" s="308" t="str">
        <f>Données!B119</f>
        <v>Forel (Lavaux)</v>
      </c>
      <c r="C119" s="194">
        <f>Synthèse!G118</f>
        <v>1115278.9086995665</v>
      </c>
      <c r="D119" s="371" t="s">
        <v>522</v>
      </c>
      <c r="E119" s="372" t="s">
        <v>522</v>
      </c>
      <c r="F119" s="193">
        <f>Synthèse!F118</f>
        <v>-83588.694971107878</v>
      </c>
      <c r="G119" s="376" t="s">
        <v>522</v>
      </c>
      <c r="H119" s="376" t="s">
        <v>522</v>
      </c>
      <c r="I119" s="194">
        <f>Synthèse!H118</f>
        <v>216872.72727299086</v>
      </c>
      <c r="J119" s="380" t="s">
        <v>522</v>
      </c>
      <c r="K119" s="380" t="s">
        <v>522</v>
      </c>
    </row>
    <row r="120" spans="1:11" s="197" customFormat="1" ht="15" x14ac:dyDescent="0.25">
      <c r="A120" s="85">
        <f>Données!A120</f>
        <v>5606</v>
      </c>
      <c r="B120" s="308" t="str">
        <f>Données!B120</f>
        <v>Lutry</v>
      </c>
      <c r="C120" s="194">
        <f>Synthèse!G119</f>
        <v>24893155.409536242</v>
      </c>
      <c r="D120" s="371" t="s">
        <v>522</v>
      </c>
      <c r="E120" s="372" t="s">
        <v>522</v>
      </c>
      <c r="F120" s="193">
        <f>Synthèse!F119</f>
        <v>12044951.640822321</v>
      </c>
      <c r="G120" s="376" t="s">
        <v>522</v>
      </c>
      <c r="H120" s="376" t="s">
        <v>522</v>
      </c>
      <c r="I120" s="194">
        <f>Synthèse!H119</f>
        <v>1262529.4789992131</v>
      </c>
      <c r="J120" s="380" t="s">
        <v>522</v>
      </c>
      <c r="K120" s="380" t="s">
        <v>522</v>
      </c>
    </row>
    <row r="121" spans="1:11" s="197" customFormat="1" ht="15" x14ac:dyDescent="0.25">
      <c r="A121" s="85">
        <f>Données!A121</f>
        <v>5607</v>
      </c>
      <c r="B121" s="308" t="str">
        <f>Données!B121</f>
        <v>Puidoux</v>
      </c>
      <c r="C121" s="194">
        <f>Synthèse!G120</f>
        <v>2145384.4094303939</v>
      </c>
      <c r="D121" s="371" t="s">
        <v>522</v>
      </c>
      <c r="E121" s="372" t="s">
        <v>522</v>
      </c>
      <c r="F121" s="193">
        <f>Synthèse!F120</f>
        <v>-98796.622046491597</v>
      </c>
      <c r="G121" s="376" t="s">
        <v>522</v>
      </c>
      <c r="H121" s="376" t="s">
        <v>522</v>
      </c>
      <c r="I121" s="194">
        <f>Synthèse!H120</f>
        <v>145783.98062724975</v>
      </c>
      <c r="J121" s="380" t="s">
        <v>522</v>
      </c>
      <c r="K121" s="380" t="s">
        <v>522</v>
      </c>
    </row>
    <row r="122" spans="1:11" s="197" customFormat="1" ht="15" x14ac:dyDescent="0.25">
      <c r="A122" s="85">
        <f>Données!A122</f>
        <v>5609</v>
      </c>
      <c r="B122" s="308" t="str">
        <f>Données!B122</f>
        <v>Rivaz</v>
      </c>
      <c r="C122" s="194">
        <f>Synthèse!G121</f>
        <v>257188.48427790491</v>
      </c>
      <c r="D122" s="371" t="s">
        <v>522</v>
      </c>
      <c r="E122" s="372" t="s">
        <v>522</v>
      </c>
      <c r="F122" s="193">
        <f>Synthèse!F121</f>
        <v>159753.7654847395</v>
      </c>
      <c r="G122" s="376" t="s">
        <v>522</v>
      </c>
      <c r="H122" s="376" t="s">
        <v>522</v>
      </c>
      <c r="I122" s="194">
        <f>Synthèse!H121</f>
        <v>18525.719331905653</v>
      </c>
      <c r="J122" s="380" t="s">
        <v>522</v>
      </c>
      <c r="K122" s="380" t="s">
        <v>522</v>
      </c>
    </row>
    <row r="123" spans="1:11" s="197" customFormat="1" ht="15" x14ac:dyDescent="0.25">
      <c r="A123" s="85">
        <f>Données!A123</f>
        <v>5610</v>
      </c>
      <c r="B123" s="308" t="str">
        <f>Données!B123</f>
        <v>St-Saphorin (Lavaux)</v>
      </c>
      <c r="C123" s="194">
        <f>Synthèse!G122</f>
        <v>333814.24427525554</v>
      </c>
      <c r="D123" s="371" t="s">
        <v>522</v>
      </c>
      <c r="E123" s="372" t="s">
        <v>522</v>
      </c>
      <c r="F123" s="193">
        <f>Synthèse!F122</f>
        <v>358372.76535761351</v>
      </c>
      <c r="G123" s="376" t="s">
        <v>522</v>
      </c>
      <c r="H123" s="376" t="s">
        <v>522</v>
      </c>
      <c r="I123" s="194">
        <f>Synthèse!H122</f>
        <v>26462.444068017299</v>
      </c>
      <c r="J123" s="380" t="s">
        <v>522</v>
      </c>
      <c r="K123" s="380" t="s">
        <v>522</v>
      </c>
    </row>
    <row r="124" spans="1:11" s="197" customFormat="1" ht="15" x14ac:dyDescent="0.25">
      <c r="A124" s="85">
        <f>Données!A124</f>
        <v>5611</v>
      </c>
      <c r="B124" s="308" t="str">
        <f>Données!B124</f>
        <v>Savigny</v>
      </c>
      <c r="C124" s="194">
        <f>Synthèse!G123</f>
        <v>2201394.4170110044</v>
      </c>
      <c r="D124" s="371" t="s">
        <v>522</v>
      </c>
      <c r="E124" s="372" t="s">
        <v>522</v>
      </c>
      <c r="F124" s="193">
        <f>Synthèse!F123</f>
        <v>437722.83303224947</v>
      </c>
      <c r="G124" s="376" t="s">
        <v>522</v>
      </c>
      <c r="H124" s="376" t="s">
        <v>522</v>
      </c>
      <c r="I124" s="194">
        <f>Synthèse!H123</f>
        <v>173252.24947136099</v>
      </c>
      <c r="J124" s="380" t="s">
        <v>522</v>
      </c>
      <c r="K124" s="380" t="s">
        <v>522</v>
      </c>
    </row>
    <row r="125" spans="1:11" s="197" customFormat="1" ht="15" x14ac:dyDescent="0.25">
      <c r="A125" s="85">
        <f>Données!A125</f>
        <v>5613</v>
      </c>
      <c r="B125" s="308" t="str">
        <f>Données!B125</f>
        <v>Bourg-en-Lavaux</v>
      </c>
      <c r="C125" s="194">
        <f>Synthèse!G124</f>
        <v>7501945.6239280831</v>
      </c>
      <c r="D125" s="371" t="s">
        <v>522</v>
      </c>
      <c r="E125" s="372" t="s">
        <v>522</v>
      </c>
      <c r="F125" s="193">
        <f>Synthèse!F124</f>
        <v>5038636.3950081533</v>
      </c>
      <c r="G125" s="376" t="s">
        <v>522</v>
      </c>
      <c r="H125" s="376" t="s">
        <v>522</v>
      </c>
      <c r="I125" s="194">
        <f>Synthèse!H124</f>
        <v>455638.55146798148</v>
      </c>
      <c r="J125" s="380" t="s">
        <v>522</v>
      </c>
      <c r="K125" s="380" t="s">
        <v>522</v>
      </c>
    </row>
    <row r="126" spans="1:11" s="197" customFormat="1" ht="15" x14ac:dyDescent="0.25">
      <c r="A126" s="85">
        <f>Données!A126</f>
        <v>5621</v>
      </c>
      <c r="B126" s="308" t="str">
        <f>Données!B126</f>
        <v>Aclens</v>
      </c>
      <c r="C126" s="194">
        <f>Synthèse!G125</f>
        <v>860456.80207046098</v>
      </c>
      <c r="D126" s="371" t="s">
        <v>522</v>
      </c>
      <c r="E126" s="372" t="s">
        <v>522</v>
      </c>
      <c r="F126" s="193">
        <f>Synthèse!F125</f>
        <v>695305.29845766502</v>
      </c>
      <c r="G126" s="376" t="s">
        <v>522</v>
      </c>
      <c r="H126" s="376" t="s">
        <v>522</v>
      </c>
      <c r="I126" s="194">
        <f>Synthèse!H125</f>
        <v>97757.043486087612</v>
      </c>
      <c r="J126" s="380" t="s">
        <v>522</v>
      </c>
      <c r="K126" s="380" t="s">
        <v>522</v>
      </c>
    </row>
    <row r="127" spans="1:11" s="197" customFormat="1" ht="15" x14ac:dyDescent="0.25">
      <c r="A127" s="85">
        <f>Données!A127</f>
        <v>5622</v>
      </c>
      <c r="B127" s="308" t="str">
        <f>Données!B127</f>
        <v>Bremblens</v>
      </c>
      <c r="C127" s="194">
        <f>Synthèse!G126</f>
        <v>569605.0372436262</v>
      </c>
      <c r="D127" s="371" t="s">
        <v>522</v>
      </c>
      <c r="E127" s="372" t="s">
        <v>522</v>
      </c>
      <c r="F127" s="193">
        <f>Synthèse!F126</f>
        <v>525585.37134134758</v>
      </c>
      <c r="G127" s="376" t="s">
        <v>522</v>
      </c>
      <c r="H127" s="376" t="s">
        <v>522</v>
      </c>
      <c r="I127" s="194">
        <f>Synthèse!H126</f>
        <v>91549.596451188074</v>
      </c>
      <c r="J127" s="380" t="s">
        <v>522</v>
      </c>
      <c r="K127" s="380" t="s">
        <v>522</v>
      </c>
    </row>
    <row r="128" spans="1:11" s="197" customFormat="1" ht="15" x14ac:dyDescent="0.25">
      <c r="A128" s="85">
        <f>Données!A128</f>
        <v>5623</v>
      </c>
      <c r="B128" s="308" t="str">
        <f>Données!B128</f>
        <v>Buchillon</v>
      </c>
      <c r="C128" s="194">
        <f>Synthèse!G127</f>
        <v>2375561.2953324616</v>
      </c>
      <c r="D128" s="371" t="s">
        <v>522</v>
      </c>
      <c r="E128" s="372" t="s">
        <v>522</v>
      </c>
      <c r="F128" s="193">
        <f>Synthèse!F127</f>
        <v>1645088.5413895648</v>
      </c>
      <c r="G128" s="376" t="s">
        <v>522</v>
      </c>
      <c r="H128" s="376" t="s">
        <v>522</v>
      </c>
      <c r="I128" s="194">
        <f>Synthèse!H127</f>
        <v>109690.33191471375</v>
      </c>
      <c r="J128" s="380" t="s">
        <v>522</v>
      </c>
      <c r="K128" s="380" t="s">
        <v>522</v>
      </c>
    </row>
    <row r="129" spans="1:11" s="197" customFormat="1" ht="15" x14ac:dyDescent="0.25">
      <c r="A129" s="85">
        <f>Données!A129</f>
        <v>5624</v>
      </c>
      <c r="B129" s="308" t="str">
        <f>Données!B129</f>
        <v>Bussigny</v>
      </c>
      <c r="C129" s="194">
        <f>Synthèse!G128</f>
        <v>6463148.1339919511</v>
      </c>
      <c r="D129" s="371" t="s">
        <v>522</v>
      </c>
      <c r="E129" s="372" t="s">
        <v>522</v>
      </c>
      <c r="F129" s="193">
        <f>Synthèse!F128</f>
        <v>-2182347.2739237668</v>
      </c>
      <c r="G129" s="376" t="s">
        <v>522</v>
      </c>
      <c r="H129" s="376" t="s">
        <v>522</v>
      </c>
      <c r="I129" s="194">
        <f>Synthèse!H128</f>
        <v>489229.00385916652</v>
      </c>
      <c r="J129" s="380" t="s">
        <v>522</v>
      </c>
      <c r="K129" s="380" t="s">
        <v>522</v>
      </c>
    </row>
    <row r="130" spans="1:11" s="197" customFormat="1" ht="15" x14ac:dyDescent="0.25">
      <c r="A130" s="85">
        <f>Données!A130</f>
        <v>5627</v>
      </c>
      <c r="B130" s="308" t="str">
        <f>Données!B130</f>
        <v>Chavannes-près-Renens</v>
      </c>
      <c r="C130" s="194">
        <f>Synthèse!G129</f>
        <v>3350591.0729665547</v>
      </c>
      <c r="D130" s="371" t="s">
        <v>522</v>
      </c>
      <c r="E130" s="372" t="s">
        <v>522</v>
      </c>
      <c r="F130" s="193">
        <f>Synthèse!F129</f>
        <v>-7543387.2642443106</v>
      </c>
      <c r="G130" s="376" t="s">
        <v>522</v>
      </c>
      <c r="H130" s="376" t="s">
        <v>522</v>
      </c>
      <c r="I130" s="194">
        <f>Synthèse!H129</f>
        <v>234117.90111622101</v>
      </c>
      <c r="J130" s="380" t="s">
        <v>522</v>
      </c>
      <c r="K130" s="380" t="s">
        <v>522</v>
      </c>
    </row>
    <row r="131" spans="1:11" s="197" customFormat="1" ht="15" x14ac:dyDescent="0.25">
      <c r="A131" s="85">
        <f>Données!A131</f>
        <v>5628</v>
      </c>
      <c r="B131" s="308" t="str">
        <f>Données!B131</f>
        <v>Chigny</v>
      </c>
      <c r="C131" s="194">
        <f>Synthèse!G130</f>
        <v>559761.1558891657</v>
      </c>
      <c r="D131" s="371" t="s">
        <v>522</v>
      </c>
      <c r="E131" s="372" t="s">
        <v>522</v>
      </c>
      <c r="F131" s="193">
        <f>Synthèse!F130</f>
        <v>486635.65018334234</v>
      </c>
      <c r="G131" s="376" t="s">
        <v>522</v>
      </c>
      <c r="H131" s="376" t="s">
        <v>522</v>
      </c>
      <c r="I131" s="194">
        <f>Synthèse!H130</f>
        <v>71232.947317882805</v>
      </c>
      <c r="J131" s="380" t="s">
        <v>522</v>
      </c>
      <c r="K131" s="380" t="s">
        <v>522</v>
      </c>
    </row>
    <row r="132" spans="1:11" s="197" customFormat="1" ht="15" x14ac:dyDescent="0.25">
      <c r="A132" s="85">
        <f>Données!A132</f>
        <v>5629</v>
      </c>
      <c r="B132" s="308" t="str">
        <f>Données!B132</f>
        <v>Clarmont</v>
      </c>
      <c r="C132" s="194">
        <f>Synthèse!G131</f>
        <v>140605.65448363216</v>
      </c>
      <c r="D132" s="371" t="s">
        <v>522</v>
      </c>
      <c r="E132" s="372" t="s">
        <v>522</v>
      </c>
      <c r="F132" s="193">
        <f>Synthèse!F131</f>
        <v>109568.52114590182</v>
      </c>
      <c r="G132" s="376" t="s">
        <v>522</v>
      </c>
      <c r="H132" s="376" t="s">
        <v>522</v>
      </c>
      <c r="I132" s="194">
        <f>Synthèse!H131</f>
        <v>31149.036800131944</v>
      </c>
      <c r="J132" s="380" t="s">
        <v>522</v>
      </c>
      <c r="K132" s="380" t="s">
        <v>522</v>
      </c>
    </row>
    <row r="133" spans="1:11" s="197" customFormat="1" ht="15" x14ac:dyDescent="0.25">
      <c r="A133" s="85">
        <f>Données!A133</f>
        <v>5631</v>
      </c>
      <c r="B133" s="308" t="str">
        <f>Données!B133</f>
        <v>Denens</v>
      </c>
      <c r="C133" s="194">
        <f>Synthèse!G132</f>
        <v>766626.36584240198</v>
      </c>
      <c r="D133" s="371" t="s">
        <v>522</v>
      </c>
      <c r="E133" s="372" t="s">
        <v>522</v>
      </c>
      <c r="F133" s="193">
        <f>Synthèse!F132</f>
        <v>723962.95953647746</v>
      </c>
      <c r="G133" s="376" t="s">
        <v>522</v>
      </c>
      <c r="H133" s="376" t="s">
        <v>522</v>
      </c>
      <c r="I133" s="194">
        <f>Synthèse!H132</f>
        <v>114816.92213893833</v>
      </c>
      <c r="J133" s="380" t="s">
        <v>522</v>
      </c>
      <c r="K133" s="380" t="s">
        <v>522</v>
      </c>
    </row>
    <row r="134" spans="1:11" s="197" customFormat="1" ht="15" x14ac:dyDescent="0.25">
      <c r="A134" s="85">
        <f>Données!A134</f>
        <v>5632</v>
      </c>
      <c r="B134" s="308" t="str">
        <f>Données!B134</f>
        <v>Denges</v>
      </c>
      <c r="C134" s="194">
        <f>Synthèse!G133</f>
        <v>1359760.3835896291</v>
      </c>
      <c r="D134" s="371" t="s">
        <v>522</v>
      </c>
      <c r="E134" s="372" t="s">
        <v>522</v>
      </c>
      <c r="F134" s="193">
        <f>Synthèse!F133</f>
        <v>956852.5101314676</v>
      </c>
      <c r="G134" s="376" t="s">
        <v>522</v>
      </c>
      <c r="H134" s="376" t="s">
        <v>522</v>
      </c>
      <c r="I134" s="194">
        <f>Synthèse!H133</f>
        <v>250985.37619092339</v>
      </c>
      <c r="J134" s="380" t="s">
        <v>522</v>
      </c>
      <c r="K134" s="380" t="s">
        <v>522</v>
      </c>
    </row>
    <row r="135" spans="1:11" s="197" customFormat="1" ht="15" x14ac:dyDescent="0.25">
      <c r="A135" s="85">
        <f>Données!A135</f>
        <v>5633</v>
      </c>
      <c r="B135" s="308" t="str">
        <f>Données!B135</f>
        <v>Echandens</v>
      </c>
      <c r="C135" s="194">
        <f>Synthèse!G134</f>
        <v>2565082.0533627272</v>
      </c>
      <c r="D135" s="371" t="s">
        <v>522</v>
      </c>
      <c r="E135" s="372" t="s">
        <v>522</v>
      </c>
      <c r="F135" s="193">
        <f>Synthèse!F134</f>
        <v>1272183.0180766704</v>
      </c>
      <c r="G135" s="376" t="s">
        <v>522</v>
      </c>
      <c r="H135" s="376" t="s">
        <v>522</v>
      </c>
      <c r="I135" s="194">
        <f>Synthèse!H134</f>
        <v>440872.73664238892</v>
      </c>
      <c r="J135" s="380" t="s">
        <v>522</v>
      </c>
      <c r="K135" s="380" t="s">
        <v>522</v>
      </c>
    </row>
    <row r="136" spans="1:11" s="197" customFormat="1" ht="15" x14ac:dyDescent="0.25">
      <c r="A136" s="85">
        <f>Données!A136</f>
        <v>5634</v>
      </c>
      <c r="B136" s="308" t="str">
        <f>Données!B136</f>
        <v>Echichens</v>
      </c>
      <c r="C136" s="194">
        <f>Synthèse!G135</f>
        <v>3596430.6908704145</v>
      </c>
      <c r="D136" s="371" t="s">
        <v>522</v>
      </c>
      <c r="E136" s="372" t="s">
        <v>522</v>
      </c>
      <c r="F136" s="193">
        <f>Synthèse!F135</f>
        <v>2550528.796567807</v>
      </c>
      <c r="G136" s="376" t="s">
        <v>522</v>
      </c>
      <c r="H136" s="376" t="s">
        <v>522</v>
      </c>
      <c r="I136" s="194">
        <f>Synthèse!H135</f>
        <v>510424.18478470197</v>
      </c>
      <c r="J136" s="380" t="s">
        <v>522</v>
      </c>
      <c r="K136" s="380" t="s">
        <v>522</v>
      </c>
    </row>
    <row r="137" spans="1:11" s="197" customFormat="1" ht="15" x14ac:dyDescent="0.25">
      <c r="A137" s="85">
        <f>Données!A137</f>
        <v>5635</v>
      </c>
      <c r="B137" s="308" t="str">
        <f>Données!B137</f>
        <v>Ecublens</v>
      </c>
      <c r="C137" s="194">
        <f>Synthèse!G136</f>
        <v>8737752.8818665594</v>
      </c>
      <c r="D137" s="371" t="s">
        <v>522</v>
      </c>
      <c r="E137" s="372" t="s">
        <v>522</v>
      </c>
      <c r="F137" s="193">
        <f>Synthèse!F136</f>
        <v>-3628616.2197668795</v>
      </c>
      <c r="G137" s="376" t="s">
        <v>522</v>
      </c>
      <c r="H137" s="376" t="s">
        <v>522</v>
      </c>
      <c r="I137" s="194">
        <f>Synthèse!H136</f>
        <v>640391.65340966638</v>
      </c>
      <c r="J137" s="380" t="s">
        <v>522</v>
      </c>
      <c r="K137" s="380" t="s">
        <v>522</v>
      </c>
    </row>
    <row r="138" spans="1:11" s="197" customFormat="1" ht="15" x14ac:dyDescent="0.25">
      <c r="A138" s="85">
        <f>Données!A138</f>
        <v>5636</v>
      </c>
      <c r="B138" s="308" t="str">
        <f>Données!B138</f>
        <v>Etoy</v>
      </c>
      <c r="C138" s="194">
        <f>Synthèse!G137</f>
        <v>3999255.4663687916</v>
      </c>
      <c r="D138" s="371" t="s">
        <v>522</v>
      </c>
      <c r="E138" s="372" t="s">
        <v>522</v>
      </c>
      <c r="F138" s="193">
        <f>Synthèse!F137</f>
        <v>2870534.9926266745</v>
      </c>
      <c r="G138" s="376" t="s">
        <v>522</v>
      </c>
      <c r="H138" s="376" t="s">
        <v>522</v>
      </c>
      <c r="I138" s="194">
        <f>Synthèse!H137</f>
        <v>494152.62505211728</v>
      </c>
      <c r="J138" s="380" t="s">
        <v>522</v>
      </c>
      <c r="K138" s="380" t="s">
        <v>522</v>
      </c>
    </row>
    <row r="139" spans="1:11" s="197" customFormat="1" ht="15" x14ac:dyDescent="0.25">
      <c r="A139" s="85">
        <f>Données!A139</f>
        <v>5637</v>
      </c>
      <c r="B139" s="308" t="str">
        <f>Données!B139</f>
        <v>Lavigny</v>
      </c>
      <c r="C139" s="194">
        <f>Synthèse!G138</f>
        <v>646557.49862084584</v>
      </c>
      <c r="D139" s="371" t="s">
        <v>522</v>
      </c>
      <c r="E139" s="372" t="s">
        <v>522</v>
      </c>
      <c r="F139" s="193">
        <f>Synthèse!F138</f>
        <v>11522.408708982402</v>
      </c>
      <c r="G139" s="376" t="s">
        <v>522</v>
      </c>
      <c r="H139" s="376" t="s">
        <v>522</v>
      </c>
      <c r="I139" s="194">
        <f>Synthèse!H138</f>
        <v>111920.82592022157</v>
      </c>
      <c r="J139" s="380" t="s">
        <v>522</v>
      </c>
      <c r="K139" s="380" t="s">
        <v>522</v>
      </c>
    </row>
    <row r="140" spans="1:11" s="197" customFormat="1" ht="15" x14ac:dyDescent="0.25">
      <c r="A140" s="85">
        <f>Données!A140</f>
        <v>5638</v>
      </c>
      <c r="B140" s="308" t="str">
        <f>Données!B140</f>
        <v>Lonay</v>
      </c>
      <c r="C140" s="194">
        <f>Synthèse!G139</f>
        <v>5354294.2762010815</v>
      </c>
      <c r="D140" s="371" t="s">
        <v>522</v>
      </c>
      <c r="E140" s="372" t="s">
        <v>522</v>
      </c>
      <c r="F140" s="193">
        <f>Synthèse!F139</f>
        <v>1781809.3394228134</v>
      </c>
      <c r="G140" s="376" t="s">
        <v>522</v>
      </c>
      <c r="H140" s="376" t="s">
        <v>522</v>
      </c>
      <c r="I140" s="194">
        <f>Synthèse!H139</f>
        <v>426857.90138950926</v>
      </c>
      <c r="J140" s="380" t="s">
        <v>522</v>
      </c>
      <c r="K140" s="380" t="s">
        <v>522</v>
      </c>
    </row>
    <row r="141" spans="1:11" s="197" customFormat="1" ht="15" x14ac:dyDescent="0.25">
      <c r="A141" s="85">
        <f>Données!A141</f>
        <v>5639</v>
      </c>
      <c r="B141" s="308" t="str">
        <f>Données!B141</f>
        <v>Lully</v>
      </c>
      <c r="C141" s="194">
        <f>Synthèse!G140</f>
        <v>954438.22575470852</v>
      </c>
      <c r="D141" s="371" t="s">
        <v>522</v>
      </c>
      <c r="E141" s="372" t="s">
        <v>522</v>
      </c>
      <c r="F141" s="193">
        <f>Synthèse!F140</f>
        <v>915905.74262261565</v>
      </c>
      <c r="G141" s="376" t="s">
        <v>522</v>
      </c>
      <c r="H141" s="376" t="s">
        <v>522</v>
      </c>
      <c r="I141" s="194">
        <f>Synthèse!H140</f>
        <v>137580.45534443608</v>
      </c>
      <c r="J141" s="380" t="s">
        <v>522</v>
      </c>
      <c r="K141" s="380" t="s">
        <v>522</v>
      </c>
    </row>
    <row r="142" spans="1:11" s="197" customFormat="1" ht="15" x14ac:dyDescent="0.25">
      <c r="A142" s="85">
        <f>Données!A142</f>
        <v>5640</v>
      </c>
      <c r="B142" s="308" t="str">
        <f>Données!B142</f>
        <v>Lussy-sur-Morges</v>
      </c>
      <c r="C142" s="194">
        <f>Synthèse!G141</f>
        <v>1399494.9925720869</v>
      </c>
      <c r="D142" s="371" t="s">
        <v>522</v>
      </c>
      <c r="E142" s="372" t="s">
        <v>522</v>
      </c>
      <c r="F142" s="193">
        <f>Synthèse!F141</f>
        <v>1036760.3748612895</v>
      </c>
      <c r="G142" s="376" t="s">
        <v>522</v>
      </c>
      <c r="H142" s="376" t="s">
        <v>522</v>
      </c>
      <c r="I142" s="194">
        <f>Synthèse!H141</f>
        <v>71683.558496623154</v>
      </c>
      <c r="J142" s="380" t="s">
        <v>522</v>
      </c>
      <c r="K142" s="380" t="s">
        <v>522</v>
      </c>
    </row>
    <row r="143" spans="1:11" s="197" customFormat="1" ht="15" x14ac:dyDescent="0.25">
      <c r="A143" s="85">
        <f>Données!A143</f>
        <v>5642</v>
      </c>
      <c r="B143" s="308" t="str">
        <f>Données!B143</f>
        <v>Morges</v>
      </c>
      <c r="C143" s="194">
        <f>Synthèse!G142</f>
        <v>16129945.970728921</v>
      </c>
      <c r="D143" s="371" t="s">
        <v>522</v>
      </c>
      <c r="E143" s="372" t="s">
        <v>522</v>
      </c>
      <c r="F143" s="193">
        <f>Synthèse!F142</f>
        <v>3350794.6737710834</v>
      </c>
      <c r="G143" s="376" t="s">
        <v>522</v>
      </c>
      <c r="H143" s="376" t="s">
        <v>522</v>
      </c>
      <c r="I143" s="194">
        <f>Synthèse!H142</f>
        <v>1142420.3806255744</v>
      </c>
      <c r="J143" s="380" t="s">
        <v>522</v>
      </c>
      <c r="K143" s="380" t="s">
        <v>522</v>
      </c>
    </row>
    <row r="144" spans="1:11" s="197" customFormat="1" ht="15" x14ac:dyDescent="0.25">
      <c r="A144" s="85">
        <f>Données!A144</f>
        <v>5643</v>
      </c>
      <c r="B144" s="308" t="str">
        <f>Données!B144</f>
        <v>Préverenges</v>
      </c>
      <c r="C144" s="194">
        <f>Synthèse!G143</f>
        <v>3814561.1349742431</v>
      </c>
      <c r="D144" s="371" t="s">
        <v>522</v>
      </c>
      <c r="E144" s="372" t="s">
        <v>522</v>
      </c>
      <c r="F144" s="193">
        <f>Synthèse!F143</f>
        <v>2907630.1409950387</v>
      </c>
      <c r="G144" s="376" t="s">
        <v>522</v>
      </c>
      <c r="H144" s="376" t="s">
        <v>522</v>
      </c>
      <c r="I144" s="194">
        <f>Synthèse!H143</f>
        <v>313580.84614048846</v>
      </c>
      <c r="J144" s="380" t="s">
        <v>522</v>
      </c>
      <c r="K144" s="380" t="s">
        <v>522</v>
      </c>
    </row>
    <row r="145" spans="1:11" s="197" customFormat="1" ht="15" x14ac:dyDescent="0.25">
      <c r="A145" s="85">
        <f>Données!A145</f>
        <v>5645</v>
      </c>
      <c r="B145" s="308" t="str">
        <f>Données!B145</f>
        <v>Romanel-sur-Morges</v>
      </c>
      <c r="C145" s="194">
        <f>Synthèse!G144</f>
        <v>378931.62310470839</v>
      </c>
      <c r="D145" s="371" t="s">
        <v>522</v>
      </c>
      <c r="E145" s="372" t="s">
        <v>522</v>
      </c>
      <c r="F145" s="193">
        <f>Synthèse!F144</f>
        <v>378795.77556290495</v>
      </c>
      <c r="G145" s="376" t="s">
        <v>522</v>
      </c>
      <c r="H145" s="376" t="s">
        <v>522</v>
      </c>
      <c r="I145" s="194">
        <f>Synthèse!H144</f>
        <v>69883.523976689918</v>
      </c>
      <c r="J145" s="380" t="s">
        <v>522</v>
      </c>
      <c r="K145" s="380" t="s">
        <v>522</v>
      </c>
    </row>
    <row r="146" spans="1:11" s="197" customFormat="1" ht="15" x14ac:dyDescent="0.25">
      <c r="A146" s="85">
        <f>Données!A146</f>
        <v>5646</v>
      </c>
      <c r="B146" s="308" t="str">
        <f>Données!B146</f>
        <v>Saint-Prex</v>
      </c>
      <c r="C146" s="194">
        <f>Synthèse!G145</f>
        <v>12210377.790956635</v>
      </c>
      <c r="D146" s="371" t="s">
        <v>522</v>
      </c>
      <c r="E146" s="372" t="s">
        <v>522</v>
      </c>
      <c r="F146" s="193">
        <f>Synthèse!F145</f>
        <v>7637978.3724266198</v>
      </c>
      <c r="G146" s="376" t="s">
        <v>522</v>
      </c>
      <c r="H146" s="376" t="s">
        <v>522</v>
      </c>
      <c r="I146" s="194">
        <f>Synthèse!H145</f>
        <v>639574.0747694833</v>
      </c>
      <c r="J146" s="380" t="s">
        <v>522</v>
      </c>
      <c r="K146" s="380" t="s">
        <v>522</v>
      </c>
    </row>
    <row r="147" spans="1:11" s="197" customFormat="1" ht="15" x14ac:dyDescent="0.25">
      <c r="A147" s="85">
        <f>Données!A147</f>
        <v>5648</v>
      </c>
      <c r="B147" s="308" t="str">
        <f>Données!B147</f>
        <v>Saint-Sulpice</v>
      </c>
      <c r="C147" s="194">
        <f>Synthèse!G146</f>
        <v>9026565.5440895576</v>
      </c>
      <c r="D147" s="371" t="s">
        <v>522</v>
      </c>
      <c r="E147" s="372" t="s">
        <v>522</v>
      </c>
      <c r="F147" s="193">
        <f>Synthèse!F146</f>
        <v>6235979.596741735</v>
      </c>
      <c r="G147" s="376" t="s">
        <v>522</v>
      </c>
      <c r="H147" s="376" t="s">
        <v>522</v>
      </c>
      <c r="I147" s="194">
        <f>Synthèse!H146</f>
        <v>517460.37362118822</v>
      </c>
      <c r="J147" s="380" t="s">
        <v>522</v>
      </c>
      <c r="K147" s="380" t="s">
        <v>522</v>
      </c>
    </row>
    <row r="148" spans="1:11" s="197" customFormat="1" ht="15" x14ac:dyDescent="0.25">
      <c r="A148" s="85">
        <f>Données!A148</f>
        <v>5649</v>
      </c>
      <c r="B148" s="308" t="str">
        <f>Données!B148</f>
        <v>Tolochenaz</v>
      </c>
      <c r="C148" s="194">
        <f>Synthèse!G147</f>
        <v>11661967.85443384</v>
      </c>
      <c r="D148" s="371" t="s">
        <v>522</v>
      </c>
      <c r="E148" s="372" t="s">
        <v>522</v>
      </c>
      <c r="F148" s="193">
        <f>Synthèse!F147</f>
        <v>4665789.2255661599</v>
      </c>
      <c r="G148" s="376" t="s">
        <v>522</v>
      </c>
      <c r="H148" s="376" t="s">
        <v>522</v>
      </c>
      <c r="I148" s="194">
        <f>Synthèse!H147</f>
        <v>409034.9919935143</v>
      </c>
      <c r="J148" s="380" t="s">
        <v>522</v>
      </c>
      <c r="K148" s="380" t="s">
        <v>522</v>
      </c>
    </row>
    <row r="149" spans="1:11" s="197" customFormat="1" ht="15" x14ac:dyDescent="0.25">
      <c r="A149" s="85">
        <f>Données!A149</f>
        <v>5650</v>
      </c>
      <c r="B149" s="308" t="str">
        <f>Données!B149</f>
        <v>Vaux-sur-Morges</v>
      </c>
      <c r="C149" s="194">
        <f>Synthèse!G148</f>
        <v>3702468.1175947217</v>
      </c>
      <c r="D149" s="371" t="s">
        <v>522</v>
      </c>
      <c r="E149" s="372" t="s">
        <v>522</v>
      </c>
      <c r="F149" s="193">
        <f>Synthèse!F148</f>
        <v>653370.70811956492</v>
      </c>
      <c r="G149" s="376" t="s">
        <v>522</v>
      </c>
      <c r="H149" s="376" t="s">
        <v>522</v>
      </c>
      <c r="I149" s="194">
        <f>Synthèse!H148</f>
        <v>128496.23238096014</v>
      </c>
      <c r="J149" s="380" t="s">
        <v>522</v>
      </c>
      <c r="K149" s="380" t="s">
        <v>522</v>
      </c>
    </row>
    <row r="150" spans="1:11" s="197" customFormat="1" ht="15" x14ac:dyDescent="0.25">
      <c r="A150" s="85">
        <f>Données!A150</f>
        <v>5651</v>
      </c>
      <c r="B150" s="308" t="str">
        <f>Données!B150</f>
        <v>Villars-Sainte-Croix</v>
      </c>
      <c r="C150" s="194">
        <f>Synthèse!G149</f>
        <v>1017181.7651475638</v>
      </c>
      <c r="D150" s="371" t="s">
        <v>522</v>
      </c>
      <c r="E150" s="372" t="s">
        <v>522</v>
      </c>
      <c r="F150" s="193">
        <f>Synthèse!F149</f>
        <v>866733.11054335348</v>
      </c>
      <c r="G150" s="376" t="s">
        <v>522</v>
      </c>
      <c r="H150" s="376" t="s">
        <v>522</v>
      </c>
      <c r="I150" s="194">
        <f>Synthèse!H149</f>
        <v>69204.380948963313</v>
      </c>
      <c r="J150" s="380" t="s">
        <v>522</v>
      </c>
      <c r="K150" s="380" t="s">
        <v>522</v>
      </c>
    </row>
    <row r="151" spans="1:11" s="197" customFormat="1" ht="15" x14ac:dyDescent="0.25">
      <c r="A151" s="85">
        <f>Données!A151</f>
        <v>5652</v>
      </c>
      <c r="B151" s="308" t="str">
        <f>Données!B151</f>
        <v>Villars-sous-Yens</v>
      </c>
      <c r="C151" s="194">
        <f>Synthèse!G150</f>
        <v>570082.36811879207</v>
      </c>
      <c r="D151" s="371" t="s">
        <v>522</v>
      </c>
      <c r="E151" s="372" t="s">
        <v>522</v>
      </c>
      <c r="F151" s="193">
        <f>Synthèse!F150</f>
        <v>159658.61273127922</v>
      </c>
      <c r="G151" s="376" t="s">
        <v>522</v>
      </c>
      <c r="H151" s="376" t="s">
        <v>522</v>
      </c>
      <c r="I151" s="194">
        <f>Synthèse!H150</f>
        <v>81027.071220858779</v>
      </c>
      <c r="J151" s="380" t="s">
        <v>522</v>
      </c>
      <c r="K151" s="380" t="s">
        <v>522</v>
      </c>
    </row>
    <row r="152" spans="1:11" s="197" customFormat="1" ht="15" x14ac:dyDescent="0.25">
      <c r="A152" s="85">
        <f>Données!A152</f>
        <v>5653</v>
      </c>
      <c r="B152" s="308" t="str">
        <f>Données!B152</f>
        <v>Vufflens-le-Château</v>
      </c>
      <c r="C152" s="194">
        <f>Synthèse!G151</f>
        <v>1578188.5557567084</v>
      </c>
      <c r="D152" s="371" t="s">
        <v>522</v>
      </c>
      <c r="E152" s="372" t="s">
        <v>522</v>
      </c>
      <c r="F152" s="193">
        <f>Synthèse!F151</f>
        <v>1282698.2919277514</v>
      </c>
      <c r="G152" s="376" t="s">
        <v>522</v>
      </c>
      <c r="H152" s="376" t="s">
        <v>522</v>
      </c>
      <c r="I152" s="194">
        <f>Synthèse!H151</f>
        <v>166490.16164145875</v>
      </c>
      <c r="J152" s="380" t="s">
        <v>522</v>
      </c>
      <c r="K152" s="380" t="s">
        <v>522</v>
      </c>
    </row>
    <row r="153" spans="1:11" s="197" customFormat="1" ht="15" x14ac:dyDescent="0.25">
      <c r="A153" s="85">
        <f>Données!A153</f>
        <v>5654</v>
      </c>
      <c r="B153" s="308" t="str">
        <f>Données!B153</f>
        <v>Vullierens</v>
      </c>
      <c r="C153" s="194">
        <f>Synthèse!G152</f>
        <v>300779.2401016095</v>
      </c>
      <c r="D153" s="371" t="s">
        <v>522</v>
      </c>
      <c r="E153" s="372" t="s">
        <v>522</v>
      </c>
      <c r="F153" s="193">
        <f>Synthèse!F152</f>
        <v>146060.17431923756</v>
      </c>
      <c r="G153" s="376" t="s">
        <v>522</v>
      </c>
      <c r="H153" s="376" t="s">
        <v>522</v>
      </c>
      <c r="I153" s="194">
        <f>Synthèse!H152</f>
        <v>64138.634327411004</v>
      </c>
      <c r="J153" s="380" t="s">
        <v>522</v>
      </c>
      <c r="K153" s="380" t="s">
        <v>522</v>
      </c>
    </row>
    <row r="154" spans="1:11" s="197" customFormat="1" ht="15" x14ac:dyDescent="0.25">
      <c r="A154" s="85">
        <f>Données!A154</f>
        <v>5655</v>
      </c>
      <c r="B154" s="308" t="str">
        <f>Données!B154</f>
        <v>Yens</v>
      </c>
      <c r="C154" s="194">
        <f>Synthèse!G153</f>
        <v>1492248.5682699499</v>
      </c>
      <c r="D154" s="371" t="s">
        <v>522</v>
      </c>
      <c r="E154" s="372" t="s">
        <v>522</v>
      </c>
      <c r="F154" s="193">
        <f>Synthèse!F153</f>
        <v>1277890.5772203486</v>
      </c>
      <c r="G154" s="376" t="s">
        <v>522</v>
      </c>
      <c r="H154" s="376" t="s">
        <v>522</v>
      </c>
      <c r="I154" s="194">
        <f>Synthèse!H153</f>
        <v>234546.31894992891</v>
      </c>
      <c r="J154" s="380" t="s">
        <v>522</v>
      </c>
      <c r="K154" s="380" t="s">
        <v>522</v>
      </c>
    </row>
    <row r="155" spans="1:11" s="197" customFormat="1" ht="15" x14ac:dyDescent="0.25">
      <c r="A155" s="85">
        <f>Données!A155</f>
        <v>5656</v>
      </c>
      <c r="B155" s="308" t="str">
        <f>Données!B155</f>
        <v>Hautemorges</v>
      </c>
      <c r="C155" s="194">
        <f>Synthèse!G154</f>
        <v>2718596.784901164</v>
      </c>
      <c r="D155" s="371" t="s">
        <v>522</v>
      </c>
      <c r="E155" s="372" t="s">
        <v>522</v>
      </c>
      <c r="F155" s="193">
        <f>Synthèse!F154</f>
        <v>73799.016485889442</v>
      </c>
      <c r="G155" s="376" t="s">
        <v>522</v>
      </c>
      <c r="H155" s="376" t="s">
        <v>522</v>
      </c>
      <c r="I155" s="194">
        <f>Synthèse!H154</f>
        <v>522223.74003663473</v>
      </c>
      <c r="J155" s="380" t="s">
        <v>522</v>
      </c>
      <c r="K155" s="380" t="s">
        <v>522</v>
      </c>
    </row>
    <row r="156" spans="1:11" s="197" customFormat="1" ht="15" x14ac:dyDescent="0.25">
      <c r="A156" s="85">
        <f>Données!A156</f>
        <v>5661</v>
      </c>
      <c r="B156" s="308" t="str">
        <f>Données!B156</f>
        <v>Boulens</v>
      </c>
      <c r="C156" s="194">
        <f>Synthèse!G155</f>
        <v>150985.22560060097</v>
      </c>
      <c r="D156" s="371" t="s">
        <v>522</v>
      </c>
      <c r="E156" s="372" t="s">
        <v>522</v>
      </c>
      <c r="F156" s="193">
        <f>Synthèse!F155</f>
        <v>1325.4881054304715</v>
      </c>
      <c r="G156" s="376" t="s">
        <v>522</v>
      </c>
      <c r="H156" s="376" t="s">
        <v>522</v>
      </c>
      <c r="I156" s="194">
        <f>Synthèse!H155</f>
        <v>33982.911785118253</v>
      </c>
      <c r="J156" s="380" t="s">
        <v>522</v>
      </c>
      <c r="K156" s="380" t="s">
        <v>522</v>
      </c>
    </row>
    <row r="157" spans="1:11" s="197" customFormat="1" ht="15" x14ac:dyDescent="0.25">
      <c r="A157" s="85">
        <f>Données!A157</f>
        <v>5663</v>
      </c>
      <c r="B157" s="308" t="str">
        <f>Données!B157</f>
        <v>Bussy-sur-Moudon</v>
      </c>
      <c r="C157" s="194">
        <f>Synthèse!G156</f>
        <v>101427.4054365437</v>
      </c>
      <c r="D157" s="371" t="s">
        <v>522</v>
      </c>
      <c r="E157" s="372" t="s">
        <v>522</v>
      </c>
      <c r="F157" s="193">
        <f>Synthèse!F156</f>
        <v>-36395.860150332432</v>
      </c>
      <c r="G157" s="376" t="s">
        <v>522</v>
      </c>
      <c r="H157" s="376" t="s">
        <v>522</v>
      </c>
      <c r="I157" s="194">
        <f>Synthèse!H156</f>
        <v>20054.166358461582</v>
      </c>
      <c r="J157" s="380" t="s">
        <v>522</v>
      </c>
      <c r="K157" s="380" t="s">
        <v>522</v>
      </c>
    </row>
    <row r="158" spans="1:11" s="197" customFormat="1" ht="15" x14ac:dyDescent="0.25">
      <c r="A158" s="85">
        <f>Données!A158</f>
        <v>5665</v>
      </c>
      <c r="B158" s="308" t="str">
        <f>Données!B158</f>
        <v>Chavannes-sur-Moudon</v>
      </c>
      <c r="C158" s="194">
        <f>Synthèse!G157</f>
        <v>98571.842001885583</v>
      </c>
      <c r="D158" s="371" t="s">
        <v>522</v>
      </c>
      <c r="E158" s="372" t="s">
        <v>522</v>
      </c>
      <c r="F158" s="193">
        <f>Synthèse!F157</f>
        <v>-31219.703109805661</v>
      </c>
      <c r="G158" s="376" t="s">
        <v>522</v>
      </c>
      <c r="H158" s="376" t="s">
        <v>522</v>
      </c>
      <c r="I158" s="194">
        <f>Synthèse!H157</f>
        <v>17935.425955164657</v>
      </c>
      <c r="J158" s="380" t="s">
        <v>522</v>
      </c>
      <c r="K158" s="380" t="s">
        <v>522</v>
      </c>
    </row>
    <row r="159" spans="1:11" s="197" customFormat="1" ht="15" x14ac:dyDescent="0.25">
      <c r="A159" s="85">
        <f>Données!A159</f>
        <v>5669</v>
      </c>
      <c r="B159" s="308" t="str">
        <f>Données!B159</f>
        <v>Curtilles</v>
      </c>
      <c r="C159" s="194">
        <f>Synthèse!G158</f>
        <v>110511.4243076206</v>
      </c>
      <c r="D159" s="371" t="s">
        <v>522</v>
      </c>
      <c r="E159" s="372" t="s">
        <v>522</v>
      </c>
      <c r="F159" s="193">
        <f>Synthèse!F158</f>
        <v>6377.9025015257939</v>
      </c>
      <c r="G159" s="376" t="s">
        <v>522</v>
      </c>
      <c r="H159" s="376" t="s">
        <v>522</v>
      </c>
      <c r="I159" s="194">
        <f>Synthèse!H158</f>
        <v>25980.538586141731</v>
      </c>
      <c r="J159" s="380" t="s">
        <v>522</v>
      </c>
      <c r="K159" s="380" t="s">
        <v>522</v>
      </c>
    </row>
    <row r="160" spans="1:11" s="197" customFormat="1" ht="15" x14ac:dyDescent="0.25">
      <c r="A160" s="85">
        <f>Données!A160</f>
        <v>5671</v>
      </c>
      <c r="B160" s="308" t="str">
        <f>Données!B160</f>
        <v>Dompierre</v>
      </c>
      <c r="C160" s="194">
        <f>Synthèse!G159</f>
        <v>93634.493781141093</v>
      </c>
      <c r="D160" s="371" t="s">
        <v>522</v>
      </c>
      <c r="E160" s="372" t="s">
        <v>522</v>
      </c>
      <c r="F160" s="193">
        <f>Synthèse!F159</f>
        <v>-35478.639513305825</v>
      </c>
      <c r="G160" s="376" t="s">
        <v>522</v>
      </c>
      <c r="H160" s="376" t="s">
        <v>522</v>
      </c>
      <c r="I160" s="194">
        <f>Synthèse!H159</f>
        <v>20921.996568220653</v>
      </c>
      <c r="J160" s="380" t="s">
        <v>522</v>
      </c>
      <c r="K160" s="380" t="s">
        <v>522</v>
      </c>
    </row>
    <row r="161" spans="1:11" s="197" customFormat="1" ht="15" x14ac:dyDescent="0.25">
      <c r="A161" s="85">
        <f>Données!A161</f>
        <v>5673</v>
      </c>
      <c r="B161" s="308" t="str">
        <f>Données!B161</f>
        <v>Hermenches</v>
      </c>
      <c r="C161" s="194">
        <f>Synthèse!G160</f>
        <v>153961.19904510904</v>
      </c>
      <c r="D161" s="371" t="s">
        <v>522</v>
      </c>
      <c r="E161" s="372" t="s">
        <v>522</v>
      </c>
      <c r="F161" s="193">
        <f>Synthèse!F160</f>
        <v>-111001.89531650901</v>
      </c>
      <c r="G161" s="376" t="s">
        <v>522</v>
      </c>
      <c r="H161" s="376" t="s">
        <v>522</v>
      </c>
      <c r="I161" s="194">
        <f>Synthèse!H160</f>
        <v>29944.375276470368</v>
      </c>
      <c r="J161" s="380" t="s">
        <v>522</v>
      </c>
      <c r="K161" s="380" t="s">
        <v>522</v>
      </c>
    </row>
    <row r="162" spans="1:11" s="197" customFormat="1" ht="15" x14ac:dyDescent="0.25">
      <c r="A162" s="85">
        <f>Données!A162</f>
        <v>5674</v>
      </c>
      <c r="B162" s="308" t="str">
        <f>Données!B162</f>
        <v>Lovatens</v>
      </c>
      <c r="C162" s="194">
        <f>Synthèse!G161</f>
        <v>63206.018218110912</v>
      </c>
      <c r="D162" s="371" t="s">
        <v>522</v>
      </c>
      <c r="E162" s="372" t="s">
        <v>522</v>
      </c>
      <c r="F162" s="193">
        <f>Synthèse!F161</f>
        <v>-42785.893636277426</v>
      </c>
      <c r="G162" s="376" t="s">
        <v>522</v>
      </c>
      <c r="H162" s="376" t="s">
        <v>522</v>
      </c>
      <c r="I162" s="194">
        <f>Synthèse!H161</f>
        <v>10902.209606529173</v>
      </c>
      <c r="J162" s="380" t="s">
        <v>522</v>
      </c>
      <c r="K162" s="380" t="s">
        <v>522</v>
      </c>
    </row>
    <row r="163" spans="1:11" s="197" customFormat="1" ht="15" x14ac:dyDescent="0.25">
      <c r="A163" s="85">
        <f>Données!A163</f>
        <v>5675</v>
      </c>
      <c r="B163" s="308" t="str">
        <f>Données!B163</f>
        <v>Lucens</v>
      </c>
      <c r="C163" s="194">
        <f>Synthèse!G162</f>
        <v>1551475.586513475</v>
      </c>
      <c r="D163" s="371" t="s">
        <v>522</v>
      </c>
      <c r="E163" s="372" t="s">
        <v>522</v>
      </c>
      <c r="F163" s="193">
        <f>Synthèse!F162</f>
        <v>-2744604.029907689</v>
      </c>
      <c r="G163" s="376" t="s">
        <v>522</v>
      </c>
      <c r="H163" s="376" t="s">
        <v>522</v>
      </c>
      <c r="I163" s="194">
        <f>Synthèse!H162</f>
        <v>279827.49891323148</v>
      </c>
      <c r="J163" s="380" t="s">
        <v>522</v>
      </c>
      <c r="K163" s="380" t="s">
        <v>522</v>
      </c>
    </row>
    <row r="164" spans="1:11" s="197" customFormat="1" ht="15" x14ac:dyDescent="0.25">
      <c r="A164" s="85">
        <f>Données!A164</f>
        <v>5678</v>
      </c>
      <c r="B164" s="308" t="str">
        <f>Données!B164</f>
        <v>Moudon</v>
      </c>
      <c r="C164" s="194">
        <f>Synthèse!G163</f>
        <v>2204973.2473519617</v>
      </c>
      <c r="D164" s="371" t="s">
        <v>522</v>
      </c>
      <c r="E164" s="372" t="s">
        <v>522</v>
      </c>
      <c r="F164" s="193">
        <f>Synthèse!F163</f>
        <v>-4816137.1694761012</v>
      </c>
      <c r="G164" s="376" t="s">
        <v>522</v>
      </c>
      <c r="H164" s="376" t="s">
        <v>522</v>
      </c>
      <c r="I164" s="194">
        <f>Synthèse!H163</f>
        <v>396569.65950197878</v>
      </c>
      <c r="J164" s="380" t="s">
        <v>522</v>
      </c>
      <c r="K164" s="380" t="s">
        <v>522</v>
      </c>
    </row>
    <row r="165" spans="1:11" s="197" customFormat="1" ht="15" x14ac:dyDescent="0.25">
      <c r="A165" s="85">
        <f>Données!A165</f>
        <v>5680</v>
      </c>
      <c r="B165" s="308" t="str">
        <f>Données!B165</f>
        <v>Ogens</v>
      </c>
      <c r="C165" s="194">
        <f>Synthèse!G164</f>
        <v>200901.44167239481</v>
      </c>
      <c r="D165" s="371" t="s">
        <v>522</v>
      </c>
      <c r="E165" s="372" t="s">
        <v>522</v>
      </c>
      <c r="F165" s="193">
        <f>Synthèse!F164</f>
        <v>8462.6344961199793</v>
      </c>
      <c r="G165" s="376" t="s">
        <v>522</v>
      </c>
      <c r="H165" s="376" t="s">
        <v>522</v>
      </c>
      <c r="I165" s="194">
        <f>Synthèse!H164</f>
        <v>31207.014302569569</v>
      </c>
      <c r="J165" s="380" t="s">
        <v>522</v>
      </c>
      <c r="K165" s="380" t="s">
        <v>522</v>
      </c>
    </row>
    <row r="166" spans="1:11" s="197" customFormat="1" ht="15" x14ac:dyDescent="0.25">
      <c r="A166" s="85">
        <f>Données!A166</f>
        <v>5683</v>
      </c>
      <c r="B166" s="308" t="str">
        <f>Données!B166</f>
        <v>Prévonloup</v>
      </c>
      <c r="C166" s="194">
        <f>Synthèse!G165</f>
        <v>70319.064443199284</v>
      </c>
      <c r="D166" s="371" t="s">
        <v>522</v>
      </c>
      <c r="E166" s="372" t="s">
        <v>522</v>
      </c>
      <c r="F166" s="193">
        <f>Synthèse!F165</f>
        <v>-39651.458479115201</v>
      </c>
      <c r="G166" s="376" t="s">
        <v>522</v>
      </c>
      <c r="H166" s="376" t="s">
        <v>522</v>
      </c>
      <c r="I166" s="194">
        <f>Synthèse!H165</f>
        <v>15857.748895936897</v>
      </c>
      <c r="J166" s="380" t="s">
        <v>522</v>
      </c>
      <c r="K166" s="380" t="s">
        <v>522</v>
      </c>
    </row>
    <row r="167" spans="1:11" s="197" customFormat="1" ht="15" x14ac:dyDescent="0.25">
      <c r="A167" s="85">
        <f>Données!A167</f>
        <v>5684</v>
      </c>
      <c r="B167" s="308" t="str">
        <f>Données!B167</f>
        <v>Rossenges</v>
      </c>
      <c r="C167" s="194">
        <f>Synthèse!G166</f>
        <v>52706.818472281338</v>
      </c>
      <c r="D167" s="371" t="s">
        <v>522</v>
      </c>
      <c r="E167" s="372" t="s">
        <v>522</v>
      </c>
      <c r="F167" s="193">
        <f>Synthèse!F166</f>
        <v>43377.848692916697</v>
      </c>
      <c r="G167" s="376" t="s">
        <v>522</v>
      </c>
      <c r="H167" s="376" t="s">
        <v>522</v>
      </c>
      <c r="I167" s="194">
        <f>Synthèse!H166</f>
        <v>11627.438163171071</v>
      </c>
      <c r="J167" s="380" t="s">
        <v>522</v>
      </c>
      <c r="K167" s="380" t="s">
        <v>522</v>
      </c>
    </row>
    <row r="168" spans="1:11" s="197" customFormat="1" ht="15" x14ac:dyDescent="0.25">
      <c r="A168" s="85">
        <f>Données!A168</f>
        <v>5688</v>
      </c>
      <c r="B168" s="308" t="str">
        <f>Données!B168</f>
        <v>Syens</v>
      </c>
      <c r="C168" s="194">
        <f>Synthèse!G167</f>
        <v>78969.191380415446</v>
      </c>
      <c r="D168" s="371" t="s">
        <v>522</v>
      </c>
      <c r="E168" s="372" t="s">
        <v>522</v>
      </c>
      <c r="F168" s="193">
        <f>Synthèse!F167</f>
        <v>20433.319610407707</v>
      </c>
      <c r="G168" s="376" t="s">
        <v>522</v>
      </c>
      <c r="H168" s="376" t="s">
        <v>522</v>
      </c>
      <c r="I168" s="194">
        <f>Synthèse!H167</f>
        <v>16341.212676605224</v>
      </c>
      <c r="J168" s="380" t="s">
        <v>522</v>
      </c>
      <c r="K168" s="380" t="s">
        <v>522</v>
      </c>
    </row>
    <row r="169" spans="1:11" s="197" customFormat="1" ht="15" x14ac:dyDescent="0.25">
      <c r="A169" s="85">
        <f>Données!A169</f>
        <v>5690</v>
      </c>
      <c r="B169" s="308" t="str">
        <f>Données!B169</f>
        <v>Villars-le-Comte</v>
      </c>
      <c r="C169" s="194">
        <f>Synthèse!G168</f>
        <v>71315.16639394057</v>
      </c>
      <c r="D169" s="371" t="s">
        <v>522</v>
      </c>
      <c r="E169" s="372" t="s">
        <v>522</v>
      </c>
      <c r="F169" s="193">
        <f>Synthèse!F168</f>
        <v>22235.052095147861</v>
      </c>
      <c r="G169" s="376" t="s">
        <v>522</v>
      </c>
      <c r="H169" s="376" t="s">
        <v>522</v>
      </c>
      <c r="I169" s="194">
        <f>Synthèse!H168</f>
        <v>13393.755197991586</v>
      </c>
      <c r="J169" s="380" t="s">
        <v>522</v>
      </c>
      <c r="K169" s="380" t="s">
        <v>522</v>
      </c>
    </row>
    <row r="170" spans="1:11" s="197" customFormat="1" ht="15" x14ac:dyDescent="0.25">
      <c r="A170" s="85">
        <f>Données!A170</f>
        <v>5692</v>
      </c>
      <c r="B170" s="308" t="str">
        <f>Données!B170</f>
        <v>Vucherens</v>
      </c>
      <c r="C170" s="194">
        <f>Synthèse!G169</f>
        <v>327932.55781421653</v>
      </c>
      <c r="D170" s="371" t="s">
        <v>522</v>
      </c>
      <c r="E170" s="372" t="s">
        <v>522</v>
      </c>
      <c r="F170" s="193">
        <f>Synthèse!F169</f>
        <v>-83326.087712355191</v>
      </c>
      <c r="G170" s="376" t="s">
        <v>522</v>
      </c>
      <c r="H170" s="376" t="s">
        <v>522</v>
      </c>
      <c r="I170" s="194">
        <f>Synthèse!H169</f>
        <v>58442.838940473375</v>
      </c>
      <c r="J170" s="380" t="s">
        <v>522</v>
      </c>
      <c r="K170" s="380" t="s">
        <v>522</v>
      </c>
    </row>
    <row r="171" spans="1:11" s="197" customFormat="1" ht="15" x14ac:dyDescent="0.25">
      <c r="A171" s="85">
        <f>Données!A171</f>
        <v>5693</v>
      </c>
      <c r="B171" s="308" t="str">
        <f>Données!B171</f>
        <v>Montanaire</v>
      </c>
      <c r="C171" s="194">
        <f>Synthèse!G170</f>
        <v>1221144.9259513277</v>
      </c>
      <c r="D171" s="371" t="s">
        <v>522</v>
      </c>
      <c r="E171" s="372" t="s">
        <v>522</v>
      </c>
      <c r="F171" s="193">
        <f>Synthèse!F170</f>
        <v>-945411.33183939452</v>
      </c>
      <c r="G171" s="376" t="s">
        <v>522</v>
      </c>
      <c r="H171" s="376" t="s">
        <v>522</v>
      </c>
      <c r="I171" s="194">
        <f>Synthèse!H170</f>
        <v>246513.26677870814</v>
      </c>
      <c r="J171" s="380" t="s">
        <v>522</v>
      </c>
      <c r="K171" s="380" t="s">
        <v>522</v>
      </c>
    </row>
    <row r="172" spans="1:11" s="197" customFormat="1" ht="15" x14ac:dyDescent="0.25">
      <c r="A172" s="85">
        <f>Données!A172</f>
        <v>5701</v>
      </c>
      <c r="B172" s="308" t="str">
        <f>Données!B172</f>
        <v>Arnex-sur-Nyon</v>
      </c>
      <c r="C172" s="194">
        <f>Synthèse!G171</f>
        <v>389590.69681230135</v>
      </c>
      <c r="D172" s="371" t="s">
        <v>522</v>
      </c>
      <c r="E172" s="372" t="s">
        <v>522</v>
      </c>
      <c r="F172" s="193">
        <f>Synthèse!F171</f>
        <v>223304.30119904072</v>
      </c>
      <c r="G172" s="376" t="s">
        <v>522</v>
      </c>
      <c r="H172" s="376" t="s">
        <v>522</v>
      </c>
      <c r="I172" s="194">
        <f>Synthèse!H171</f>
        <v>37292.740920714881</v>
      </c>
      <c r="J172" s="380" t="s">
        <v>522</v>
      </c>
      <c r="K172" s="380" t="s">
        <v>522</v>
      </c>
    </row>
    <row r="173" spans="1:11" s="197" customFormat="1" ht="15" x14ac:dyDescent="0.25">
      <c r="A173" s="85">
        <f>Données!A173</f>
        <v>5702</v>
      </c>
      <c r="B173" s="308" t="str">
        <f>Données!B173</f>
        <v>Arzier-Le Muids</v>
      </c>
      <c r="C173" s="194">
        <f>Synthèse!G172</f>
        <v>3903677.680081903</v>
      </c>
      <c r="D173" s="371" t="s">
        <v>522</v>
      </c>
      <c r="E173" s="372" t="s">
        <v>522</v>
      </c>
      <c r="F173" s="193">
        <f>Synthèse!F172</f>
        <v>2302212.3949047667</v>
      </c>
      <c r="G173" s="376" t="s">
        <v>522</v>
      </c>
      <c r="H173" s="376" t="s">
        <v>522</v>
      </c>
      <c r="I173" s="194">
        <f>Synthèse!H172</f>
        <v>493772.14928143541</v>
      </c>
      <c r="J173" s="380" t="s">
        <v>522</v>
      </c>
      <c r="K173" s="380" t="s">
        <v>522</v>
      </c>
    </row>
    <row r="174" spans="1:11" s="197" customFormat="1" ht="15" x14ac:dyDescent="0.25">
      <c r="A174" s="85">
        <f>Données!A174</f>
        <v>5703</v>
      </c>
      <c r="B174" s="308" t="str">
        <f>Données!B174</f>
        <v>Bassins</v>
      </c>
      <c r="C174" s="194">
        <f>Synthèse!G173</f>
        <v>1057257.9247790363</v>
      </c>
      <c r="D174" s="371" t="s">
        <v>522</v>
      </c>
      <c r="E174" s="372" t="s">
        <v>522</v>
      </c>
      <c r="F174" s="193">
        <f>Synthèse!F173</f>
        <v>863571.98142379837</v>
      </c>
      <c r="G174" s="376" t="s">
        <v>522</v>
      </c>
      <c r="H174" s="376" t="s">
        <v>522</v>
      </c>
      <c r="I174" s="194">
        <f>Synthèse!H173</f>
        <v>202576.08742990997</v>
      </c>
      <c r="J174" s="380" t="s">
        <v>522</v>
      </c>
      <c r="K174" s="380" t="s">
        <v>522</v>
      </c>
    </row>
    <row r="175" spans="1:11" s="197" customFormat="1" ht="15" x14ac:dyDescent="0.25">
      <c r="A175" s="85">
        <f>Données!A175</f>
        <v>5704</v>
      </c>
      <c r="B175" s="308" t="str">
        <f>Données!B175</f>
        <v>Begnins</v>
      </c>
      <c r="C175" s="194">
        <f>Synthèse!G174</f>
        <v>2538558.185131433</v>
      </c>
      <c r="D175" s="371" t="s">
        <v>522</v>
      </c>
      <c r="E175" s="372" t="s">
        <v>522</v>
      </c>
      <c r="F175" s="193">
        <f>Synthèse!F174</f>
        <v>2068245.1485493104</v>
      </c>
      <c r="G175" s="376" t="s">
        <v>522</v>
      </c>
      <c r="H175" s="376" t="s">
        <v>522</v>
      </c>
      <c r="I175" s="194">
        <f>Synthèse!H174</f>
        <v>331933.57562588924</v>
      </c>
      <c r="J175" s="380" t="s">
        <v>522</v>
      </c>
      <c r="K175" s="380" t="s">
        <v>522</v>
      </c>
    </row>
    <row r="176" spans="1:11" s="197" customFormat="1" ht="15" x14ac:dyDescent="0.25">
      <c r="A176" s="85">
        <f>Données!A176</f>
        <v>5705</v>
      </c>
      <c r="B176" s="308" t="str">
        <f>Données!B176</f>
        <v>Bogis-Bossey</v>
      </c>
      <c r="C176" s="194">
        <f>Synthèse!G175</f>
        <v>1086535.8100126053</v>
      </c>
      <c r="D176" s="371" t="s">
        <v>522</v>
      </c>
      <c r="E176" s="372" t="s">
        <v>522</v>
      </c>
      <c r="F176" s="193">
        <f>Synthèse!F175</f>
        <v>879571.83006072661</v>
      </c>
      <c r="G176" s="376" t="s">
        <v>522</v>
      </c>
      <c r="H176" s="376" t="s">
        <v>522</v>
      </c>
      <c r="I176" s="194">
        <f>Synthèse!H175</f>
        <v>144737.00701085231</v>
      </c>
      <c r="J176" s="380" t="s">
        <v>522</v>
      </c>
      <c r="K176" s="380" t="s">
        <v>522</v>
      </c>
    </row>
    <row r="177" spans="1:11" s="197" customFormat="1" ht="15" x14ac:dyDescent="0.25">
      <c r="A177" s="85">
        <f>Données!A177</f>
        <v>5706</v>
      </c>
      <c r="B177" s="308" t="str">
        <f>Données!B177</f>
        <v>Borex</v>
      </c>
      <c r="C177" s="194">
        <f>Synthèse!G176</f>
        <v>1255293.2229332095</v>
      </c>
      <c r="D177" s="371" t="s">
        <v>522</v>
      </c>
      <c r="E177" s="372" t="s">
        <v>522</v>
      </c>
      <c r="F177" s="193">
        <f>Synthèse!F176</f>
        <v>1176083.6949115768</v>
      </c>
      <c r="G177" s="376" t="s">
        <v>522</v>
      </c>
      <c r="H177" s="376" t="s">
        <v>522</v>
      </c>
      <c r="I177" s="194">
        <f>Synthèse!H176</f>
        <v>185533.35054695857</v>
      </c>
      <c r="J177" s="380" t="s">
        <v>522</v>
      </c>
      <c r="K177" s="380" t="s">
        <v>522</v>
      </c>
    </row>
    <row r="178" spans="1:11" s="197" customFormat="1" ht="15" x14ac:dyDescent="0.25">
      <c r="A178" s="85">
        <f>Données!A178</f>
        <v>5707</v>
      </c>
      <c r="B178" s="308" t="str">
        <f>Données!B178</f>
        <v>Chavannes-de-Bogis</v>
      </c>
      <c r="C178" s="194">
        <f>Synthèse!G177</f>
        <v>1953863.4101976508</v>
      </c>
      <c r="D178" s="371" t="s">
        <v>522</v>
      </c>
      <c r="E178" s="372" t="s">
        <v>522</v>
      </c>
      <c r="F178" s="193">
        <f>Synthèse!F177</f>
        <v>1455013.2743009173</v>
      </c>
      <c r="G178" s="376" t="s">
        <v>522</v>
      </c>
      <c r="H178" s="376" t="s">
        <v>522</v>
      </c>
      <c r="I178" s="194">
        <f>Synthèse!H177</f>
        <v>223581.5394083751</v>
      </c>
      <c r="J178" s="380" t="s">
        <v>522</v>
      </c>
      <c r="K178" s="380" t="s">
        <v>522</v>
      </c>
    </row>
    <row r="179" spans="1:11" s="197" customFormat="1" ht="15" x14ac:dyDescent="0.25">
      <c r="A179" s="85">
        <f>Données!A179</f>
        <v>5708</v>
      </c>
      <c r="B179" s="308" t="str">
        <f>Données!B179</f>
        <v>Chavannes-des-Bois</v>
      </c>
      <c r="C179" s="194">
        <f>Synthèse!G178</f>
        <v>1325209.2388644912</v>
      </c>
      <c r="D179" s="371" t="s">
        <v>522</v>
      </c>
      <c r="E179" s="372" t="s">
        <v>522</v>
      </c>
      <c r="F179" s="193">
        <f>Synthèse!F178</f>
        <v>1210692.8040414413</v>
      </c>
      <c r="G179" s="376" t="s">
        <v>522</v>
      </c>
      <c r="H179" s="376" t="s">
        <v>522</v>
      </c>
      <c r="I179" s="194">
        <f>Synthèse!H178</f>
        <v>175243.02206390796</v>
      </c>
      <c r="J179" s="380" t="s">
        <v>522</v>
      </c>
      <c r="K179" s="380" t="s">
        <v>522</v>
      </c>
    </row>
    <row r="180" spans="1:11" s="197" customFormat="1" ht="15" x14ac:dyDescent="0.25">
      <c r="A180" s="85">
        <f>Données!A180</f>
        <v>5709</v>
      </c>
      <c r="B180" s="308" t="str">
        <f>Données!B180</f>
        <v>Chéserex</v>
      </c>
      <c r="C180" s="194">
        <f>Synthèse!G179</f>
        <v>1891879.6811350649</v>
      </c>
      <c r="D180" s="371" t="s">
        <v>522</v>
      </c>
      <c r="E180" s="372" t="s">
        <v>522</v>
      </c>
      <c r="F180" s="193">
        <f>Synthèse!F179</f>
        <v>1560252.1086019522</v>
      </c>
      <c r="G180" s="376" t="s">
        <v>522</v>
      </c>
      <c r="H180" s="376" t="s">
        <v>522</v>
      </c>
      <c r="I180" s="194">
        <f>Synthèse!H179</f>
        <v>223222.22638027888</v>
      </c>
      <c r="J180" s="380" t="s">
        <v>522</v>
      </c>
      <c r="K180" s="380" t="s">
        <v>522</v>
      </c>
    </row>
    <row r="181" spans="1:11" s="197" customFormat="1" ht="15" x14ac:dyDescent="0.25">
      <c r="A181" s="85">
        <f>Données!A181</f>
        <v>5710</v>
      </c>
      <c r="B181" s="308" t="str">
        <f>Données!B181</f>
        <v>Coinsins</v>
      </c>
      <c r="C181" s="194">
        <f>Synthèse!G180</f>
        <v>650051.06599729892</v>
      </c>
      <c r="D181" s="371" t="s">
        <v>522</v>
      </c>
      <c r="E181" s="372" t="s">
        <v>522</v>
      </c>
      <c r="F181" s="193">
        <f>Synthèse!F180</f>
        <v>592187.01716262649</v>
      </c>
      <c r="G181" s="376" t="s">
        <v>522</v>
      </c>
      <c r="H181" s="376" t="s">
        <v>522</v>
      </c>
      <c r="I181" s="194">
        <f>Synthèse!H180</f>
        <v>85633.425323384552</v>
      </c>
      <c r="J181" s="380" t="s">
        <v>522</v>
      </c>
      <c r="K181" s="380" t="s">
        <v>522</v>
      </c>
    </row>
    <row r="182" spans="1:11" s="197" customFormat="1" ht="15" x14ac:dyDescent="0.25">
      <c r="A182" s="85">
        <f>Données!A182</f>
        <v>5711</v>
      </c>
      <c r="B182" s="308" t="str">
        <f>Données!B182</f>
        <v>Commugny</v>
      </c>
      <c r="C182" s="194">
        <f>Synthèse!G181</f>
        <v>8255944.3610048015</v>
      </c>
      <c r="D182" s="371" t="s">
        <v>522</v>
      </c>
      <c r="E182" s="372" t="s">
        <v>522</v>
      </c>
      <c r="F182" s="193">
        <f>Synthèse!F181</f>
        <v>5128682.0813043118</v>
      </c>
      <c r="G182" s="376" t="s">
        <v>522</v>
      </c>
      <c r="H182" s="376" t="s">
        <v>522</v>
      </c>
      <c r="I182" s="194">
        <f>Synthèse!H181</f>
        <v>642099.55755734269</v>
      </c>
      <c r="J182" s="380" t="s">
        <v>522</v>
      </c>
      <c r="K182" s="380" t="s">
        <v>522</v>
      </c>
    </row>
    <row r="183" spans="1:11" s="197" customFormat="1" ht="15" x14ac:dyDescent="0.25">
      <c r="A183" s="85">
        <f>Données!A183</f>
        <v>5712</v>
      </c>
      <c r="B183" s="308" t="str">
        <f>Données!B183</f>
        <v>Coppet</v>
      </c>
      <c r="C183" s="194">
        <f>Synthèse!G182</f>
        <v>12592254.054030132</v>
      </c>
      <c r="D183" s="371" t="s">
        <v>522</v>
      </c>
      <c r="E183" s="372" t="s">
        <v>522</v>
      </c>
      <c r="F183" s="193">
        <f>Synthèse!F182</f>
        <v>7325711.9495554296</v>
      </c>
      <c r="G183" s="376" t="s">
        <v>522</v>
      </c>
      <c r="H183" s="376" t="s">
        <v>522</v>
      </c>
      <c r="I183" s="194">
        <f>Synthèse!H182</f>
        <v>805395.28215117403</v>
      </c>
      <c r="J183" s="380" t="s">
        <v>522</v>
      </c>
      <c r="K183" s="380" t="s">
        <v>522</v>
      </c>
    </row>
    <row r="184" spans="1:11" s="197" customFormat="1" ht="15" x14ac:dyDescent="0.25">
      <c r="A184" s="85">
        <f>Données!A184</f>
        <v>5713</v>
      </c>
      <c r="B184" s="308" t="str">
        <f>Données!B184</f>
        <v>Crans</v>
      </c>
      <c r="C184" s="194">
        <f>Synthèse!G183</f>
        <v>8321212.2181331655</v>
      </c>
      <c r="D184" s="371" t="s">
        <v>522</v>
      </c>
      <c r="E184" s="372" t="s">
        <v>522</v>
      </c>
      <c r="F184" s="193">
        <f>Synthèse!F183</f>
        <v>4943145.5330733238</v>
      </c>
      <c r="G184" s="376" t="s">
        <v>522</v>
      </c>
      <c r="H184" s="376" t="s">
        <v>522</v>
      </c>
      <c r="I184" s="194">
        <f>Synthèse!H183</f>
        <v>352729.19702038442</v>
      </c>
      <c r="J184" s="380" t="s">
        <v>522</v>
      </c>
      <c r="K184" s="380" t="s">
        <v>522</v>
      </c>
    </row>
    <row r="185" spans="1:11" s="197" customFormat="1" ht="15" x14ac:dyDescent="0.25">
      <c r="A185" s="85">
        <f>Données!A185</f>
        <v>5714</v>
      </c>
      <c r="B185" s="308" t="str">
        <f>Données!B185</f>
        <v>Crassier</v>
      </c>
      <c r="C185" s="194">
        <f>Synthèse!G184</f>
        <v>1098736.2136664316</v>
      </c>
      <c r="D185" s="371" t="s">
        <v>522</v>
      </c>
      <c r="E185" s="372" t="s">
        <v>522</v>
      </c>
      <c r="F185" s="193">
        <f>Synthèse!F184</f>
        <v>1008964.7457100614</v>
      </c>
      <c r="G185" s="376" t="s">
        <v>522</v>
      </c>
      <c r="H185" s="376" t="s">
        <v>522</v>
      </c>
      <c r="I185" s="194">
        <f>Synthèse!H184</f>
        <v>186321.93084426312</v>
      </c>
      <c r="J185" s="380" t="s">
        <v>522</v>
      </c>
      <c r="K185" s="380" t="s">
        <v>522</v>
      </c>
    </row>
    <row r="186" spans="1:11" s="197" customFormat="1" ht="15" x14ac:dyDescent="0.25">
      <c r="A186" s="85">
        <f>Données!A186</f>
        <v>5715</v>
      </c>
      <c r="B186" s="308" t="str">
        <f>Données!B186</f>
        <v>Duillier</v>
      </c>
      <c r="C186" s="194">
        <f>Synthèse!G185</f>
        <v>1070076.5962659812</v>
      </c>
      <c r="D186" s="371" t="s">
        <v>522</v>
      </c>
      <c r="E186" s="372" t="s">
        <v>522</v>
      </c>
      <c r="F186" s="193">
        <f>Synthèse!F185</f>
        <v>1013222.7435133506</v>
      </c>
      <c r="G186" s="376" t="s">
        <v>522</v>
      </c>
      <c r="H186" s="376" t="s">
        <v>522</v>
      </c>
      <c r="I186" s="194">
        <f>Synthèse!H185</f>
        <v>173553.3050411499</v>
      </c>
      <c r="J186" s="380" t="s">
        <v>522</v>
      </c>
      <c r="K186" s="380" t="s">
        <v>522</v>
      </c>
    </row>
    <row r="187" spans="1:11" s="197" customFormat="1" ht="15" x14ac:dyDescent="0.25">
      <c r="A187" s="85">
        <f>Données!A187</f>
        <v>5716</v>
      </c>
      <c r="B187" s="308" t="str">
        <f>Données!B187</f>
        <v>Eysins</v>
      </c>
      <c r="C187" s="194">
        <f>Synthèse!G186</f>
        <v>6877784.1395718101</v>
      </c>
      <c r="D187" s="371" t="s">
        <v>522</v>
      </c>
      <c r="E187" s="372" t="s">
        <v>522</v>
      </c>
      <c r="F187" s="193">
        <f>Synthèse!F186</f>
        <v>4143622.6838901178</v>
      </c>
      <c r="G187" s="376" t="s">
        <v>522</v>
      </c>
      <c r="H187" s="376" t="s">
        <v>522</v>
      </c>
      <c r="I187" s="194">
        <f>Synthèse!H186</f>
        <v>444352.90185903711</v>
      </c>
      <c r="J187" s="380" t="s">
        <v>522</v>
      </c>
      <c r="K187" s="380" t="s">
        <v>522</v>
      </c>
    </row>
    <row r="188" spans="1:11" s="197" customFormat="1" ht="15" x14ac:dyDescent="0.25">
      <c r="A188" s="85">
        <f>Données!A188</f>
        <v>5717</v>
      </c>
      <c r="B188" s="308" t="str">
        <f>Données!B188</f>
        <v>Founex</v>
      </c>
      <c r="C188" s="194">
        <f>Synthèse!G187</f>
        <v>9211442.2839247435</v>
      </c>
      <c r="D188" s="371" t="s">
        <v>522</v>
      </c>
      <c r="E188" s="372" t="s">
        <v>522</v>
      </c>
      <c r="F188" s="193">
        <f>Synthèse!F187</f>
        <v>5822293.5880625993</v>
      </c>
      <c r="G188" s="376" t="s">
        <v>522</v>
      </c>
      <c r="H188" s="376" t="s">
        <v>522</v>
      </c>
      <c r="I188" s="194">
        <f>Synthèse!H187</f>
        <v>780524.88007431815</v>
      </c>
      <c r="J188" s="380" t="s">
        <v>522</v>
      </c>
      <c r="K188" s="380" t="s">
        <v>522</v>
      </c>
    </row>
    <row r="189" spans="1:11" s="197" customFormat="1" ht="15" x14ac:dyDescent="0.25">
      <c r="A189" s="85">
        <f>Données!A189</f>
        <v>5718</v>
      </c>
      <c r="B189" s="308" t="str">
        <f>Données!B189</f>
        <v>Genolier</v>
      </c>
      <c r="C189" s="194">
        <f>Synthèse!G188</f>
        <v>5571848.5311208572</v>
      </c>
      <c r="D189" s="371" t="s">
        <v>522</v>
      </c>
      <c r="E189" s="372" t="s">
        <v>522</v>
      </c>
      <c r="F189" s="193">
        <f>Synthèse!F188</f>
        <v>3661522.4838708555</v>
      </c>
      <c r="G189" s="376" t="s">
        <v>522</v>
      </c>
      <c r="H189" s="376" t="s">
        <v>522</v>
      </c>
      <c r="I189" s="194">
        <f>Synthèse!H188</f>
        <v>442588.53552442393</v>
      </c>
      <c r="J189" s="380" t="s">
        <v>522</v>
      </c>
      <c r="K189" s="380" t="s">
        <v>522</v>
      </c>
    </row>
    <row r="190" spans="1:11" s="197" customFormat="1" ht="15" x14ac:dyDescent="0.25">
      <c r="A190" s="85">
        <f>Données!A190</f>
        <v>5719</v>
      </c>
      <c r="B190" s="308" t="str">
        <f>Données!B190</f>
        <v>Gingins</v>
      </c>
      <c r="C190" s="194">
        <f>Synthèse!G189</f>
        <v>3252192.0516434237</v>
      </c>
      <c r="D190" s="371" t="s">
        <v>522</v>
      </c>
      <c r="E190" s="372" t="s">
        <v>522</v>
      </c>
      <c r="F190" s="193">
        <f>Synthèse!F189</f>
        <v>2120979.3496294864</v>
      </c>
      <c r="G190" s="376" t="s">
        <v>522</v>
      </c>
      <c r="H190" s="376" t="s">
        <v>522</v>
      </c>
      <c r="I190" s="194">
        <f>Synthèse!H189</f>
        <v>260831.46799079707</v>
      </c>
      <c r="J190" s="380" t="s">
        <v>522</v>
      </c>
      <c r="K190" s="380" t="s">
        <v>522</v>
      </c>
    </row>
    <row r="191" spans="1:11" s="197" customFormat="1" ht="15" x14ac:dyDescent="0.25">
      <c r="A191" s="85">
        <f>Données!A191</f>
        <v>5720</v>
      </c>
      <c r="B191" s="308" t="str">
        <f>Données!B191</f>
        <v>Givrins</v>
      </c>
      <c r="C191" s="194">
        <f>Synthèse!G190</f>
        <v>2010440.8408061715</v>
      </c>
      <c r="D191" s="371" t="s">
        <v>522</v>
      </c>
      <c r="E191" s="372" t="s">
        <v>522</v>
      </c>
      <c r="F191" s="193">
        <f>Synthèse!F190</f>
        <v>1504648.9953052609</v>
      </c>
      <c r="G191" s="376" t="s">
        <v>522</v>
      </c>
      <c r="H191" s="376" t="s">
        <v>522</v>
      </c>
      <c r="I191" s="194">
        <f>Synthèse!H190</f>
        <v>195613.84380486218</v>
      </c>
      <c r="J191" s="380" t="s">
        <v>522</v>
      </c>
      <c r="K191" s="380" t="s">
        <v>522</v>
      </c>
    </row>
    <row r="192" spans="1:11" s="197" customFormat="1" ht="15" x14ac:dyDescent="0.25">
      <c r="A192" s="85">
        <f>Données!A192</f>
        <v>5721</v>
      </c>
      <c r="B192" s="308" t="str">
        <f>Données!B192</f>
        <v>Gland</v>
      </c>
      <c r="C192" s="194">
        <f>Synthèse!G191</f>
        <v>11554166.529921733</v>
      </c>
      <c r="D192" s="371" t="s">
        <v>522</v>
      </c>
      <c r="E192" s="372" t="s">
        <v>522</v>
      </c>
      <c r="F192" s="193">
        <f>Synthèse!F191</f>
        <v>4626905.3204763308</v>
      </c>
      <c r="G192" s="376" t="s">
        <v>522</v>
      </c>
      <c r="H192" s="376" t="s">
        <v>522</v>
      </c>
      <c r="I192" s="194">
        <f>Synthèse!H191</f>
        <v>2061802.3176970426</v>
      </c>
      <c r="J192" s="380" t="s">
        <v>522</v>
      </c>
      <c r="K192" s="380" t="s">
        <v>522</v>
      </c>
    </row>
    <row r="193" spans="1:11" s="197" customFormat="1" ht="15" x14ac:dyDescent="0.25">
      <c r="A193" s="85">
        <f>Données!A193</f>
        <v>5722</v>
      </c>
      <c r="B193" s="308" t="str">
        <f>Données!B193</f>
        <v>Grens</v>
      </c>
      <c r="C193" s="194">
        <f>Synthèse!G192</f>
        <v>396974.88288141123</v>
      </c>
      <c r="D193" s="371" t="s">
        <v>522</v>
      </c>
      <c r="E193" s="372" t="s">
        <v>522</v>
      </c>
      <c r="F193" s="193">
        <f>Synthèse!F192</f>
        <v>357496.74766672897</v>
      </c>
      <c r="G193" s="376" t="s">
        <v>522</v>
      </c>
      <c r="H193" s="376" t="s">
        <v>522</v>
      </c>
      <c r="I193" s="194">
        <f>Synthèse!H192</f>
        <v>61225.56345993682</v>
      </c>
      <c r="J193" s="380" t="s">
        <v>522</v>
      </c>
      <c r="K193" s="380" t="s">
        <v>522</v>
      </c>
    </row>
    <row r="194" spans="1:11" s="197" customFormat="1" ht="15" x14ac:dyDescent="0.25">
      <c r="A194" s="85">
        <f>Données!A194</f>
        <v>5723</v>
      </c>
      <c r="B194" s="308" t="str">
        <f>Données!B194</f>
        <v>Mies</v>
      </c>
      <c r="C194" s="194">
        <f>Synthèse!G193</f>
        <v>7109168.7447769195</v>
      </c>
      <c r="D194" s="371" t="s">
        <v>522</v>
      </c>
      <c r="E194" s="372" t="s">
        <v>522</v>
      </c>
      <c r="F194" s="193">
        <f>Synthèse!F193</f>
        <v>4393344.0277071334</v>
      </c>
      <c r="G194" s="376" t="s">
        <v>522</v>
      </c>
      <c r="H194" s="376" t="s">
        <v>522</v>
      </c>
      <c r="I194" s="194">
        <f>Synthèse!H193</f>
        <v>511197.52220016561</v>
      </c>
      <c r="J194" s="380" t="s">
        <v>522</v>
      </c>
      <c r="K194" s="380" t="s">
        <v>522</v>
      </c>
    </row>
    <row r="195" spans="1:11" s="197" customFormat="1" ht="15" x14ac:dyDescent="0.25">
      <c r="A195" s="85">
        <f>Données!A195</f>
        <v>5724</v>
      </c>
      <c r="B195" s="308" t="str">
        <f>Données!B195</f>
        <v>Nyon</v>
      </c>
      <c r="C195" s="194">
        <f>Synthèse!G194</f>
        <v>31600297.792368643</v>
      </c>
      <c r="D195" s="371" t="s">
        <v>522</v>
      </c>
      <c r="E195" s="372" t="s">
        <v>522</v>
      </c>
      <c r="F195" s="193">
        <f>Synthèse!F194</f>
        <v>9850509.9528779872</v>
      </c>
      <c r="G195" s="376" t="s">
        <v>522</v>
      </c>
      <c r="H195" s="376" t="s">
        <v>522</v>
      </c>
      <c r="I195" s="194">
        <f>Synthèse!H194</f>
        <v>1886048.9262436971</v>
      </c>
      <c r="J195" s="380" t="s">
        <v>522</v>
      </c>
      <c r="K195" s="380" t="s">
        <v>522</v>
      </c>
    </row>
    <row r="196" spans="1:11" s="197" customFormat="1" ht="15" x14ac:dyDescent="0.25">
      <c r="A196" s="85">
        <f>Données!A196</f>
        <v>5725</v>
      </c>
      <c r="B196" s="308" t="str">
        <f>Données!B196</f>
        <v>Prangins</v>
      </c>
      <c r="C196" s="194">
        <f>Synthèse!G195</f>
        <v>9236798.9428448249</v>
      </c>
      <c r="D196" s="371" t="s">
        <v>522</v>
      </c>
      <c r="E196" s="372" t="s">
        <v>522</v>
      </c>
      <c r="F196" s="193">
        <f>Synthèse!F195</f>
        <v>6088313.5268328069</v>
      </c>
      <c r="G196" s="376" t="s">
        <v>522</v>
      </c>
      <c r="H196" s="376" t="s">
        <v>522</v>
      </c>
      <c r="I196" s="194">
        <f>Synthèse!H195</f>
        <v>482568.01290612132</v>
      </c>
      <c r="J196" s="380" t="s">
        <v>522</v>
      </c>
      <c r="K196" s="380" t="s">
        <v>522</v>
      </c>
    </row>
    <row r="197" spans="1:11" s="197" customFormat="1" ht="15" x14ac:dyDescent="0.25">
      <c r="A197" s="85">
        <f>Données!A197</f>
        <v>5726</v>
      </c>
      <c r="B197" s="308" t="str">
        <f>Données!B197</f>
        <v>La Rippe</v>
      </c>
      <c r="C197" s="194">
        <f>Synthèse!G196</f>
        <v>1249312.1841734839</v>
      </c>
      <c r="D197" s="371" t="s">
        <v>522</v>
      </c>
      <c r="E197" s="372" t="s">
        <v>522</v>
      </c>
      <c r="F197" s="193">
        <f>Synthèse!F196</f>
        <v>1164526.6613036494</v>
      </c>
      <c r="G197" s="376" t="s">
        <v>522</v>
      </c>
      <c r="H197" s="376" t="s">
        <v>522</v>
      </c>
      <c r="I197" s="194">
        <f>Synthèse!H196</f>
        <v>192156.68240035881</v>
      </c>
      <c r="J197" s="380" t="s">
        <v>522</v>
      </c>
      <c r="K197" s="380" t="s">
        <v>522</v>
      </c>
    </row>
    <row r="198" spans="1:11" s="197" customFormat="1" ht="15" x14ac:dyDescent="0.25">
      <c r="A198" s="85">
        <f>Données!A198</f>
        <v>5727</v>
      </c>
      <c r="B198" s="308" t="str">
        <f>Données!B198</f>
        <v>Saint-Cergue</v>
      </c>
      <c r="C198" s="194">
        <f>Synthèse!G197</f>
        <v>2099250.6753460146</v>
      </c>
      <c r="D198" s="371" t="s">
        <v>522</v>
      </c>
      <c r="E198" s="372" t="s">
        <v>522</v>
      </c>
      <c r="F198" s="193">
        <f>Synthèse!F197</f>
        <v>503433.16366467904</v>
      </c>
      <c r="G198" s="376" t="s">
        <v>522</v>
      </c>
      <c r="H198" s="376" t="s">
        <v>522</v>
      </c>
      <c r="I198" s="194">
        <f>Synthèse!H197</f>
        <v>329470.78901170898</v>
      </c>
      <c r="J198" s="380" t="s">
        <v>522</v>
      </c>
      <c r="K198" s="380" t="s">
        <v>522</v>
      </c>
    </row>
    <row r="199" spans="1:11" s="197" customFormat="1" ht="15" x14ac:dyDescent="0.25">
      <c r="A199" s="85">
        <f>Données!A199</f>
        <v>5728</v>
      </c>
      <c r="B199" s="308" t="str">
        <f>Données!B199</f>
        <v>Signy-Avenex</v>
      </c>
      <c r="C199" s="194">
        <f>Synthèse!G198</f>
        <v>1817997.0209007626</v>
      </c>
      <c r="D199" s="371" t="s">
        <v>522</v>
      </c>
      <c r="E199" s="372" t="s">
        <v>522</v>
      </c>
      <c r="F199" s="193">
        <f>Synthèse!F198</f>
        <v>1216874.1743497241</v>
      </c>
      <c r="G199" s="376" t="s">
        <v>522</v>
      </c>
      <c r="H199" s="376" t="s">
        <v>522</v>
      </c>
      <c r="I199" s="194">
        <f>Synthèse!H198</f>
        <v>133279.2302957745</v>
      </c>
      <c r="J199" s="380" t="s">
        <v>522</v>
      </c>
      <c r="K199" s="380" t="s">
        <v>522</v>
      </c>
    </row>
    <row r="200" spans="1:11" s="197" customFormat="1" ht="15" x14ac:dyDescent="0.25">
      <c r="A200" s="85">
        <f>Données!A200</f>
        <v>5729</v>
      </c>
      <c r="B200" s="308" t="str">
        <f>Données!B200</f>
        <v>Tannay</v>
      </c>
      <c r="C200" s="194">
        <f>Synthèse!G199</f>
        <v>5652482.3283048719</v>
      </c>
      <c r="D200" s="371" t="s">
        <v>522</v>
      </c>
      <c r="E200" s="372" t="s">
        <v>522</v>
      </c>
      <c r="F200" s="193">
        <f>Synthèse!F199</f>
        <v>3311133.2621792248</v>
      </c>
      <c r="G200" s="376" t="s">
        <v>522</v>
      </c>
      <c r="H200" s="376" t="s">
        <v>522</v>
      </c>
      <c r="I200" s="194">
        <f>Synthèse!H199</f>
        <v>386310.45488354273</v>
      </c>
      <c r="J200" s="380" t="s">
        <v>522</v>
      </c>
      <c r="K200" s="380" t="s">
        <v>522</v>
      </c>
    </row>
    <row r="201" spans="1:11" s="197" customFormat="1" ht="15" x14ac:dyDescent="0.25">
      <c r="A201" s="85">
        <f>Données!A201</f>
        <v>5730</v>
      </c>
      <c r="B201" s="308" t="str">
        <f>Données!B201</f>
        <v>Trélex</v>
      </c>
      <c r="C201" s="194">
        <f>Synthèse!G200</f>
        <v>2982252.2895088815</v>
      </c>
      <c r="D201" s="371" t="s">
        <v>522</v>
      </c>
      <c r="E201" s="372" t="s">
        <v>522</v>
      </c>
      <c r="F201" s="193">
        <f>Synthèse!F200</f>
        <v>2092159.8215152626</v>
      </c>
      <c r="G201" s="376" t="s">
        <v>522</v>
      </c>
      <c r="H201" s="376" t="s">
        <v>522</v>
      </c>
      <c r="I201" s="194">
        <f>Synthèse!H200</f>
        <v>276502.92496009776</v>
      </c>
      <c r="J201" s="380" t="s">
        <v>522</v>
      </c>
      <c r="K201" s="380" t="s">
        <v>522</v>
      </c>
    </row>
    <row r="202" spans="1:11" s="197" customFormat="1" ht="15" x14ac:dyDescent="0.25">
      <c r="A202" s="85">
        <f>Données!A202</f>
        <v>5731</v>
      </c>
      <c r="B202" s="308" t="str">
        <f>Données!B202</f>
        <v>Le Vaud</v>
      </c>
      <c r="C202" s="194">
        <f>Synthèse!G201</f>
        <v>1024386.4931878989</v>
      </c>
      <c r="D202" s="371" t="s">
        <v>522</v>
      </c>
      <c r="E202" s="372" t="s">
        <v>522</v>
      </c>
      <c r="F202" s="193">
        <f>Synthèse!F201</f>
        <v>1057530.2957772634</v>
      </c>
      <c r="G202" s="376" t="s">
        <v>522</v>
      </c>
      <c r="H202" s="376" t="s">
        <v>522</v>
      </c>
      <c r="I202" s="194">
        <f>Synthèse!H201</f>
        <v>210812.6544644399</v>
      </c>
      <c r="J202" s="380" t="s">
        <v>522</v>
      </c>
      <c r="K202" s="380" t="s">
        <v>522</v>
      </c>
    </row>
    <row r="203" spans="1:11" s="197" customFormat="1" ht="15" x14ac:dyDescent="0.25">
      <c r="A203" s="85">
        <f>Données!A203</f>
        <v>5732</v>
      </c>
      <c r="B203" s="308" t="str">
        <f>Données!B203</f>
        <v>Vich</v>
      </c>
      <c r="C203" s="194">
        <f>Synthèse!G202</f>
        <v>1570995.6147278412</v>
      </c>
      <c r="D203" s="371" t="s">
        <v>522</v>
      </c>
      <c r="E203" s="372" t="s">
        <v>522</v>
      </c>
      <c r="F203" s="193">
        <f>Synthèse!F202</f>
        <v>1375612.6145800385</v>
      </c>
      <c r="G203" s="376" t="s">
        <v>522</v>
      </c>
      <c r="H203" s="376" t="s">
        <v>522</v>
      </c>
      <c r="I203" s="194">
        <f>Synthèse!H202</f>
        <v>201394.46071902249</v>
      </c>
      <c r="J203" s="380" t="s">
        <v>522</v>
      </c>
      <c r="K203" s="380" t="s">
        <v>522</v>
      </c>
    </row>
    <row r="204" spans="1:11" s="197" customFormat="1" ht="15" x14ac:dyDescent="0.25">
      <c r="A204" s="85">
        <f>Données!A204</f>
        <v>5741</v>
      </c>
      <c r="B204" s="308" t="str">
        <f>Données!B204</f>
        <v>L'Abergement</v>
      </c>
      <c r="C204" s="194">
        <f>Synthèse!G203</f>
        <v>152433.78086482143</v>
      </c>
      <c r="D204" s="371" t="s">
        <v>522</v>
      </c>
      <c r="E204" s="372" t="s">
        <v>522</v>
      </c>
      <c r="F204" s="193">
        <f>Synthèse!F203</f>
        <v>23852.476274346758</v>
      </c>
      <c r="G204" s="376" t="s">
        <v>522</v>
      </c>
      <c r="H204" s="376" t="s">
        <v>522</v>
      </c>
      <c r="I204" s="194">
        <f>Synthèse!H203</f>
        <v>34018.329233108881</v>
      </c>
      <c r="J204" s="380" t="s">
        <v>522</v>
      </c>
      <c r="K204" s="380" t="s">
        <v>522</v>
      </c>
    </row>
    <row r="205" spans="1:11" s="197" customFormat="1" ht="15" x14ac:dyDescent="0.25">
      <c r="A205" s="85">
        <f>Données!A205</f>
        <v>5742</v>
      </c>
      <c r="B205" s="308" t="str">
        <f>Données!B205</f>
        <v>Agiez</v>
      </c>
      <c r="C205" s="194">
        <f>Synthèse!G204</f>
        <v>114004.30544060341</v>
      </c>
      <c r="D205" s="371" t="s">
        <v>522</v>
      </c>
      <c r="E205" s="372" t="s">
        <v>522</v>
      </c>
      <c r="F205" s="193">
        <f>Synthèse!F204</f>
        <v>-125940.19895938458</v>
      </c>
      <c r="G205" s="376" t="s">
        <v>522</v>
      </c>
      <c r="H205" s="376" t="s">
        <v>522</v>
      </c>
      <c r="I205" s="194">
        <f>Synthèse!H204</f>
        <v>27676.414455158578</v>
      </c>
      <c r="J205" s="380" t="s">
        <v>522</v>
      </c>
      <c r="K205" s="380" t="s">
        <v>522</v>
      </c>
    </row>
    <row r="206" spans="1:11" s="197" customFormat="1" ht="15" x14ac:dyDescent="0.25">
      <c r="A206" s="85">
        <f>Données!A206</f>
        <v>5743</v>
      </c>
      <c r="B206" s="308" t="str">
        <f>Données!B206</f>
        <v>Arnex-sur-Orbe</v>
      </c>
      <c r="C206" s="194">
        <f>Synthèse!G205</f>
        <v>331751.95448417461</v>
      </c>
      <c r="D206" s="371" t="s">
        <v>522</v>
      </c>
      <c r="E206" s="372" t="s">
        <v>522</v>
      </c>
      <c r="F206" s="193">
        <f>Synthèse!F205</f>
        <v>-77246.857234070078</v>
      </c>
      <c r="G206" s="376" t="s">
        <v>522</v>
      </c>
      <c r="H206" s="376" t="s">
        <v>522</v>
      </c>
      <c r="I206" s="194">
        <f>Synthèse!H205</f>
        <v>60363.586989039111</v>
      </c>
      <c r="J206" s="380" t="s">
        <v>522</v>
      </c>
      <c r="K206" s="380" t="s">
        <v>522</v>
      </c>
    </row>
    <row r="207" spans="1:11" s="197" customFormat="1" ht="15" x14ac:dyDescent="0.25">
      <c r="A207" s="85">
        <f>Données!A207</f>
        <v>5744</v>
      </c>
      <c r="B207" s="308" t="str">
        <f>Données!B207</f>
        <v>Ballaigues</v>
      </c>
      <c r="C207" s="194">
        <f>Synthèse!G206</f>
        <v>1253174.9285286246</v>
      </c>
      <c r="D207" s="371" t="s">
        <v>522</v>
      </c>
      <c r="E207" s="372" t="s">
        <v>522</v>
      </c>
      <c r="F207" s="193">
        <f>Synthèse!F206</f>
        <v>538321.07667296613</v>
      </c>
      <c r="G207" s="376" t="s">
        <v>522</v>
      </c>
      <c r="H207" s="376" t="s">
        <v>522</v>
      </c>
      <c r="I207" s="194">
        <f>Synthèse!H206</f>
        <v>168705.22063716396</v>
      </c>
      <c r="J207" s="380" t="s">
        <v>522</v>
      </c>
      <c r="K207" s="380" t="s">
        <v>522</v>
      </c>
    </row>
    <row r="208" spans="1:11" s="197" customFormat="1" ht="15" x14ac:dyDescent="0.25">
      <c r="A208" s="85">
        <f>Données!A208</f>
        <v>5745</v>
      </c>
      <c r="B208" s="308" t="str">
        <f>Données!B208</f>
        <v>Baulmes</v>
      </c>
      <c r="C208" s="194">
        <f>Synthèse!G207</f>
        <v>482951.4183712136</v>
      </c>
      <c r="D208" s="371" t="s">
        <v>522</v>
      </c>
      <c r="E208" s="372" t="s">
        <v>522</v>
      </c>
      <c r="F208" s="193">
        <f>Synthèse!F207</f>
        <v>-624129.35710652592</v>
      </c>
      <c r="G208" s="376" t="s">
        <v>522</v>
      </c>
      <c r="H208" s="376" t="s">
        <v>522</v>
      </c>
      <c r="I208" s="194">
        <f>Synthèse!H207</f>
        <v>85667.948839615623</v>
      </c>
      <c r="J208" s="380" t="s">
        <v>522</v>
      </c>
      <c r="K208" s="380" t="s">
        <v>522</v>
      </c>
    </row>
    <row r="209" spans="1:11" s="197" customFormat="1" ht="15" x14ac:dyDescent="0.25">
      <c r="A209" s="85">
        <f>Données!A209</f>
        <v>5746</v>
      </c>
      <c r="B209" s="308" t="str">
        <f>Données!B209</f>
        <v>Bavois</v>
      </c>
      <c r="C209" s="194">
        <f>Synthèse!G208</f>
        <v>496017.48335411068</v>
      </c>
      <c r="D209" s="371" t="s">
        <v>522</v>
      </c>
      <c r="E209" s="372" t="s">
        <v>522</v>
      </c>
      <c r="F209" s="193">
        <f>Synthèse!F208</f>
        <v>-206587.25889943319</v>
      </c>
      <c r="G209" s="376" t="s">
        <v>522</v>
      </c>
      <c r="H209" s="376" t="s">
        <v>522</v>
      </c>
      <c r="I209" s="194">
        <f>Synthèse!H208</f>
        <v>89717.305594678444</v>
      </c>
      <c r="J209" s="380" t="s">
        <v>522</v>
      </c>
      <c r="K209" s="380" t="s">
        <v>522</v>
      </c>
    </row>
    <row r="210" spans="1:11" s="197" customFormat="1" ht="15" x14ac:dyDescent="0.25">
      <c r="A210" s="85">
        <f>Données!A210</f>
        <v>5747</v>
      </c>
      <c r="B210" s="308" t="str">
        <f>Données!B210</f>
        <v>Bofflens</v>
      </c>
      <c r="C210" s="194">
        <f>Synthèse!G209</f>
        <v>111863.74395135032</v>
      </c>
      <c r="D210" s="371" t="s">
        <v>522</v>
      </c>
      <c r="E210" s="372" t="s">
        <v>522</v>
      </c>
      <c r="F210" s="193">
        <f>Synthèse!F209</f>
        <v>-9876.3265196145949</v>
      </c>
      <c r="G210" s="376" t="s">
        <v>522</v>
      </c>
      <c r="H210" s="376" t="s">
        <v>522</v>
      </c>
      <c r="I210" s="194">
        <f>Synthèse!H209</f>
        <v>17731.228857131267</v>
      </c>
      <c r="J210" s="380" t="s">
        <v>522</v>
      </c>
      <c r="K210" s="380" t="s">
        <v>522</v>
      </c>
    </row>
    <row r="211" spans="1:11" s="197" customFormat="1" ht="15" x14ac:dyDescent="0.25">
      <c r="A211" s="85">
        <f>Données!A211</f>
        <v>5748</v>
      </c>
      <c r="B211" s="308" t="str">
        <f>Données!B211</f>
        <v>Bretonnières</v>
      </c>
      <c r="C211" s="194">
        <f>Synthèse!G210</f>
        <v>104519.50501879941</v>
      </c>
      <c r="D211" s="371" t="s">
        <v>522</v>
      </c>
      <c r="E211" s="372" t="s">
        <v>522</v>
      </c>
      <c r="F211" s="193">
        <f>Synthèse!F210</f>
        <v>-100445.91268129618</v>
      </c>
      <c r="G211" s="376" t="s">
        <v>522</v>
      </c>
      <c r="H211" s="376" t="s">
        <v>522</v>
      </c>
      <c r="I211" s="194">
        <f>Synthèse!H210</f>
        <v>20764.922375609764</v>
      </c>
      <c r="J211" s="380" t="s">
        <v>522</v>
      </c>
      <c r="K211" s="380" t="s">
        <v>522</v>
      </c>
    </row>
    <row r="212" spans="1:11" s="197" customFormat="1" ht="15" x14ac:dyDescent="0.25">
      <c r="A212" s="85">
        <f>Données!A212</f>
        <v>5749</v>
      </c>
      <c r="B212" s="308" t="str">
        <f>Données!B212</f>
        <v>Chavornay</v>
      </c>
      <c r="C212" s="194">
        <f>Synthèse!G211</f>
        <v>2239089.8898095265</v>
      </c>
      <c r="D212" s="371" t="s">
        <v>522</v>
      </c>
      <c r="E212" s="372" t="s">
        <v>522</v>
      </c>
      <c r="F212" s="193">
        <f>Synthèse!F211</f>
        <v>-2398293.5677190102</v>
      </c>
      <c r="G212" s="376" t="s">
        <v>522</v>
      </c>
      <c r="H212" s="376" t="s">
        <v>522</v>
      </c>
      <c r="I212" s="194">
        <f>Synthèse!H211</f>
        <v>442160.72794043738</v>
      </c>
      <c r="J212" s="380" t="s">
        <v>522</v>
      </c>
      <c r="K212" s="380" t="s">
        <v>522</v>
      </c>
    </row>
    <row r="213" spans="1:11" s="197" customFormat="1" ht="15" x14ac:dyDescent="0.25">
      <c r="A213" s="85">
        <f>Données!A213</f>
        <v>5750</v>
      </c>
      <c r="B213" s="308" t="str">
        <f>Données!B213</f>
        <v>Les Clées</v>
      </c>
      <c r="C213" s="194">
        <f>Synthèse!G212</f>
        <v>99138.530444492615</v>
      </c>
      <c r="D213" s="371" t="s">
        <v>522</v>
      </c>
      <c r="E213" s="372" t="s">
        <v>522</v>
      </c>
      <c r="F213" s="193">
        <f>Synthèse!F212</f>
        <v>-59110.890001377789</v>
      </c>
      <c r="G213" s="376" t="s">
        <v>522</v>
      </c>
      <c r="H213" s="376" t="s">
        <v>522</v>
      </c>
      <c r="I213" s="194">
        <f>Synthèse!H212</f>
        <v>17097.454119843205</v>
      </c>
      <c r="J213" s="380" t="s">
        <v>522</v>
      </c>
      <c r="K213" s="380" t="s">
        <v>522</v>
      </c>
    </row>
    <row r="214" spans="1:11" s="197" customFormat="1" ht="15" x14ac:dyDescent="0.25">
      <c r="A214" s="85">
        <f>Données!A214</f>
        <v>5752</v>
      </c>
      <c r="B214" s="308" t="str">
        <f>Données!B214</f>
        <v>Croy</v>
      </c>
      <c r="C214" s="194">
        <f>Synthèse!G213</f>
        <v>153156.4508292673</v>
      </c>
      <c r="D214" s="371" t="s">
        <v>522</v>
      </c>
      <c r="E214" s="372" t="s">
        <v>522</v>
      </c>
      <c r="F214" s="193">
        <f>Synthèse!F213</f>
        <v>-288592.51846351736</v>
      </c>
      <c r="G214" s="376" t="s">
        <v>522</v>
      </c>
      <c r="H214" s="376" t="s">
        <v>522</v>
      </c>
      <c r="I214" s="194">
        <f>Synthèse!H213</f>
        <v>31365.879657523474</v>
      </c>
      <c r="J214" s="380" t="s">
        <v>522</v>
      </c>
      <c r="K214" s="380" t="s">
        <v>522</v>
      </c>
    </row>
    <row r="215" spans="1:11" s="197" customFormat="1" ht="15" x14ac:dyDescent="0.25">
      <c r="A215" s="85">
        <f>Données!A215</f>
        <v>5754</v>
      </c>
      <c r="B215" s="308" t="str">
        <f>Données!B215</f>
        <v>Juriens</v>
      </c>
      <c r="C215" s="194">
        <f>Synthèse!G214</f>
        <v>270457.2317869417</v>
      </c>
      <c r="D215" s="371" t="s">
        <v>522</v>
      </c>
      <c r="E215" s="372" t="s">
        <v>522</v>
      </c>
      <c r="F215" s="193">
        <f>Synthèse!F214</f>
        <v>-106024.43302471173</v>
      </c>
      <c r="G215" s="376" t="s">
        <v>522</v>
      </c>
      <c r="H215" s="376" t="s">
        <v>522</v>
      </c>
      <c r="I215" s="194">
        <f>Synthèse!H214</f>
        <v>26713.13773515122</v>
      </c>
      <c r="J215" s="380" t="s">
        <v>522</v>
      </c>
      <c r="K215" s="380" t="s">
        <v>522</v>
      </c>
    </row>
    <row r="216" spans="1:11" s="197" customFormat="1" ht="15" x14ac:dyDescent="0.25">
      <c r="A216" s="85">
        <f>Données!A216</f>
        <v>5755</v>
      </c>
      <c r="B216" s="308" t="str">
        <f>Données!B216</f>
        <v>Lignerolle</v>
      </c>
      <c r="C216" s="194">
        <f>Synthèse!G215</f>
        <v>188286.18349817334</v>
      </c>
      <c r="D216" s="371" t="s">
        <v>522</v>
      </c>
      <c r="E216" s="372" t="s">
        <v>522</v>
      </c>
      <c r="F216" s="193">
        <f>Synthèse!F215</f>
        <v>-224383.55776608665</v>
      </c>
      <c r="G216" s="376" t="s">
        <v>522</v>
      </c>
      <c r="H216" s="376" t="s">
        <v>522</v>
      </c>
      <c r="I216" s="194">
        <f>Synthèse!H215</f>
        <v>33681.594470316406</v>
      </c>
      <c r="J216" s="380" t="s">
        <v>522</v>
      </c>
      <c r="K216" s="380" t="s">
        <v>522</v>
      </c>
    </row>
    <row r="217" spans="1:11" s="197" customFormat="1" ht="15" x14ac:dyDescent="0.25">
      <c r="A217" s="85">
        <f>Données!A217</f>
        <v>5756</v>
      </c>
      <c r="B217" s="308" t="str">
        <f>Données!B217</f>
        <v>Montcherand</v>
      </c>
      <c r="C217" s="194">
        <f>Synthèse!G216</f>
        <v>231968.92086958716</v>
      </c>
      <c r="D217" s="371" t="s">
        <v>522</v>
      </c>
      <c r="E217" s="372" t="s">
        <v>522</v>
      </c>
      <c r="F217" s="193">
        <f>Synthèse!F216</f>
        <v>93418.473303191247</v>
      </c>
      <c r="G217" s="376" t="s">
        <v>522</v>
      </c>
      <c r="H217" s="376" t="s">
        <v>522</v>
      </c>
      <c r="I217" s="194">
        <f>Synthèse!H216</f>
        <v>54228.455485666142</v>
      </c>
      <c r="J217" s="380" t="s">
        <v>522</v>
      </c>
      <c r="K217" s="380" t="s">
        <v>522</v>
      </c>
    </row>
    <row r="218" spans="1:11" s="197" customFormat="1" ht="15" x14ac:dyDescent="0.25">
      <c r="A218" s="85">
        <f>Données!A218</f>
        <v>5757</v>
      </c>
      <c r="B218" s="308" t="str">
        <f>Données!B218</f>
        <v>Orbe</v>
      </c>
      <c r="C218" s="194">
        <f>Synthèse!G217</f>
        <v>4484979.0875546895</v>
      </c>
      <c r="D218" s="371" t="s">
        <v>522</v>
      </c>
      <c r="E218" s="372" t="s">
        <v>522</v>
      </c>
      <c r="F218" s="193">
        <f>Synthèse!F217</f>
        <v>-4674763.046577042</v>
      </c>
      <c r="G218" s="376" t="s">
        <v>522</v>
      </c>
      <c r="H218" s="376" t="s">
        <v>522</v>
      </c>
      <c r="I218" s="194">
        <f>Synthèse!H217</f>
        <v>663867.2838719266</v>
      </c>
      <c r="J218" s="380" t="s">
        <v>522</v>
      </c>
      <c r="K218" s="380" t="s">
        <v>522</v>
      </c>
    </row>
    <row r="219" spans="1:11" s="197" customFormat="1" ht="15" x14ac:dyDescent="0.25">
      <c r="A219" s="85">
        <f>Données!A219</f>
        <v>5758</v>
      </c>
      <c r="B219" s="308" t="str">
        <f>Données!B219</f>
        <v>La Praz</v>
      </c>
      <c r="C219" s="194">
        <f>Synthèse!G218</f>
        <v>57445.638670749824</v>
      </c>
      <c r="D219" s="371" t="s">
        <v>522</v>
      </c>
      <c r="E219" s="372" t="s">
        <v>522</v>
      </c>
      <c r="F219" s="193">
        <f>Synthèse!F218</f>
        <v>-118734.60407225792</v>
      </c>
      <c r="G219" s="376" t="s">
        <v>522</v>
      </c>
      <c r="H219" s="376" t="s">
        <v>522</v>
      </c>
      <c r="I219" s="194">
        <f>Synthèse!H218</f>
        <v>13830.527371593713</v>
      </c>
      <c r="J219" s="380" t="s">
        <v>522</v>
      </c>
      <c r="K219" s="380" t="s">
        <v>522</v>
      </c>
    </row>
    <row r="220" spans="1:11" s="197" customFormat="1" ht="15" x14ac:dyDescent="0.25">
      <c r="A220" s="85">
        <f>Données!A220</f>
        <v>5759</v>
      </c>
      <c r="B220" s="308" t="str">
        <f>Données!B220</f>
        <v>Premier</v>
      </c>
      <c r="C220" s="194">
        <f>Synthèse!G219</f>
        <v>92775.755531993374</v>
      </c>
      <c r="D220" s="371" t="s">
        <v>522</v>
      </c>
      <c r="E220" s="372" t="s">
        <v>522</v>
      </c>
      <c r="F220" s="193">
        <f>Synthèse!F219</f>
        <v>-97395.156783654835</v>
      </c>
      <c r="G220" s="376" t="s">
        <v>522</v>
      </c>
      <c r="H220" s="376" t="s">
        <v>522</v>
      </c>
      <c r="I220" s="194">
        <f>Synthèse!H219</f>
        <v>17550.691303044427</v>
      </c>
      <c r="J220" s="380" t="s">
        <v>522</v>
      </c>
      <c r="K220" s="380" t="s">
        <v>522</v>
      </c>
    </row>
    <row r="221" spans="1:11" s="197" customFormat="1" ht="15" x14ac:dyDescent="0.25">
      <c r="A221" s="85">
        <f>Données!A221</f>
        <v>5760</v>
      </c>
      <c r="B221" s="308" t="str">
        <f>Données!B221</f>
        <v>Rances</v>
      </c>
      <c r="C221" s="194">
        <f>Synthèse!G220</f>
        <v>274780.71696518199</v>
      </c>
      <c r="D221" s="371" t="s">
        <v>522</v>
      </c>
      <c r="E221" s="372" t="s">
        <v>522</v>
      </c>
      <c r="F221" s="193">
        <f>Synthèse!F220</f>
        <v>-103217.87169546343</v>
      </c>
      <c r="G221" s="376" t="s">
        <v>522</v>
      </c>
      <c r="H221" s="376" t="s">
        <v>522</v>
      </c>
      <c r="I221" s="194">
        <f>Synthèse!H220</f>
        <v>50626.936914096907</v>
      </c>
      <c r="J221" s="380" t="s">
        <v>522</v>
      </c>
      <c r="K221" s="380" t="s">
        <v>522</v>
      </c>
    </row>
    <row r="222" spans="1:11" s="197" customFormat="1" ht="15" x14ac:dyDescent="0.25">
      <c r="A222" s="85">
        <f>Données!A222</f>
        <v>5761</v>
      </c>
      <c r="B222" s="308" t="str">
        <f>Données!B222</f>
        <v>Romainmôtier-Envy</v>
      </c>
      <c r="C222" s="194">
        <f>Synthèse!G221</f>
        <v>228060.76570089458</v>
      </c>
      <c r="D222" s="371" t="s">
        <v>522</v>
      </c>
      <c r="E222" s="372" t="s">
        <v>522</v>
      </c>
      <c r="F222" s="193">
        <f>Synthèse!F221</f>
        <v>-304722.47684922762</v>
      </c>
      <c r="G222" s="376" t="s">
        <v>522</v>
      </c>
      <c r="H222" s="376" t="s">
        <v>522</v>
      </c>
      <c r="I222" s="194">
        <f>Synthèse!H221</f>
        <v>44438.545501995759</v>
      </c>
      <c r="J222" s="380" t="s">
        <v>522</v>
      </c>
      <c r="K222" s="380" t="s">
        <v>522</v>
      </c>
    </row>
    <row r="223" spans="1:11" s="197" customFormat="1" ht="15" x14ac:dyDescent="0.25">
      <c r="A223" s="85">
        <f>Données!A223</f>
        <v>5762</v>
      </c>
      <c r="B223" s="308" t="str">
        <f>Données!B223</f>
        <v>Sergey</v>
      </c>
      <c r="C223" s="194">
        <f>Synthèse!G222</f>
        <v>53434.687450440557</v>
      </c>
      <c r="D223" s="371" t="s">
        <v>522</v>
      </c>
      <c r="E223" s="372" t="s">
        <v>522</v>
      </c>
      <c r="F223" s="193">
        <f>Synthèse!F222</f>
        <v>-58571.049895895369</v>
      </c>
      <c r="G223" s="376" t="s">
        <v>522</v>
      </c>
      <c r="H223" s="376" t="s">
        <v>522</v>
      </c>
      <c r="I223" s="194">
        <f>Synthèse!H222</f>
        <v>11588.777698350868</v>
      </c>
      <c r="J223" s="380" t="s">
        <v>522</v>
      </c>
      <c r="K223" s="380" t="s">
        <v>522</v>
      </c>
    </row>
    <row r="224" spans="1:11" s="197" customFormat="1" ht="15" x14ac:dyDescent="0.25">
      <c r="A224" s="85">
        <f>Données!A224</f>
        <v>5763</v>
      </c>
      <c r="B224" s="308" t="str">
        <f>Données!B224</f>
        <v>Valeyres-sous-Rances</v>
      </c>
      <c r="C224" s="194">
        <f>Synthèse!G223</f>
        <v>298686.66278693621</v>
      </c>
      <c r="D224" s="371" t="s">
        <v>522</v>
      </c>
      <c r="E224" s="372" t="s">
        <v>522</v>
      </c>
      <c r="F224" s="193">
        <f>Synthèse!F223</f>
        <v>152214.96035239787</v>
      </c>
      <c r="G224" s="376" t="s">
        <v>522</v>
      </c>
      <c r="H224" s="376" t="s">
        <v>522</v>
      </c>
      <c r="I224" s="194">
        <f>Synthèse!H223</f>
        <v>69453.16674224622</v>
      </c>
      <c r="J224" s="380" t="s">
        <v>522</v>
      </c>
      <c r="K224" s="380" t="s">
        <v>522</v>
      </c>
    </row>
    <row r="225" spans="1:11" s="197" customFormat="1" ht="15" x14ac:dyDescent="0.25">
      <c r="A225" s="85">
        <f>Données!A225</f>
        <v>5764</v>
      </c>
      <c r="B225" s="308" t="str">
        <f>Données!B225</f>
        <v>Vallorbe</v>
      </c>
      <c r="C225" s="194">
        <f>Synthèse!G224</f>
        <v>2103883.7410668842</v>
      </c>
      <c r="D225" s="371" t="s">
        <v>522</v>
      </c>
      <c r="E225" s="372" t="s">
        <v>522</v>
      </c>
      <c r="F225" s="193">
        <f>Synthèse!F224</f>
        <v>-4106469.7892872524</v>
      </c>
      <c r="G225" s="376" t="s">
        <v>522</v>
      </c>
      <c r="H225" s="376" t="s">
        <v>522</v>
      </c>
      <c r="I225" s="194">
        <f>Synthèse!H224</f>
        <v>255836.04165400742</v>
      </c>
      <c r="J225" s="380" t="s">
        <v>522</v>
      </c>
      <c r="K225" s="380" t="s">
        <v>522</v>
      </c>
    </row>
    <row r="226" spans="1:11" s="197" customFormat="1" ht="15" x14ac:dyDescent="0.25">
      <c r="A226" s="85">
        <f>Données!A226</f>
        <v>5765</v>
      </c>
      <c r="B226" s="308" t="str">
        <f>Données!B226</f>
        <v>Vaulion</v>
      </c>
      <c r="C226" s="194">
        <f>Synthèse!G225</f>
        <v>135821.68422299065</v>
      </c>
      <c r="D226" s="371" t="s">
        <v>522</v>
      </c>
      <c r="E226" s="372" t="s">
        <v>522</v>
      </c>
      <c r="F226" s="193">
        <f>Synthèse!F225</f>
        <v>-400208.45022259315</v>
      </c>
      <c r="G226" s="376" t="s">
        <v>522</v>
      </c>
      <c r="H226" s="376" t="s">
        <v>522</v>
      </c>
      <c r="I226" s="194">
        <f>Synthèse!H225</f>
        <v>29546.643476354351</v>
      </c>
      <c r="J226" s="380" t="s">
        <v>522</v>
      </c>
      <c r="K226" s="380" t="s">
        <v>522</v>
      </c>
    </row>
    <row r="227" spans="1:11" s="197" customFormat="1" ht="15" x14ac:dyDescent="0.25">
      <c r="A227" s="85">
        <f>Données!A227</f>
        <v>5766</v>
      </c>
      <c r="B227" s="308" t="str">
        <f>Données!B227</f>
        <v>Vuiteboeuf</v>
      </c>
      <c r="C227" s="194">
        <f>Synthèse!G226</f>
        <v>288020.74378792883</v>
      </c>
      <c r="D227" s="371" t="s">
        <v>522</v>
      </c>
      <c r="E227" s="372" t="s">
        <v>522</v>
      </c>
      <c r="F227" s="193">
        <f>Synthèse!F226</f>
        <v>-122601.93900442839</v>
      </c>
      <c r="G227" s="376" t="s">
        <v>522</v>
      </c>
      <c r="H227" s="376" t="s">
        <v>522</v>
      </c>
      <c r="I227" s="194">
        <f>Synthèse!H226</f>
        <v>47685.703910478071</v>
      </c>
      <c r="J227" s="380" t="s">
        <v>522</v>
      </c>
      <c r="K227" s="380" t="s">
        <v>522</v>
      </c>
    </row>
    <row r="228" spans="1:11" s="197" customFormat="1" ht="15" x14ac:dyDescent="0.25">
      <c r="A228" s="85">
        <f>Données!A228</f>
        <v>5785</v>
      </c>
      <c r="B228" s="308" t="str">
        <f>Données!B228</f>
        <v>Corcelles-le-Jorat</v>
      </c>
      <c r="C228" s="194">
        <f>Synthèse!G227</f>
        <v>211393.0455119613</v>
      </c>
      <c r="D228" s="371" t="s">
        <v>522</v>
      </c>
      <c r="E228" s="372" t="s">
        <v>522</v>
      </c>
      <c r="F228" s="193">
        <f>Synthèse!F227</f>
        <v>-14271.693364728708</v>
      </c>
      <c r="G228" s="376" t="s">
        <v>522</v>
      </c>
      <c r="H228" s="376" t="s">
        <v>522</v>
      </c>
      <c r="I228" s="194">
        <f>Synthèse!H227</f>
        <v>47969.258326349984</v>
      </c>
      <c r="J228" s="380" t="s">
        <v>522</v>
      </c>
      <c r="K228" s="380" t="s">
        <v>522</v>
      </c>
    </row>
    <row r="229" spans="1:11" s="197" customFormat="1" ht="15" x14ac:dyDescent="0.25">
      <c r="A229" s="85">
        <f>Données!A229</f>
        <v>5790</v>
      </c>
      <c r="B229" s="308" t="str">
        <f>Données!B229</f>
        <v>Maracon</v>
      </c>
      <c r="C229" s="194">
        <f>Synthèse!G228</f>
        <v>217244.46182975522</v>
      </c>
      <c r="D229" s="371" t="s">
        <v>522</v>
      </c>
      <c r="E229" s="372" t="s">
        <v>522</v>
      </c>
      <c r="F229" s="193">
        <f>Synthèse!F228</f>
        <v>-21974.954263985972</v>
      </c>
      <c r="G229" s="376" t="s">
        <v>522</v>
      </c>
      <c r="H229" s="376" t="s">
        <v>522</v>
      </c>
      <c r="I229" s="194">
        <f>Synthèse!H228</f>
        <v>50246.233763697193</v>
      </c>
      <c r="J229" s="380" t="s">
        <v>522</v>
      </c>
      <c r="K229" s="380" t="s">
        <v>522</v>
      </c>
    </row>
    <row r="230" spans="1:11" s="197" customFormat="1" ht="15" x14ac:dyDescent="0.25">
      <c r="A230" s="85">
        <f>Données!A230</f>
        <v>5792</v>
      </c>
      <c r="B230" s="308" t="str">
        <f>Données!B230</f>
        <v>Montpreveyres</v>
      </c>
      <c r="C230" s="194">
        <f>Synthèse!G229</f>
        <v>261528.30431103799</v>
      </c>
      <c r="D230" s="371" t="s">
        <v>522</v>
      </c>
      <c r="E230" s="372" t="s">
        <v>522</v>
      </c>
      <c r="F230" s="193">
        <f>Synthèse!F229</f>
        <v>-146654.70111001952</v>
      </c>
      <c r="G230" s="376" t="s">
        <v>522</v>
      </c>
      <c r="H230" s="376" t="s">
        <v>522</v>
      </c>
      <c r="I230" s="194">
        <f>Synthèse!H229</f>
        <v>59381.93145374264</v>
      </c>
      <c r="J230" s="380" t="s">
        <v>522</v>
      </c>
      <c r="K230" s="380" t="s">
        <v>522</v>
      </c>
    </row>
    <row r="231" spans="1:11" s="197" customFormat="1" ht="15" x14ac:dyDescent="0.25">
      <c r="A231" s="85">
        <f>Données!A231</f>
        <v>5798</v>
      </c>
      <c r="B231" s="308" t="str">
        <f>Données!B231</f>
        <v>Ropraz</v>
      </c>
      <c r="C231" s="194">
        <f>Synthèse!G230</f>
        <v>240825.40167925006</v>
      </c>
      <c r="D231" s="371" t="s">
        <v>522</v>
      </c>
      <c r="E231" s="372" t="s">
        <v>522</v>
      </c>
      <c r="F231" s="193">
        <f>Synthèse!F230</f>
        <v>-56835.544603269431</v>
      </c>
      <c r="G231" s="376" t="s">
        <v>522</v>
      </c>
      <c r="H231" s="376" t="s">
        <v>522</v>
      </c>
      <c r="I231" s="194">
        <f>Synthèse!H230</f>
        <v>49799.304385173193</v>
      </c>
      <c r="J231" s="380" t="s">
        <v>522</v>
      </c>
      <c r="K231" s="380" t="s">
        <v>522</v>
      </c>
    </row>
    <row r="232" spans="1:11" s="197" customFormat="1" ht="15" x14ac:dyDescent="0.25">
      <c r="A232" s="85">
        <f>Données!A232</f>
        <v>5799</v>
      </c>
      <c r="B232" s="308" t="str">
        <f>Données!B232</f>
        <v>Servion</v>
      </c>
      <c r="C232" s="194">
        <f>Synthèse!G231</f>
        <v>1336740.5030866014</v>
      </c>
      <c r="D232" s="371" t="s">
        <v>522</v>
      </c>
      <c r="E232" s="372" t="s">
        <v>522</v>
      </c>
      <c r="F232" s="193">
        <f>Synthèse!F231</f>
        <v>-36069.456683449214</v>
      </c>
      <c r="G232" s="376" t="s">
        <v>522</v>
      </c>
      <c r="H232" s="376" t="s">
        <v>522</v>
      </c>
      <c r="I232" s="194">
        <f>Synthèse!H231</f>
        <v>224069.06956484367</v>
      </c>
      <c r="J232" s="380" t="s">
        <v>522</v>
      </c>
      <c r="K232" s="380" t="s">
        <v>522</v>
      </c>
    </row>
    <row r="233" spans="1:11" s="197" customFormat="1" ht="15" x14ac:dyDescent="0.25">
      <c r="A233" s="85">
        <f>Données!A233</f>
        <v>5803</v>
      </c>
      <c r="B233" s="308" t="str">
        <f>Données!B233</f>
        <v>Vulliens</v>
      </c>
      <c r="C233" s="194">
        <f>Synthèse!G232</f>
        <v>275289.2346627065</v>
      </c>
      <c r="D233" s="371" t="s">
        <v>522</v>
      </c>
      <c r="E233" s="372" t="s">
        <v>522</v>
      </c>
      <c r="F233" s="193">
        <f>Synthèse!F232</f>
        <v>-158255.94525846135</v>
      </c>
      <c r="G233" s="376" t="s">
        <v>522</v>
      </c>
      <c r="H233" s="376" t="s">
        <v>522</v>
      </c>
      <c r="I233" s="194">
        <f>Synthèse!H232</f>
        <v>50723.574457662406</v>
      </c>
      <c r="J233" s="380" t="s">
        <v>522</v>
      </c>
      <c r="K233" s="380" t="s">
        <v>522</v>
      </c>
    </row>
    <row r="234" spans="1:11" s="197" customFormat="1" ht="15" x14ac:dyDescent="0.25">
      <c r="A234" s="85">
        <f>Données!A234</f>
        <v>5804</v>
      </c>
      <c r="B234" s="308" t="str">
        <f>Données!B234</f>
        <v>Jorat-Menthue</v>
      </c>
      <c r="C234" s="194">
        <f>Synthèse!G233</f>
        <v>668183.39225313487</v>
      </c>
      <c r="D234" s="371" t="s">
        <v>522</v>
      </c>
      <c r="E234" s="372" t="s">
        <v>522</v>
      </c>
      <c r="F234" s="193">
        <f>Synthèse!F233</f>
        <v>-466114.12742147187</v>
      </c>
      <c r="G234" s="376" t="s">
        <v>522</v>
      </c>
      <c r="H234" s="376" t="s">
        <v>522</v>
      </c>
      <c r="I234" s="194">
        <f>Synthèse!H233</f>
        <v>138130.31306413971</v>
      </c>
      <c r="J234" s="380" t="s">
        <v>522</v>
      </c>
      <c r="K234" s="380" t="s">
        <v>522</v>
      </c>
    </row>
    <row r="235" spans="1:11" s="197" customFormat="1" ht="15" x14ac:dyDescent="0.25">
      <c r="A235" s="85">
        <f>Données!A235</f>
        <v>5805</v>
      </c>
      <c r="B235" s="308" t="str">
        <f>Données!B235</f>
        <v>Oron</v>
      </c>
      <c r="C235" s="194">
        <f>Synthèse!G234</f>
        <v>2678089.1821459206</v>
      </c>
      <c r="D235" s="371" t="s">
        <v>522</v>
      </c>
      <c r="E235" s="372" t="s">
        <v>522</v>
      </c>
      <c r="F235" s="193">
        <f>Synthèse!F234</f>
        <v>-2662921.5058288123</v>
      </c>
      <c r="G235" s="376" t="s">
        <v>522</v>
      </c>
      <c r="H235" s="376" t="s">
        <v>522</v>
      </c>
      <c r="I235" s="194">
        <f>Synthèse!H234</f>
        <v>532720.50876311504</v>
      </c>
      <c r="J235" s="380" t="s">
        <v>522</v>
      </c>
      <c r="K235" s="380" t="s">
        <v>522</v>
      </c>
    </row>
    <row r="236" spans="1:11" s="197" customFormat="1" ht="15" x14ac:dyDescent="0.25">
      <c r="A236" s="85">
        <f>Données!A236</f>
        <v>5806</v>
      </c>
      <c r="B236" s="308" t="str">
        <f>Données!B236</f>
        <v>Jorat-Mézières</v>
      </c>
      <c r="C236" s="194">
        <f>Synthèse!G235</f>
        <v>1658996.9497703766</v>
      </c>
      <c r="D236" s="371" t="s">
        <v>522</v>
      </c>
      <c r="E236" s="372" t="s">
        <v>522</v>
      </c>
      <c r="F236" s="193">
        <f>Synthèse!F235</f>
        <v>-387690.43465782097</v>
      </c>
      <c r="G236" s="376" t="s">
        <v>522</v>
      </c>
      <c r="H236" s="376" t="s">
        <v>522</v>
      </c>
      <c r="I236" s="194">
        <f>Synthèse!H235</f>
        <v>317174.93070809788</v>
      </c>
      <c r="J236" s="380" t="s">
        <v>522</v>
      </c>
      <c r="K236" s="380" t="s">
        <v>522</v>
      </c>
    </row>
    <row r="237" spans="1:11" s="197" customFormat="1" ht="15" x14ac:dyDescent="0.25">
      <c r="A237" s="85">
        <f>Données!A237</f>
        <v>5812</v>
      </c>
      <c r="B237" s="308" t="str">
        <f>Données!B237</f>
        <v>Champtauroz</v>
      </c>
      <c r="C237" s="194">
        <f>Synthèse!G236</f>
        <v>68855.725471231242</v>
      </c>
      <c r="D237" s="371" t="s">
        <v>522</v>
      </c>
      <c r="E237" s="372" t="s">
        <v>522</v>
      </c>
      <c r="F237" s="193">
        <f>Synthèse!F236</f>
        <v>-94524.288828098724</v>
      </c>
      <c r="G237" s="376" t="s">
        <v>522</v>
      </c>
      <c r="H237" s="376" t="s">
        <v>522</v>
      </c>
      <c r="I237" s="194">
        <f>Synthèse!H236</f>
        <v>11246.765100191855</v>
      </c>
      <c r="J237" s="380" t="s">
        <v>522</v>
      </c>
      <c r="K237" s="380" t="s">
        <v>522</v>
      </c>
    </row>
    <row r="238" spans="1:11" s="197" customFormat="1" ht="15" x14ac:dyDescent="0.25">
      <c r="A238" s="85">
        <f>Données!A238</f>
        <v>5813</v>
      </c>
      <c r="B238" s="308" t="str">
        <f>Données!B238</f>
        <v>Chevroux</v>
      </c>
      <c r="C238" s="194">
        <f>Synthèse!G237</f>
        <v>300473.52605062956</v>
      </c>
      <c r="D238" s="371" t="s">
        <v>522</v>
      </c>
      <c r="E238" s="372" t="s">
        <v>522</v>
      </c>
      <c r="F238" s="193">
        <f>Synthèse!F237</f>
        <v>-34788.941603241256</v>
      </c>
      <c r="G238" s="376" t="s">
        <v>522</v>
      </c>
      <c r="H238" s="376" t="s">
        <v>522</v>
      </c>
      <c r="I238" s="194">
        <f>Synthèse!H237</f>
        <v>53800.200113754167</v>
      </c>
      <c r="J238" s="380" t="s">
        <v>522</v>
      </c>
      <c r="K238" s="380" t="s">
        <v>522</v>
      </c>
    </row>
    <row r="239" spans="1:11" s="197" customFormat="1" ht="15" x14ac:dyDescent="0.25">
      <c r="A239" s="85">
        <f>Données!A239</f>
        <v>5816</v>
      </c>
      <c r="B239" s="308" t="str">
        <f>Données!B239</f>
        <v>Corcelles-près-Payerne</v>
      </c>
      <c r="C239" s="194">
        <f>Synthèse!G238</f>
        <v>1037033.7149601716</v>
      </c>
      <c r="D239" s="371" t="s">
        <v>522</v>
      </c>
      <c r="E239" s="372" t="s">
        <v>522</v>
      </c>
      <c r="F239" s="193">
        <f>Synthèse!F238</f>
        <v>-1191829.2460590543</v>
      </c>
      <c r="G239" s="376" t="s">
        <v>522</v>
      </c>
      <c r="H239" s="376" t="s">
        <v>522</v>
      </c>
      <c r="I239" s="194">
        <f>Synthèse!H238</f>
        <v>199781.71611971024</v>
      </c>
      <c r="J239" s="380" t="s">
        <v>522</v>
      </c>
      <c r="K239" s="380" t="s">
        <v>522</v>
      </c>
    </row>
    <row r="240" spans="1:11" s="197" customFormat="1" ht="15" x14ac:dyDescent="0.25">
      <c r="A240" s="85">
        <f>Données!A240</f>
        <v>5817</v>
      </c>
      <c r="B240" s="308" t="str">
        <f>Données!B240</f>
        <v>Grandcour</v>
      </c>
      <c r="C240" s="194">
        <f>Synthèse!G239</f>
        <v>423184.34089847631</v>
      </c>
      <c r="D240" s="371" t="s">
        <v>522</v>
      </c>
      <c r="E240" s="372" t="s">
        <v>522</v>
      </c>
      <c r="F240" s="193">
        <f>Synthèse!F239</f>
        <v>-217714.40308356809</v>
      </c>
      <c r="G240" s="376" t="s">
        <v>522</v>
      </c>
      <c r="H240" s="376" t="s">
        <v>522</v>
      </c>
      <c r="I240" s="194">
        <f>Synthèse!H239</f>
        <v>80016.28689905291</v>
      </c>
      <c r="J240" s="380" t="s">
        <v>522</v>
      </c>
      <c r="K240" s="380" t="s">
        <v>522</v>
      </c>
    </row>
    <row r="241" spans="1:11" s="197" customFormat="1" ht="15" x14ac:dyDescent="0.25">
      <c r="A241" s="85">
        <f>Données!A241</f>
        <v>5819</v>
      </c>
      <c r="B241" s="308" t="str">
        <f>Données!B241</f>
        <v>Henniez</v>
      </c>
      <c r="C241" s="194">
        <f>Synthèse!G240</f>
        <v>219375.1287906841</v>
      </c>
      <c r="D241" s="371" t="s">
        <v>522</v>
      </c>
      <c r="E241" s="372" t="s">
        <v>522</v>
      </c>
      <c r="F241" s="193">
        <f>Synthèse!F240</f>
        <v>-136722.15727393809</v>
      </c>
      <c r="G241" s="376" t="s">
        <v>522</v>
      </c>
      <c r="H241" s="376" t="s">
        <v>522</v>
      </c>
      <c r="I241" s="194">
        <f>Synthèse!H240</f>
        <v>30577.270164812806</v>
      </c>
      <c r="J241" s="380" t="s">
        <v>522</v>
      </c>
      <c r="K241" s="380" t="s">
        <v>522</v>
      </c>
    </row>
    <row r="242" spans="1:11" s="197" customFormat="1" ht="15" x14ac:dyDescent="0.25">
      <c r="A242" s="85">
        <f>Données!A242</f>
        <v>5821</v>
      </c>
      <c r="B242" s="308" t="str">
        <f>Données!B242</f>
        <v>Missy</v>
      </c>
      <c r="C242" s="194">
        <f>Synthèse!G241</f>
        <v>144957.80922291329</v>
      </c>
      <c r="D242" s="371" t="s">
        <v>522</v>
      </c>
      <c r="E242" s="372" t="s">
        <v>522</v>
      </c>
      <c r="F242" s="193">
        <f>Synthèse!F241</f>
        <v>-142668.05300253714</v>
      </c>
      <c r="G242" s="376" t="s">
        <v>522</v>
      </c>
      <c r="H242" s="376" t="s">
        <v>522</v>
      </c>
      <c r="I242" s="194">
        <f>Synthèse!H241</f>
        <v>25555.727884239979</v>
      </c>
      <c r="J242" s="380" t="s">
        <v>522</v>
      </c>
      <c r="K242" s="380" t="s">
        <v>522</v>
      </c>
    </row>
    <row r="243" spans="1:11" s="197" customFormat="1" ht="15" x14ac:dyDescent="0.25">
      <c r="A243" s="85">
        <f>Données!A243</f>
        <v>5822</v>
      </c>
      <c r="B243" s="308" t="str">
        <f>Données!B243</f>
        <v>Payerne</v>
      </c>
      <c r="C243" s="194">
        <f>Synthèse!G242</f>
        <v>3857721.0651279795</v>
      </c>
      <c r="D243" s="371" t="s">
        <v>522</v>
      </c>
      <c r="E243" s="372" t="s">
        <v>522</v>
      </c>
      <c r="F243" s="193">
        <f>Synthèse!F242</f>
        <v>-7807538.9674565643</v>
      </c>
      <c r="G243" s="376" t="s">
        <v>522</v>
      </c>
      <c r="H243" s="376" t="s">
        <v>522</v>
      </c>
      <c r="I243" s="194">
        <f>Synthèse!H242</f>
        <v>687165.3179729213</v>
      </c>
      <c r="J243" s="380" t="s">
        <v>522</v>
      </c>
      <c r="K243" s="380" t="s">
        <v>522</v>
      </c>
    </row>
    <row r="244" spans="1:11" s="197" customFormat="1" ht="15" x14ac:dyDescent="0.25">
      <c r="A244" s="85">
        <f>Données!A244</f>
        <v>5827</v>
      </c>
      <c r="B244" s="308" t="str">
        <f>Données!B244</f>
        <v>Trey</v>
      </c>
      <c r="C244" s="194">
        <f>Synthèse!G243</f>
        <v>121061.09972613721</v>
      </c>
      <c r="D244" s="371" t="s">
        <v>522</v>
      </c>
      <c r="E244" s="372" t="s">
        <v>522</v>
      </c>
      <c r="F244" s="193">
        <f>Synthèse!F243</f>
        <v>-83313.180544444243</v>
      </c>
      <c r="G244" s="376" t="s">
        <v>522</v>
      </c>
      <c r="H244" s="376" t="s">
        <v>522</v>
      </c>
      <c r="I244" s="194">
        <f>Synthèse!H243</f>
        <v>23726.350937308071</v>
      </c>
      <c r="J244" s="380" t="s">
        <v>522</v>
      </c>
      <c r="K244" s="380" t="s">
        <v>522</v>
      </c>
    </row>
    <row r="245" spans="1:11" s="197" customFormat="1" ht="15" x14ac:dyDescent="0.25">
      <c r="A245" s="85">
        <f>Données!A245</f>
        <v>5828</v>
      </c>
      <c r="B245" s="308" t="str">
        <f>Données!B245</f>
        <v>Treytorrens (Payerne)</v>
      </c>
      <c r="C245" s="194">
        <f>Synthèse!G244</f>
        <v>46752.772110528022</v>
      </c>
      <c r="D245" s="371" t="s">
        <v>522</v>
      </c>
      <c r="E245" s="372" t="s">
        <v>522</v>
      </c>
      <c r="F245" s="193">
        <f>Synthèse!F244</f>
        <v>-54802.401721524599</v>
      </c>
      <c r="G245" s="376" t="s">
        <v>522</v>
      </c>
      <c r="H245" s="376" t="s">
        <v>522</v>
      </c>
      <c r="I245" s="194">
        <f>Synthèse!H244</f>
        <v>8847.154376207407</v>
      </c>
      <c r="J245" s="380" t="s">
        <v>522</v>
      </c>
      <c r="K245" s="380" t="s">
        <v>522</v>
      </c>
    </row>
    <row r="246" spans="1:11" s="197" customFormat="1" ht="15" x14ac:dyDescent="0.25">
      <c r="A246" s="85">
        <f>Données!A246</f>
        <v>5830</v>
      </c>
      <c r="B246" s="308" t="str">
        <f>Données!B246</f>
        <v>Villarzel</v>
      </c>
      <c r="C246" s="194">
        <f>Synthèse!G245</f>
        <v>187707.21817462839</v>
      </c>
      <c r="D246" s="371" t="s">
        <v>522</v>
      </c>
      <c r="E246" s="372" t="s">
        <v>522</v>
      </c>
      <c r="F246" s="193">
        <f>Synthèse!F245</f>
        <v>-166359.44541987823</v>
      </c>
      <c r="G246" s="376" t="s">
        <v>522</v>
      </c>
      <c r="H246" s="376" t="s">
        <v>522</v>
      </c>
      <c r="I246" s="194">
        <f>Synthèse!H245</f>
        <v>38748.738130468773</v>
      </c>
      <c r="J246" s="380" t="s">
        <v>522</v>
      </c>
      <c r="K246" s="380" t="s">
        <v>522</v>
      </c>
    </row>
    <row r="247" spans="1:11" s="197" customFormat="1" ht="15" x14ac:dyDescent="0.25">
      <c r="A247" s="85">
        <f>Données!A247</f>
        <v>5831</v>
      </c>
      <c r="B247" s="308" t="str">
        <f>Données!B247</f>
        <v>Valbroye</v>
      </c>
      <c r="C247" s="194">
        <f>Synthèse!G246</f>
        <v>1534730.6196986139</v>
      </c>
      <c r="D247" s="371" t="s">
        <v>522</v>
      </c>
      <c r="E247" s="372" t="s">
        <v>522</v>
      </c>
      <c r="F247" s="193">
        <f>Synthèse!F246</f>
        <v>-1760130.5251319194</v>
      </c>
      <c r="G247" s="376" t="s">
        <v>522</v>
      </c>
      <c r="H247" s="376" t="s">
        <v>522</v>
      </c>
      <c r="I247" s="194">
        <f>Synthèse!H246</f>
        <v>267957.92056412681</v>
      </c>
      <c r="J247" s="380" t="s">
        <v>522</v>
      </c>
      <c r="K247" s="380" t="s">
        <v>522</v>
      </c>
    </row>
    <row r="248" spans="1:11" s="197" customFormat="1" ht="15" x14ac:dyDescent="0.25">
      <c r="A248" s="85">
        <f>Données!A248</f>
        <v>5841</v>
      </c>
      <c r="B248" s="308" t="str">
        <f>Données!B248</f>
        <v>Château-d'Oex</v>
      </c>
      <c r="C248" s="194">
        <f>Synthèse!G247</f>
        <v>2664715.3548459383</v>
      </c>
      <c r="D248" s="371" t="s">
        <v>522</v>
      </c>
      <c r="E248" s="372" t="s">
        <v>522</v>
      </c>
      <c r="F248" s="193">
        <f>Synthèse!F247</f>
        <v>-2101621.9428075738</v>
      </c>
      <c r="G248" s="376" t="s">
        <v>522</v>
      </c>
      <c r="H248" s="376" t="s">
        <v>522</v>
      </c>
      <c r="I248" s="194">
        <f>Synthèse!H247</f>
        <v>375241.35750261496</v>
      </c>
      <c r="J248" s="380" t="s">
        <v>522</v>
      </c>
      <c r="K248" s="380" t="s">
        <v>522</v>
      </c>
    </row>
    <row r="249" spans="1:11" s="197" customFormat="1" ht="15" x14ac:dyDescent="0.25">
      <c r="A249" s="85">
        <f>Données!A249</f>
        <v>5842</v>
      </c>
      <c r="B249" s="308" t="str">
        <f>Données!B249</f>
        <v>Rossinière</v>
      </c>
      <c r="C249" s="194">
        <f>Synthèse!G248</f>
        <v>256256.04442144567</v>
      </c>
      <c r="D249" s="371" t="s">
        <v>522</v>
      </c>
      <c r="E249" s="372" t="s">
        <v>522</v>
      </c>
      <c r="F249" s="193">
        <f>Synthèse!F248</f>
        <v>-302811.57789582515</v>
      </c>
      <c r="G249" s="376" t="s">
        <v>522</v>
      </c>
      <c r="H249" s="376" t="s">
        <v>522</v>
      </c>
      <c r="I249" s="194">
        <f>Synthèse!H248</f>
        <v>50968.279884779367</v>
      </c>
      <c r="J249" s="380" t="s">
        <v>522</v>
      </c>
      <c r="K249" s="380" t="s">
        <v>522</v>
      </c>
    </row>
    <row r="250" spans="1:11" s="197" customFormat="1" ht="15" x14ac:dyDescent="0.25">
      <c r="A250" s="85">
        <f>Données!A250</f>
        <v>5843</v>
      </c>
      <c r="B250" s="308" t="str">
        <f>Données!B250</f>
        <v>Rougemont</v>
      </c>
      <c r="C250" s="194">
        <f>Synthèse!G249</f>
        <v>3519459.2130802064</v>
      </c>
      <c r="D250" s="371" t="s">
        <v>522</v>
      </c>
      <c r="E250" s="372" t="s">
        <v>522</v>
      </c>
      <c r="F250" s="193">
        <f>Synthèse!F249</f>
        <v>1550112.605994822</v>
      </c>
      <c r="G250" s="376" t="s">
        <v>522</v>
      </c>
      <c r="H250" s="376" t="s">
        <v>522</v>
      </c>
      <c r="I250" s="194">
        <f>Synthèse!H249</f>
        <v>184192.42635179227</v>
      </c>
      <c r="J250" s="380" t="s">
        <v>522</v>
      </c>
      <c r="K250" s="380" t="s">
        <v>522</v>
      </c>
    </row>
    <row r="251" spans="1:11" s="197" customFormat="1" ht="15" x14ac:dyDescent="0.25">
      <c r="A251" s="85">
        <f>Données!A251</f>
        <v>5851</v>
      </c>
      <c r="B251" s="308" t="str">
        <f>Données!B251</f>
        <v>Allaman</v>
      </c>
      <c r="C251" s="194">
        <f>Synthèse!G250</f>
        <v>677362.78042910865</v>
      </c>
      <c r="D251" s="371" t="s">
        <v>522</v>
      </c>
      <c r="E251" s="372" t="s">
        <v>522</v>
      </c>
      <c r="F251" s="193">
        <f>Synthèse!F250</f>
        <v>420730.85834366339</v>
      </c>
      <c r="G251" s="376" t="s">
        <v>522</v>
      </c>
      <c r="H251" s="376" t="s">
        <v>522</v>
      </c>
      <c r="I251" s="194">
        <f>Synthèse!H250</f>
        <v>67627.185162434151</v>
      </c>
      <c r="J251" s="380" t="s">
        <v>522</v>
      </c>
      <c r="K251" s="380" t="s">
        <v>522</v>
      </c>
    </row>
    <row r="252" spans="1:11" s="197" customFormat="1" ht="15" x14ac:dyDescent="0.25">
      <c r="A252" s="85">
        <f>Données!A252</f>
        <v>5852</v>
      </c>
      <c r="B252" s="308" t="str">
        <f>Données!B252</f>
        <v>Bursinel</v>
      </c>
      <c r="C252" s="194">
        <f>Synthèse!G251</f>
        <v>745316.29024655896</v>
      </c>
      <c r="D252" s="371" t="s">
        <v>522</v>
      </c>
      <c r="E252" s="372" t="s">
        <v>522</v>
      </c>
      <c r="F252" s="193">
        <f>Synthèse!F251</f>
        <v>632872.36062999046</v>
      </c>
      <c r="G252" s="376" t="s">
        <v>522</v>
      </c>
      <c r="H252" s="376" t="s">
        <v>522</v>
      </c>
      <c r="I252" s="194">
        <f>Synthèse!H251</f>
        <v>88594.62892586313</v>
      </c>
      <c r="J252" s="380" t="s">
        <v>522</v>
      </c>
      <c r="K252" s="380" t="s">
        <v>522</v>
      </c>
    </row>
    <row r="253" spans="1:11" s="197" customFormat="1" ht="15" x14ac:dyDescent="0.25">
      <c r="A253" s="85">
        <f>Données!A253</f>
        <v>5853</v>
      </c>
      <c r="B253" s="308" t="str">
        <f>Données!B253</f>
        <v>Bursins</v>
      </c>
      <c r="C253" s="194">
        <f>Synthèse!G252</f>
        <v>1164900.1076481557</v>
      </c>
      <c r="D253" s="371" t="s">
        <v>522</v>
      </c>
      <c r="E253" s="372" t="s">
        <v>522</v>
      </c>
      <c r="F253" s="193">
        <f>Synthèse!F252</f>
        <v>831399.38961888524</v>
      </c>
      <c r="G253" s="376" t="s">
        <v>522</v>
      </c>
      <c r="H253" s="376" t="s">
        <v>522</v>
      </c>
      <c r="I253" s="194">
        <f>Synthèse!H252</f>
        <v>126538.40922225964</v>
      </c>
      <c r="J253" s="380" t="s">
        <v>522</v>
      </c>
      <c r="K253" s="380" t="s">
        <v>522</v>
      </c>
    </row>
    <row r="254" spans="1:11" s="197" customFormat="1" ht="15" x14ac:dyDescent="0.25">
      <c r="A254" s="85">
        <f>Données!A254</f>
        <v>5854</v>
      </c>
      <c r="B254" s="308" t="str">
        <f>Données!B254</f>
        <v>Burtigny</v>
      </c>
      <c r="C254" s="194">
        <f>Synthèse!G253</f>
        <v>247370.31734885761</v>
      </c>
      <c r="D254" s="371" t="s">
        <v>522</v>
      </c>
      <c r="E254" s="372" t="s">
        <v>522</v>
      </c>
      <c r="F254" s="193">
        <f>Synthèse!F253</f>
        <v>99857.075055266556</v>
      </c>
      <c r="G254" s="376" t="s">
        <v>522</v>
      </c>
      <c r="H254" s="376" t="s">
        <v>522</v>
      </c>
      <c r="I254" s="194">
        <f>Synthèse!H253</f>
        <v>47362.026824877801</v>
      </c>
      <c r="J254" s="380" t="s">
        <v>522</v>
      </c>
      <c r="K254" s="380" t="s">
        <v>522</v>
      </c>
    </row>
    <row r="255" spans="1:11" s="197" customFormat="1" ht="15" x14ac:dyDescent="0.25">
      <c r="A255" s="85">
        <f>Données!A255</f>
        <v>5855</v>
      </c>
      <c r="B255" s="308" t="str">
        <f>Données!B255</f>
        <v>Dully</v>
      </c>
      <c r="C255" s="194">
        <f>Synthèse!G254</f>
        <v>2829674.2985414192</v>
      </c>
      <c r="D255" s="371" t="s">
        <v>522</v>
      </c>
      <c r="E255" s="372" t="s">
        <v>522</v>
      </c>
      <c r="F255" s="193">
        <f>Synthèse!F254</f>
        <v>1535928.9675980725</v>
      </c>
      <c r="G255" s="376" t="s">
        <v>522</v>
      </c>
      <c r="H255" s="376" t="s">
        <v>522</v>
      </c>
      <c r="I255" s="194">
        <f>Synthèse!H254</f>
        <v>158105.887913796</v>
      </c>
      <c r="J255" s="380" t="s">
        <v>522</v>
      </c>
      <c r="K255" s="380" t="s">
        <v>522</v>
      </c>
    </row>
    <row r="256" spans="1:11" s="197" customFormat="1" ht="15" x14ac:dyDescent="0.25">
      <c r="A256" s="85">
        <f>Données!A256</f>
        <v>5856</v>
      </c>
      <c r="B256" s="308" t="str">
        <f>Données!B256</f>
        <v>Essertines-sur-Rolle</v>
      </c>
      <c r="C256" s="194">
        <f>Synthèse!G255</f>
        <v>569049.86223760014</v>
      </c>
      <c r="D256" s="371" t="s">
        <v>522</v>
      </c>
      <c r="E256" s="372" t="s">
        <v>522</v>
      </c>
      <c r="F256" s="193">
        <f>Synthèse!F255</f>
        <v>616520.08562430507</v>
      </c>
      <c r="G256" s="376" t="s">
        <v>522</v>
      </c>
      <c r="H256" s="376" t="s">
        <v>522</v>
      </c>
      <c r="I256" s="194">
        <f>Synthèse!H255</f>
        <v>111296.96549493678</v>
      </c>
      <c r="J256" s="380" t="s">
        <v>522</v>
      </c>
      <c r="K256" s="380" t="s">
        <v>522</v>
      </c>
    </row>
    <row r="257" spans="1:11" s="197" customFormat="1" ht="15" x14ac:dyDescent="0.25">
      <c r="A257" s="85">
        <f>Données!A257</f>
        <v>5857</v>
      </c>
      <c r="B257" s="308" t="str">
        <f>Données!B257</f>
        <v>Gilly</v>
      </c>
      <c r="C257" s="194">
        <f>Synthèse!G256</f>
        <v>1592745.4282579252</v>
      </c>
      <c r="D257" s="371" t="s">
        <v>522</v>
      </c>
      <c r="E257" s="372" t="s">
        <v>522</v>
      </c>
      <c r="F257" s="193">
        <f>Synthèse!F256</f>
        <v>1410883.304131262</v>
      </c>
      <c r="G257" s="376" t="s">
        <v>522</v>
      </c>
      <c r="H257" s="376" t="s">
        <v>522</v>
      </c>
      <c r="I257" s="194">
        <f>Synthèse!H256</f>
        <v>235497.9750800608</v>
      </c>
      <c r="J257" s="380" t="s">
        <v>522</v>
      </c>
      <c r="K257" s="380" t="s">
        <v>522</v>
      </c>
    </row>
    <row r="258" spans="1:11" s="197" customFormat="1" ht="15" x14ac:dyDescent="0.25">
      <c r="A258" s="85">
        <f>Données!A258</f>
        <v>5858</v>
      </c>
      <c r="B258" s="308" t="str">
        <f>Données!B258</f>
        <v>Luins</v>
      </c>
      <c r="C258" s="194">
        <f>Synthèse!G257</f>
        <v>872997.07114121527</v>
      </c>
      <c r="D258" s="371" t="s">
        <v>522</v>
      </c>
      <c r="E258" s="372" t="s">
        <v>522</v>
      </c>
      <c r="F258" s="193">
        <f>Synthèse!F257</f>
        <v>725853.99579167261</v>
      </c>
      <c r="G258" s="376" t="s">
        <v>522</v>
      </c>
      <c r="H258" s="376" t="s">
        <v>522</v>
      </c>
      <c r="I258" s="194">
        <f>Synthèse!H257</f>
        <v>105576.75864722842</v>
      </c>
      <c r="J258" s="380" t="s">
        <v>522</v>
      </c>
      <c r="K258" s="380" t="s">
        <v>522</v>
      </c>
    </row>
    <row r="259" spans="1:11" s="197" customFormat="1" ht="15" x14ac:dyDescent="0.25">
      <c r="A259" s="85">
        <f>Données!A259</f>
        <v>5859</v>
      </c>
      <c r="B259" s="308" t="str">
        <f>Données!B259</f>
        <v>Mont-sur-Rolle</v>
      </c>
      <c r="C259" s="194">
        <f>Synthèse!G258</f>
        <v>3018299.1856465633</v>
      </c>
      <c r="D259" s="371" t="s">
        <v>522</v>
      </c>
      <c r="E259" s="372" t="s">
        <v>522</v>
      </c>
      <c r="F259" s="193">
        <f>Synthèse!F258</f>
        <v>2100445.9837197382</v>
      </c>
      <c r="G259" s="376" t="s">
        <v>522</v>
      </c>
      <c r="H259" s="376" t="s">
        <v>522</v>
      </c>
      <c r="I259" s="194">
        <f>Synthèse!H258</f>
        <v>439907.99864171026</v>
      </c>
      <c r="J259" s="380" t="s">
        <v>522</v>
      </c>
      <c r="K259" s="380" t="s">
        <v>522</v>
      </c>
    </row>
    <row r="260" spans="1:11" s="197" customFormat="1" ht="15" x14ac:dyDescent="0.25">
      <c r="A260" s="85">
        <f>Données!A260</f>
        <v>5860</v>
      </c>
      <c r="B260" s="308" t="str">
        <f>Données!B260</f>
        <v>Perroy</v>
      </c>
      <c r="C260" s="194">
        <f>Synthèse!G259</f>
        <v>3114981.8853328293</v>
      </c>
      <c r="D260" s="371" t="s">
        <v>522</v>
      </c>
      <c r="E260" s="372" t="s">
        <v>522</v>
      </c>
      <c r="F260" s="193">
        <f>Synthèse!F259</f>
        <v>2264768.5671798964</v>
      </c>
      <c r="G260" s="376" t="s">
        <v>522</v>
      </c>
      <c r="H260" s="376" t="s">
        <v>522</v>
      </c>
      <c r="I260" s="194">
        <f>Synthèse!H259</f>
        <v>300243.67974730267</v>
      </c>
      <c r="J260" s="380" t="s">
        <v>522</v>
      </c>
      <c r="K260" s="380" t="s">
        <v>522</v>
      </c>
    </row>
    <row r="261" spans="1:11" s="197" customFormat="1" ht="15" x14ac:dyDescent="0.25">
      <c r="A261" s="85">
        <f>Données!A261</f>
        <v>5861</v>
      </c>
      <c r="B261" s="308" t="str">
        <f>Données!B261</f>
        <v>Rolle</v>
      </c>
      <c r="C261" s="194">
        <f>Synthèse!G260</f>
        <v>22592658.619484603</v>
      </c>
      <c r="D261" s="371" t="s">
        <v>522</v>
      </c>
      <c r="E261" s="372" t="s">
        <v>522</v>
      </c>
      <c r="F261" s="193">
        <f>Synthèse!F260</f>
        <v>12862756.841513887</v>
      </c>
      <c r="G261" s="376" t="s">
        <v>522</v>
      </c>
      <c r="H261" s="376" t="s">
        <v>522</v>
      </c>
      <c r="I261" s="194">
        <f>Synthèse!H260</f>
        <v>1545473.6056677408</v>
      </c>
      <c r="J261" s="380" t="s">
        <v>522</v>
      </c>
      <c r="K261" s="380" t="s">
        <v>522</v>
      </c>
    </row>
    <row r="262" spans="1:11" s="197" customFormat="1" ht="15" x14ac:dyDescent="0.25">
      <c r="A262" s="85">
        <f>Données!A262</f>
        <v>5862</v>
      </c>
      <c r="B262" s="308" t="str">
        <f>Données!B262</f>
        <v>Tartegnin</v>
      </c>
      <c r="C262" s="194">
        <f>Synthèse!G261</f>
        <v>212364.37882796652</v>
      </c>
      <c r="D262" s="371" t="s">
        <v>522</v>
      </c>
      <c r="E262" s="372" t="s">
        <v>522</v>
      </c>
      <c r="F262" s="193">
        <f>Synthèse!F261</f>
        <v>131863.94466663379</v>
      </c>
      <c r="G262" s="376" t="s">
        <v>522</v>
      </c>
      <c r="H262" s="376" t="s">
        <v>522</v>
      </c>
      <c r="I262" s="194">
        <f>Synthèse!H261</f>
        <v>32330.340601221687</v>
      </c>
      <c r="J262" s="380" t="s">
        <v>522</v>
      </c>
      <c r="K262" s="380" t="s">
        <v>522</v>
      </c>
    </row>
    <row r="263" spans="1:11" s="197" customFormat="1" ht="15" x14ac:dyDescent="0.25">
      <c r="A263" s="85">
        <f>Données!A263</f>
        <v>5863</v>
      </c>
      <c r="B263" s="308" t="str">
        <f>Données!B263</f>
        <v>Vinzel</v>
      </c>
      <c r="C263" s="194">
        <f>Synthèse!G262</f>
        <v>468193.33240299835</v>
      </c>
      <c r="D263" s="371" t="s">
        <v>522</v>
      </c>
      <c r="E263" s="372" t="s">
        <v>522</v>
      </c>
      <c r="F263" s="193">
        <f>Synthèse!F262</f>
        <v>414258.00305350841</v>
      </c>
      <c r="G263" s="376" t="s">
        <v>522</v>
      </c>
      <c r="H263" s="376" t="s">
        <v>522</v>
      </c>
      <c r="I263" s="194">
        <f>Synthèse!H262</f>
        <v>62695.48395705146</v>
      </c>
      <c r="J263" s="380" t="s">
        <v>522</v>
      </c>
      <c r="K263" s="380" t="s">
        <v>522</v>
      </c>
    </row>
    <row r="264" spans="1:11" s="197" customFormat="1" ht="15" x14ac:dyDescent="0.25">
      <c r="A264" s="85">
        <f>Données!A264</f>
        <v>5871</v>
      </c>
      <c r="B264" s="308" t="str">
        <f>Données!B264</f>
        <v>L'Abbaye</v>
      </c>
      <c r="C264" s="194">
        <f>Synthèse!G263</f>
        <v>1023876.6654795378</v>
      </c>
      <c r="D264" s="371" t="s">
        <v>522</v>
      </c>
      <c r="E264" s="372" t="s">
        <v>522</v>
      </c>
      <c r="F264" s="193">
        <f>Synthèse!F263</f>
        <v>-322990.71825205721</v>
      </c>
      <c r="G264" s="376" t="s">
        <v>522</v>
      </c>
      <c r="H264" s="376" t="s">
        <v>522</v>
      </c>
      <c r="I264" s="194">
        <f>Synthèse!H263</f>
        <v>155042.04100595292</v>
      </c>
      <c r="J264" s="380" t="s">
        <v>522</v>
      </c>
      <c r="K264" s="380" t="s">
        <v>522</v>
      </c>
    </row>
    <row r="265" spans="1:11" s="197" customFormat="1" ht="15" x14ac:dyDescent="0.25">
      <c r="A265" s="85">
        <f>Données!A265</f>
        <v>5872</v>
      </c>
      <c r="B265" s="308" t="str">
        <f>Données!B265</f>
        <v>Le Chenit</v>
      </c>
      <c r="C265" s="194">
        <f>Synthèse!G264</f>
        <v>8341707.3903751187</v>
      </c>
      <c r="D265" s="371" t="s">
        <v>522</v>
      </c>
      <c r="E265" s="372" t="s">
        <v>522</v>
      </c>
      <c r="F265" s="193">
        <f>Synthèse!F264</f>
        <v>3313092.2688086387</v>
      </c>
      <c r="G265" s="376" t="s">
        <v>522</v>
      </c>
      <c r="H265" s="376" t="s">
        <v>522</v>
      </c>
      <c r="I265" s="194">
        <f>Synthèse!H264</f>
        <v>800070.47392224567</v>
      </c>
      <c r="J265" s="380" t="s">
        <v>522</v>
      </c>
      <c r="K265" s="380" t="s">
        <v>522</v>
      </c>
    </row>
    <row r="266" spans="1:11" s="197" customFormat="1" ht="15" x14ac:dyDescent="0.25">
      <c r="A266" s="85">
        <f>Données!A266</f>
        <v>5873</v>
      </c>
      <c r="B266" s="308" t="str">
        <f>Données!B266</f>
        <v>Le Lieu</v>
      </c>
      <c r="C266" s="194">
        <f>Synthèse!G265</f>
        <v>827613.52013103396</v>
      </c>
      <c r="D266" s="371" t="s">
        <v>522</v>
      </c>
      <c r="E266" s="372" t="s">
        <v>522</v>
      </c>
      <c r="F266" s="193">
        <f>Synthèse!F265</f>
        <v>-225489.11747811711</v>
      </c>
      <c r="G266" s="376" t="s">
        <v>522</v>
      </c>
      <c r="H266" s="376" t="s">
        <v>522</v>
      </c>
      <c r="I266" s="194">
        <f>Synthèse!H265</f>
        <v>109761.16446368986</v>
      </c>
      <c r="J266" s="380" t="s">
        <v>522</v>
      </c>
      <c r="K266" s="380" t="s">
        <v>522</v>
      </c>
    </row>
    <row r="267" spans="1:11" s="197" customFormat="1" ht="15" x14ac:dyDescent="0.25">
      <c r="A267" s="85">
        <f>Données!A267</f>
        <v>5882</v>
      </c>
      <c r="B267" s="308" t="str">
        <f>Données!B267</f>
        <v>Chardonne</v>
      </c>
      <c r="C267" s="194">
        <f>Synthèse!G266</f>
        <v>4877359.4682823727</v>
      </c>
      <c r="D267" s="371" t="s">
        <v>522</v>
      </c>
      <c r="E267" s="372" t="s">
        <v>522</v>
      </c>
      <c r="F267" s="193">
        <f>Synthèse!F266</f>
        <v>2719512.4762727474</v>
      </c>
      <c r="G267" s="376" t="s">
        <v>522</v>
      </c>
      <c r="H267" s="376" t="s">
        <v>522</v>
      </c>
      <c r="I267" s="194">
        <f>Synthèse!H266</f>
        <v>250344.33635403207</v>
      </c>
      <c r="J267" s="380" t="s">
        <v>522</v>
      </c>
      <c r="K267" s="380" t="s">
        <v>522</v>
      </c>
    </row>
    <row r="268" spans="1:11" s="197" customFormat="1" ht="15" x14ac:dyDescent="0.25">
      <c r="A268" s="85">
        <f>Données!A268</f>
        <v>5883</v>
      </c>
      <c r="B268" s="308" t="str">
        <f>Données!B268</f>
        <v>Corseaux</v>
      </c>
      <c r="C268" s="194">
        <f>Synthèse!G267</f>
        <v>4387931.7136757197</v>
      </c>
      <c r="D268" s="371" t="s">
        <v>522</v>
      </c>
      <c r="E268" s="372" t="s">
        <v>522</v>
      </c>
      <c r="F268" s="193">
        <f>Synthèse!F267</f>
        <v>2935027.9139251374</v>
      </c>
      <c r="G268" s="376" t="s">
        <v>522</v>
      </c>
      <c r="H268" s="376" t="s">
        <v>522</v>
      </c>
      <c r="I268" s="194">
        <f>Synthèse!H267</f>
        <v>224460.57552861419</v>
      </c>
      <c r="J268" s="380" t="s">
        <v>522</v>
      </c>
      <c r="K268" s="380" t="s">
        <v>522</v>
      </c>
    </row>
    <row r="269" spans="1:11" s="197" customFormat="1" ht="15" x14ac:dyDescent="0.25">
      <c r="A269" s="85">
        <f>Données!A269</f>
        <v>5884</v>
      </c>
      <c r="B269" s="308" t="str">
        <f>Données!B269</f>
        <v>Corsier-sur-Vevey</v>
      </c>
      <c r="C269" s="194">
        <f>Synthèse!G268</f>
        <v>2287056.8544043489</v>
      </c>
      <c r="D269" s="371" t="s">
        <v>522</v>
      </c>
      <c r="E269" s="372" t="s">
        <v>522</v>
      </c>
      <c r="F269" s="193">
        <f>Synthèse!F268</f>
        <v>-503221.14437722042</v>
      </c>
      <c r="G269" s="376" t="s">
        <v>522</v>
      </c>
      <c r="H269" s="376" t="s">
        <v>522</v>
      </c>
      <c r="I269" s="194">
        <f>Synthèse!H268</f>
        <v>158876.25090198693</v>
      </c>
      <c r="J269" s="380" t="s">
        <v>522</v>
      </c>
      <c r="K269" s="380" t="s">
        <v>522</v>
      </c>
    </row>
    <row r="270" spans="1:11" s="197" customFormat="1" ht="15" x14ac:dyDescent="0.25">
      <c r="A270" s="85">
        <f>Données!A270</f>
        <v>5885</v>
      </c>
      <c r="B270" s="308" t="str">
        <f>Données!B270</f>
        <v>Jongny</v>
      </c>
      <c r="C270" s="194">
        <f>Synthèse!G269</f>
        <v>1817436.5758549825</v>
      </c>
      <c r="D270" s="371" t="s">
        <v>522</v>
      </c>
      <c r="E270" s="372" t="s">
        <v>522</v>
      </c>
      <c r="F270" s="193">
        <f>Synthèse!F269</f>
        <v>1538741.5146728063</v>
      </c>
      <c r="G270" s="376" t="s">
        <v>522</v>
      </c>
      <c r="H270" s="376" t="s">
        <v>522</v>
      </c>
      <c r="I270" s="194">
        <f>Synthèse!H269</f>
        <v>129156.6236412711</v>
      </c>
      <c r="J270" s="380" t="s">
        <v>522</v>
      </c>
      <c r="K270" s="380" t="s">
        <v>522</v>
      </c>
    </row>
    <row r="271" spans="1:11" s="197" customFormat="1" ht="15" x14ac:dyDescent="0.25">
      <c r="A271" s="85">
        <f>Données!A271</f>
        <v>5886</v>
      </c>
      <c r="B271" s="308" t="str">
        <f>Données!B271</f>
        <v>Montreux</v>
      </c>
      <c r="C271" s="194">
        <f>Synthèse!G270</f>
        <v>26063840.442991309</v>
      </c>
      <c r="D271" s="371" t="s">
        <v>522</v>
      </c>
      <c r="E271" s="372" t="s">
        <v>522</v>
      </c>
      <c r="F271" s="193">
        <f>Synthèse!F270</f>
        <v>-8032787.8318504803</v>
      </c>
      <c r="G271" s="376" t="s">
        <v>522</v>
      </c>
      <c r="H271" s="376" t="s">
        <v>522</v>
      </c>
      <c r="I271" s="194">
        <f>Synthèse!H270</f>
        <v>1430752.0542515386</v>
      </c>
      <c r="J271" s="380" t="s">
        <v>522</v>
      </c>
      <c r="K271" s="380" t="s">
        <v>522</v>
      </c>
    </row>
    <row r="272" spans="1:11" s="197" customFormat="1" ht="15" x14ac:dyDescent="0.25">
      <c r="A272" s="85">
        <f>Données!A272</f>
        <v>5889</v>
      </c>
      <c r="B272" s="308" t="str">
        <f>Données!B272</f>
        <v>La Tour-de-Peilz</v>
      </c>
      <c r="C272" s="194">
        <f>Synthèse!G271</f>
        <v>12616815.903031006</v>
      </c>
      <c r="D272" s="371" t="s">
        <v>522</v>
      </c>
      <c r="E272" s="372" t="s">
        <v>522</v>
      </c>
      <c r="F272" s="193">
        <f>Synthèse!F271</f>
        <v>5612859.9749840992</v>
      </c>
      <c r="G272" s="376" t="s">
        <v>522</v>
      </c>
      <c r="H272" s="376" t="s">
        <v>522</v>
      </c>
      <c r="I272" s="194">
        <f>Synthèse!H271</f>
        <v>879859.08914418379</v>
      </c>
      <c r="J272" s="380" t="s">
        <v>522</v>
      </c>
      <c r="K272" s="380" t="s">
        <v>522</v>
      </c>
    </row>
    <row r="273" spans="1:11" s="197" customFormat="1" ht="15" x14ac:dyDescent="0.25">
      <c r="A273" s="85">
        <f>Données!A273</f>
        <v>5890</v>
      </c>
      <c r="B273" s="308" t="str">
        <f>Données!B273</f>
        <v>Vevey</v>
      </c>
      <c r="C273" s="194">
        <f>Synthèse!G272</f>
        <v>15317578.717211235</v>
      </c>
      <c r="D273" s="371" t="s">
        <v>522</v>
      </c>
      <c r="E273" s="372" t="s">
        <v>522</v>
      </c>
      <c r="F273" s="193">
        <f>Synthèse!F272</f>
        <v>-639144.00204616785</v>
      </c>
      <c r="G273" s="376" t="s">
        <v>522</v>
      </c>
      <c r="H273" s="376" t="s">
        <v>522</v>
      </c>
      <c r="I273" s="194">
        <f>Synthèse!H272</f>
        <v>1172428.9419631057</v>
      </c>
      <c r="J273" s="380" t="s">
        <v>522</v>
      </c>
      <c r="K273" s="380" t="s">
        <v>522</v>
      </c>
    </row>
    <row r="274" spans="1:11" s="197" customFormat="1" ht="15" x14ac:dyDescent="0.25">
      <c r="A274" s="85">
        <f>Données!A274</f>
        <v>5891</v>
      </c>
      <c r="B274" s="308" t="str">
        <f>Données!B274</f>
        <v>Veytaux</v>
      </c>
      <c r="C274" s="194">
        <f>Synthèse!G273</f>
        <v>811879.53082325635</v>
      </c>
      <c r="D274" s="371" t="s">
        <v>522</v>
      </c>
      <c r="E274" s="372" t="s">
        <v>522</v>
      </c>
      <c r="F274" s="193">
        <f>Synthèse!F273</f>
        <v>-120165.78616766282</v>
      </c>
      <c r="G274" s="376" t="s">
        <v>522</v>
      </c>
      <c r="H274" s="376" t="s">
        <v>522</v>
      </c>
      <c r="I274" s="194">
        <f>Synthèse!H273</f>
        <v>51013.983473720662</v>
      </c>
      <c r="J274" s="380" t="s">
        <v>522</v>
      </c>
      <c r="K274" s="380" t="s">
        <v>522</v>
      </c>
    </row>
    <row r="275" spans="1:11" s="197" customFormat="1" ht="15" x14ac:dyDescent="0.25">
      <c r="A275" s="85">
        <f>Données!A275</f>
        <v>5892</v>
      </c>
      <c r="B275" s="308" t="str">
        <f>Données!B275</f>
        <v>Blonay-St-Légier</v>
      </c>
      <c r="C275" s="194">
        <f>Synthèse!G274</f>
        <v>15466260.748382477</v>
      </c>
      <c r="D275" s="371" t="s">
        <v>522</v>
      </c>
      <c r="E275" s="372" t="s">
        <v>522</v>
      </c>
      <c r="F275" s="193">
        <f>Synthèse!F274</f>
        <v>5419891.4726390596</v>
      </c>
      <c r="G275" s="376" t="s">
        <v>522</v>
      </c>
      <c r="H275" s="376" t="s">
        <v>522</v>
      </c>
      <c r="I275" s="194">
        <f>Synthèse!H274</f>
        <v>930278.34624073037</v>
      </c>
      <c r="J275" s="380" t="s">
        <v>522</v>
      </c>
      <c r="K275" s="380" t="s">
        <v>522</v>
      </c>
    </row>
    <row r="276" spans="1:11" s="197" customFormat="1" ht="15" x14ac:dyDescent="0.25">
      <c r="A276" s="85">
        <f>Données!A276</f>
        <v>5902</v>
      </c>
      <c r="B276" s="308" t="str">
        <f>Données!B276</f>
        <v>Belmont-sur-Yverdon</v>
      </c>
      <c r="C276" s="194">
        <f>Synthèse!G275</f>
        <v>190027.265549028</v>
      </c>
      <c r="D276" s="371" t="s">
        <v>522</v>
      </c>
      <c r="E276" s="372" t="s">
        <v>522</v>
      </c>
      <c r="F276" s="193">
        <f>Synthèse!F275</f>
        <v>-3096.3876866393548</v>
      </c>
      <c r="G276" s="376" t="s">
        <v>522</v>
      </c>
      <c r="H276" s="376" t="s">
        <v>522</v>
      </c>
      <c r="I276" s="194">
        <f>Synthèse!H275</f>
        <v>36629.601572691929</v>
      </c>
      <c r="J276" s="380" t="s">
        <v>522</v>
      </c>
      <c r="K276" s="380" t="s">
        <v>522</v>
      </c>
    </row>
    <row r="277" spans="1:11" s="197" customFormat="1" ht="15" x14ac:dyDescent="0.25">
      <c r="A277" s="85">
        <f>Données!A277</f>
        <v>5903</v>
      </c>
      <c r="B277" s="308" t="str">
        <f>Données!B277</f>
        <v>Bioley-Magnoux</v>
      </c>
      <c r="C277" s="194">
        <f>Synthèse!G276</f>
        <v>98196.416714415362</v>
      </c>
      <c r="D277" s="371" t="s">
        <v>522</v>
      </c>
      <c r="E277" s="372" t="s">
        <v>522</v>
      </c>
      <c r="F277" s="193">
        <f>Synthèse!F276</f>
        <v>-166712.05704297818</v>
      </c>
      <c r="G277" s="376" t="s">
        <v>522</v>
      </c>
      <c r="H277" s="376" t="s">
        <v>522</v>
      </c>
      <c r="I277" s="194">
        <f>Synthèse!H276</f>
        <v>19240.921879474852</v>
      </c>
      <c r="J277" s="380" t="s">
        <v>522</v>
      </c>
      <c r="K277" s="380" t="s">
        <v>522</v>
      </c>
    </row>
    <row r="278" spans="1:11" s="197" customFormat="1" ht="15" x14ac:dyDescent="0.25">
      <c r="A278" s="85">
        <f>Données!A278</f>
        <v>5904</v>
      </c>
      <c r="B278" s="308" t="str">
        <f>Données!B278</f>
        <v>Chamblon</v>
      </c>
      <c r="C278" s="194">
        <f>Synthèse!G277</f>
        <v>306692.79878597346</v>
      </c>
      <c r="D278" s="371" t="s">
        <v>522</v>
      </c>
      <c r="E278" s="372" t="s">
        <v>522</v>
      </c>
      <c r="F278" s="193">
        <f>Synthèse!F277</f>
        <v>152136.17635109022</v>
      </c>
      <c r="G278" s="376" t="s">
        <v>522</v>
      </c>
      <c r="H278" s="376" t="s">
        <v>522</v>
      </c>
      <c r="I278" s="194">
        <f>Synthèse!H277</f>
        <v>23439.2128971399</v>
      </c>
      <c r="J278" s="380" t="s">
        <v>522</v>
      </c>
      <c r="K278" s="380" t="s">
        <v>522</v>
      </c>
    </row>
    <row r="279" spans="1:11" s="197" customFormat="1" ht="15" x14ac:dyDescent="0.25">
      <c r="A279" s="85">
        <f>Données!A279</f>
        <v>5905</v>
      </c>
      <c r="B279" s="308" t="str">
        <f>Données!B279</f>
        <v>Champvent</v>
      </c>
      <c r="C279" s="194">
        <f>Synthèse!G278</f>
        <v>372361.47727386397</v>
      </c>
      <c r="D279" s="371" t="s">
        <v>522</v>
      </c>
      <c r="E279" s="372" t="s">
        <v>522</v>
      </c>
      <c r="F279" s="193">
        <f>Synthèse!F278</f>
        <v>-22657.503447816242</v>
      </c>
      <c r="G279" s="376" t="s">
        <v>522</v>
      </c>
      <c r="H279" s="376" t="s">
        <v>522</v>
      </c>
      <c r="I279" s="194">
        <f>Synthèse!H278</f>
        <v>66568.609791927549</v>
      </c>
      <c r="J279" s="380" t="s">
        <v>522</v>
      </c>
      <c r="K279" s="380" t="s">
        <v>522</v>
      </c>
    </row>
    <row r="280" spans="1:11" s="197" customFormat="1" ht="15" x14ac:dyDescent="0.25">
      <c r="A280" s="85">
        <f>Données!A280</f>
        <v>5907</v>
      </c>
      <c r="B280" s="308" t="str">
        <f>Données!B280</f>
        <v>Chavannes-le-Chêne</v>
      </c>
      <c r="C280" s="194">
        <f>Synthèse!G279</f>
        <v>139950.0110451639</v>
      </c>
      <c r="D280" s="371" t="s">
        <v>522</v>
      </c>
      <c r="E280" s="372" t="s">
        <v>522</v>
      </c>
      <c r="F280" s="193">
        <f>Synthèse!F279</f>
        <v>-71453.238950985426</v>
      </c>
      <c r="G280" s="376" t="s">
        <v>522</v>
      </c>
      <c r="H280" s="376" t="s">
        <v>522</v>
      </c>
      <c r="I280" s="194">
        <f>Synthèse!H279</f>
        <v>26000.302766548124</v>
      </c>
      <c r="J280" s="380" t="s">
        <v>522</v>
      </c>
      <c r="K280" s="380" t="s">
        <v>522</v>
      </c>
    </row>
    <row r="281" spans="1:11" s="197" customFormat="1" ht="15" x14ac:dyDescent="0.25">
      <c r="A281" s="85">
        <f>Données!A281</f>
        <v>5908</v>
      </c>
      <c r="B281" s="308" t="str">
        <f>Données!B281</f>
        <v>Chêne-Pâquier</v>
      </c>
      <c r="C281" s="194">
        <f>Synthèse!G280</f>
        <v>73637.707437136793</v>
      </c>
      <c r="D281" s="371" t="s">
        <v>522</v>
      </c>
      <c r="E281" s="372" t="s">
        <v>522</v>
      </c>
      <c r="F281" s="193">
        <f>Synthèse!F280</f>
        <v>-29150.613674696462</v>
      </c>
      <c r="G281" s="376" t="s">
        <v>522</v>
      </c>
      <c r="H281" s="376" t="s">
        <v>522</v>
      </c>
      <c r="I281" s="194">
        <f>Synthèse!H280</f>
        <v>15309.529533402976</v>
      </c>
      <c r="J281" s="380" t="s">
        <v>522</v>
      </c>
      <c r="K281" s="380" t="s">
        <v>522</v>
      </c>
    </row>
    <row r="282" spans="1:11" s="197" customFormat="1" ht="15" x14ac:dyDescent="0.25">
      <c r="A282" s="85">
        <f>Données!A282</f>
        <v>5909</v>
      </c>
      <c r="B282" s="308" t="str">
        <f>Données!B282</f>
        <v>Cheseaux-Noréaz</v>
      </c>
      <c r="C282" s="194">
        <f>Synthèse!G281</f>
        <v>534463.10097911907</v>
      </c>
      <c r="D282" s="371" t="s">
        <v>522</v>
      </c>
      <c r="E282" s="372" t="s">
        <v>522</v>
      </c>
      <c r="F282" s="193">
        <f>Synthèse!F281</f>
        <v>505166.14533381193</v>
      </c>
      <c r="G282" s="376" t="s">
        <v>522</v>
      </c>
      <c r="H282" s="376" t="s">
        <v>522</v>
      </c>
      <c r="I282" s="194">
        <f>Synthèse!H281</f>
        <v>42417.215522122766</v>
      </c>
      <c r="J282" s="380" t="s">
        <v>522</v>
      </c>
      <c r="K282" s="380" t="s">
        <v>522</v>
      </c>
    </row>
    <row r="283" spans="1:11" s="197" customFormat="1" ht="15" x14ac:dyDescent="0.25">
      <c r="A283" s="85">
        <f>Données!A283</f>
        <v>5910</v>
      </c>
      <c r="B283" s="308" t="str">
        <f>Données!B283</f>
        <v>Cronay</v>
      </c>
      <c r="C283" s="194">
        <f>Synthèse!G282</f>
        <v>204691.59649600307</v>
      </c>
      <c r="D283" s="371" t="s">
        <v>522</v>
      </c>
      <c r="E283" s="372" t="s">
        <v>522</v>
      </c>
      <c r="F283" s="193">
        <f>Synthèse!F282</f>
        <v>-114059.91037576422</v>
      </c>
      <c r="G283" s="376" t="s">
        <v>522</v>
      </c>
      <c r="H283" s="376" t="s">
        <v>522</v>
      </c>
      <c r="I283" s="194">
        <f>Synthèse!H282</f>
        <v>32687.221244569635</v>
      </c>
      <c r="J283" s="380" t="s">
        <v>522</v>
      </c>
      <c r="K283" s="380" t="s">
        <v>522</v>
      </c>
    </row>
    <row r="284" spans="1:11" s="197" customFormat="1" ht="15" x14ac:dyDescent="0.25">
      <c r="A284" s="85">
        <f>Données!A284</f>
        <v>5911</v>
      </c>
      <c r="B284" s="308" t="str">
        <f>Données!B284</f>
        <v>Cuarny</v>
      </c>
      <c r="C284" s="194">
        <f>Synthèse!G283</f>
        <v>110700.47314429155</v>
      </c>
      <c r="D284" s="371" t="s">
        <v>522</v>
      </c>
      <c r="E284" s="372" t="s">
        <v>522</v>
      </c>
      <c r="F284" s="193">
        <f>Synthèse!F283</f>
        <v>23506.523413862829</v>
      </c>
      <c r="G284" s="376" t="s">
        <v>522</v>
      </c>
      <c r="H284" s="376" t="s">
        <v>522</v>
      </c>
      <c r="I284" s="194">
        <f>Synthèse!H283</f>
        <v>23683.15660004918</v>
      </c>
      <c r="J284" s="380" t="s">
        <v>522</v>
      </c>
      <c r="K284" s="380" t="s">
        <v>522</v>
      </c>
    </row>
    <row r="285" spans="1:11" s="197" customFormat="1" ht="15" x14ac:dyDescent="0.25">
      <c r="A285" s="85">
        <f>Données!A285</f>
        <v>5912</v>
      </c>
      <c r="B285" s="308" t="str">
        <f>Données!B285</f>
        <v>Démoret</v>
      </c>
      <c r="C285" s="194">
        <f>Synthèse!G284</f>
        <v>58682.339588458264</v>
      </c>
      <c r="D285" s="371" t="s">
        <v>522</v>
      </c>
      <c r="E285" s="372" t="s">
        <v>522</v>
      </c>
      <c r="F285" s="193">
        <f>Synthèse!F284</f>
        <v>-97986.754496467998</v>
      </c>
      <c r="G285" s="376" t="s">
        <v>522</v>
      </c>
      <c r="H285" s="376" t="s">
        <v>522</v>
      </c>
      <c r="I285" s="194">
        <f>Synthèse!H284</f>
        <v>9237.7300162113188</v>
      </c>
      <c r="J285" s="380" t="s">
        <v>522</v>
      </c>
      <c r="K285" s="380" t="s">
        <v>522</v>
      </c>
    </row>
    <row r="286" spans="1:11" s="197" customFormat="1" ht="15" x14ac:dyDescent="0.25">
      <c r="A286" s="85">
        <f>Données!A286</f>
        <v>5913</v>
      </c>
      <c r="B286" s="308" t="str">
        <f>Données!B286</f>
        <v>Donneloye</v>
      </c>
      <c r="C286" s="194">
        <f>Synthèse!G285</f>
        <v>365507.84262161213</v>
      </c>
      <c r="D286" s="371" t="s">
        <v>522</v>
      </c>
      <c r="E286" s="372" t="s">
        <v>522</v>
      </c>
      <c r="F286" s="193">
        <f>Synthèse!F285</f>
        <v>-240110.15513504483</v>
      </c>
      <c r="G286" s="376" t="s">
        <v>522</v>
      </c>
      <c r="H286" s="376" t="s">
        <v>522</v>
      </c>
      <c r="I286" s="194">
        <f>Synthèse!H285</f>
        <v>67559.814849242161</v>
      </c>
      <c r="J286" s="380" t="s">
        <v>522</v>
      </c>
      <c r="K286" s="380" t="s">
        <v>522</v>
      </c>
    </row>
    <row r="287" spans="1:11" s="197" customFormat="1" ht="15" x14ac:dyDescent="0.25">
      <c r="A287" s="85">
        <f>Données!A287</f>
        <v>5914</v>
      </c>
      <c r="B287" s="308" t="str">
        <f>Données!B287</f>
        <v>Ependes</v>
      </c>
      <c r="C287" s="194">
        <f>Synthèse!G286</f>
        <v>142471.00843693767</v>
      </c>
      <c r="D287" s="371" t="s">
        <v>522</v>
      </c>
      <c r="E287" s="372" t="s">
        <v>522</v>
      </c>
      <c r="F287" s="193">
        <f>Synthèse!F286</f>
        <v>-101513.06728350869</v>
      </c>
      <c r="G287" s="376" t="s">
        <v>522</v>
      </c>
      <c r="H287" s="376" t="s">
        <v>522</v>
      </c>
      <c r="I287" s="194">
        <f>Synthèse!H286</f>
        <v>12192.407489945464</v>
      </c>
      <c r="J287" s="380" t="s">
        <v>522</v>
      </c>
      <c r="K287" s="380" t="s">
        <v>522</v>
      </c>
    </row>
    <row r="288" spans="1:11" s="197" customFormat="1" ht="15" x14ac:dyDescent="0.25">
      <c r="A288" s="85">
        <f>Données!A288</f>
        <v>5919</v>
      </c>
      <c r="B288" s="308" t="str">
        <f>Données!B288</f>
        <v>Mathod</v>
      </c>
      <c r="C288" s="194">
        <f>Synthèse!G287</f>
        <v>408415.90604380058</v>
      </c>
      <c r="D288" s="371" t="s">
        <v>522</v>
      </c>
      <c r="E288" s="372" t="s">
        <v>522</v>
      </c>
      <c r="F288" s="193">
        <f>Synthèse!F287</f>
        <v>-25489.502463399491</v>
      </c>
      <c r="G288" s="376" t="s">
        <v>522</v>
      </c>
      <c r="H288" s="376" t="s">
        <v>522</v>
      </c>
      <c r="I288" s="194">
        <f>Synthèse!H287</f>
        <v>25876.210220461198</v>
      </c>
      <c r="J288" s="380" t="s">
        <v>522</v>
      </c>
      <c r="K288" s="380" t="s">
        <v>522</v>
      </c>
    </row>
    <row r="289" spans="1:11" s="197" customFormat="1" ht="15" x14ac:dyDescent="0.25">
      <c r="A289" s="85">
        <f>Données!A289</f>
        <v>5921</v>
      </c>
      <c r="B289" s="308" t="str">
        <f>Données!B289</f>
        <v>Molondin</v>
      </c>
      <c r="C289" s="194">
        <f>Synthèse!G288</f>
        <v>79480.690328552359</v>
      </c>
      <c r="D289" s="371" t="s">
        <v>522</v>
      </c>
      <c r="E289" s="372" t="s">
        <v>522</v>
      </c>
      <c r="F289" s="193">
        <f>Synthèse!F288</f>
        <v>-132348.09432048484</v>
      </c>
      <c r="G289" s="376" t="s">
        <v>522</v>
      </c>
      <c r="H289" s="376" t="s">
        <v>522</v>
      </c>
      <c r="I289" s="194">
        <f>Synthèse!H288</f>
        <v>15577.696072334975</v>
      </c>
      <c r="J289" s="380" t="s">
        <v>522</v>
      </c>
      <c r="K289" s="380" t="s">
        <v>522</v>
      </c>
    </row>
    <row r="290" spans="1:11" s="197" customFormat="1" ht="15" x14ac:dyDescent="0.25">
      <c r="A290" s="85">
        <f>Données!A290</f>
        <v>5922</v>
      </c>
      <c r="B290" s="308" t="str">
        <f>Données!B290</f>
        <v>Montagny-près-Yverdon</v>
      </c>
      <c r="C290" s="194">
        <f>Synthèse!G289</f>
        <v>691783.98492625228</v>
      </c>
      <c r="D290" s="371" t="s">
        <v>522</v>
      </c>
      <c r="E290" s="372" t="s">
        <v>522</v>
      </c>
      <c r="F290" s="193">
        <f>Synthèse!F289</f>
        <v>519400.15324898646</v>
      </c>
      <c r="G290" s="376" t="s">
        <v>522</v>
      </c>
      <c r="H290" s="376" t="s">
        <v>522</v>
      </c>
      <c r="I290" s="194">
        <f>Synthèse!H289</f>
        <v>116506.41481186016</v>
      </c>
      <c r="J290" s="380" t="s">
        <v>522</v>
      </c>
      <c r="K290" s="380" t="s">
        <v>522</v>
      </c>
    </row>
    <row r="291" spans="1:11" s="197" customFormat="1" ht="15" x14ac:dyDescent="0.25">
      <c r="A291" s="85">
        <f>Données!A291</f>
        <v>5923</v>
      </c>
      <c r="B291" s="308" t="str">
        <f>Données!B291</f>
        <v>Oppens</v>
      </c>
      <c r="C291" s="194">
        <f>Synthèse!G290</f>
        <v>68499.39653950333</v>
      </c>
      <c r="D291" s="371" t="s">
        <v>522</v>
      </c>
      <c r="E291" s="372" t="s">
        <v>522</v>
      </c>
      <c r="F291" s="193">
        <f>Synthèse!F290</f>
        <v>-115858.42171092804</v>
      </c>
      <c r="G291" s="376" t="s">
        <v>522</v>
      </c>
      <c r="H291" s="376" t="s">
        <v>522</v>
      </c>
      <c r="I291" s="194">
        <f>Synthèse!H290</f>
        <v>13776.00608617567</v>
      </c>
      <c r="J291" s="380" t="s">
        <v>522</v>
      </c>
      <c r="K291" s="380" t="s">
        <v>522</v>
      </c>
    </row>
    <row r="292" spans="1:11" s="197" customFormat="1" ht="15" x14ac:dyDescent="0.25">
      <c r="A292" s="85">
        <f>Données!A292</f>
        <v>5924</v>
      </c>
      <c r="B292" s="308" t="str">
        <f>Données!B292</f>
        <v>Orges</v>
      </c>
      <c r="C292" s="194">
        <f>Synthèse!G291</f>
        <v>175935.30215922082</v>
      </c>
      <c r="D292" s="371" t="s">
        <v>522</v>
      </c>
      <c r="E292" s="372" t="s">
        <v>522</v>
      </c>
      <c r="F292" s="193">
        <f>Synthèse!F291</f>
        <v>-30331.968793019536</v>
      </c>
      <c r="G292" s="376" t="s">
        <v>522</v>
      </c>
      <c r="H292" s="376" t="s">
        <v>522</v>
      </c>
      <c r="I292" s="194">
        <f>Synthèse!H291</f>
        <v>36045.895381116105</v>
      </c>
      <c r="J292" s="380" t="s">
        <v>522</v>
      </c>
      <c r="K292" s="380" t="s">
        <v>522</v>
      </c>
    </row>
    <row r="293" spans="1:11" s="197" customFormat="1" ht="15" x14ac:dyDescent="0.25">
      <c r="A293" s="85">
        <f>Données!A293</f>
        <v>5925</v>
      </c>
      <c r="B293" s="308" t="str">
        <f>Données!B293</f>
        <v>Orzens</v>
      </c>
      <c r="C293" s="194">
        <f>Synthèse!G292</f>
        <v>85117.540811930201</v>
      </c>
      <c r="D293" s="371" t="s">
        <v>522</v>
      </c>
      <c r="E293" s="372" t="s">
        <v>522</v>
      </c>
      <c r="F293" s="193">
        <f>Synthèse!F292</f>
        <v>-98362.441730760387</v>
      </c>
      <c r="G293" s="376" t="s">
        <v>522</v>
      </c>
      <c r="H293" s="376" t="s">
        <v>522</v>
      </c>
      <c r="I293" s="194">
        <f>Synthèse!H292</f>
        <v>16128.964048693269</v>
      </c>
      <c r="J293" s="380" t="s">
        <v>522</v>
      </c>
      <c r="K293" s="380" t="s">
        <v>522</v>
      </c>
    </row>
    <row r="294" spans="1:11" s="197" customFormat="1" ht="15" x14ac:dyDescent="0.25">
      <c r="A294" s="85">
        <f>Données!A294</f>
        <v>5926</v>
      </c>
      <c r="B294" s="308" t="str">
        <f>Données!B294</f>
        <v>Pomy</v>
      </c>
      <c r="C294" s="194">
        <f>Synthèse!G293</f>
        <v>392088.99263090501</v>
      </c>
      <c r="D294" s="371" t="s">
        <v>522</v>
      </c>
      <c r="E294" s="372" t="s">
        <v>522</v>
      </c>
      <c r="F294" s="193">
        <f>Synthèse!F293</f>
        <v>59959.291938852111</v>
      </c>
      <c r="G294" s="376" t="s">
        <v>522</v>
      </c>
      <c r="H294" s="376" t="s">
        <v>522</v>
      </c>
      <c r="I294" s="194">
        <f>Synthèse!H293</f>
        <v>33232.085028620626</v>
      </c>
      <c r="J294" s="380" t="s">
        <v>522</v>
      </c>
      <c r="K294" s="380" t="s">
        <v>522</v>
      </c>
    </row>
    <row r="295" spans="1:11" s="197" customFormat="1" ht="15" x14ac:dyDescent="0.25">
      <c r="A295" s="85">
        <f>Données!A295</f>
        <v>5928</v>
      </c>
      <c r="B295" s="308" t="str">
        <f>Données!B295</f>
        <v>Rovray</v>
      </c>
      <c r="C295" s="194">
        <f>Synthèse!G294</f>
        <v>63804.54529320763</v>
      </c>
      <c r="D295" s="371" t="s">
        <v>522</v>
      </c>
      <c r="E295" s="372" t="s">
        <v>522</v>
      </c>
      <c r="F295" s="193">
        <f>Synthèse!F294</f>
        <v>-20152.159825444323</v>
      </c>
      <c r="G295" s="376" t="s">
        <v>522</v>
      </c>
      <c r="H295" s="376" t="s">
        <v>522</v>
      </c>
      <c r="I295" s="194">
        <f>Synthèse!H294</f>
        <v>15778.103931082976</v>
      </c>
      <c r="J295" s="380" t="s">
        <v>522</v>
      </c>
      <c r="K295" s="380" t="s">
        <v>522</v>
      </c>
    </row>
    <row r="296" spans="1:11" s="197" customFormat="1" ht="15" x14ac:dyDescent="0.25">
      <c r="A296" s="85">
        <f>Données!A296</f>
        <v>5929</v>
      </c>
      <c r="B296" s="308" t="str">
        <f>Données!B296</f>
        <v>Suchy</v>
      </c>
      <c r="C296" s="194">
        <f>Synthèse!G295</f>
        <v>320604.90393830684</v>
      </c>
      <c r="D296" s="371" t="s">
        <v>522</v>
      </c>
      <c r="E296" s="372" t="s">
        <v>522</v>
      </c>
      <c r="F296" s="193">
        <f>Synthèse!F295</f>
        <v>117353.54177661776</v>
      </c>
      <c r="G296" s="376" t="s">
        <v>522</v>
      </c>
      <c r="H296" s="376" t="s">
        <v>522</v>
      </c>
      <c r="I296" s="194">
        <f>Synthèse!H295</f>
        <v>26805.266331597148</v>
      </c>
      <c r="J296" s="380" t="s">
        <v>522</v>
      </c>
      <c r="K296" s="380" t="s">
        <v>522</v>
      </c>
    </row>
    <row r="297" spans="1:11" s="197" customFormat="1" ht="15" x14ac:dyDescent="0.25">
      <c r="A297" s="85">
        <f>Données!A297</f>
        <v>5930</v>
      </c>
      <c r="B297" s="308" t="str">
        <f>Données!B297</f>
        <v>Suscévaz</v>
      </c>
      <c r="C297" s="194">
        <f>Synthèse!G296</f>
        <v>96123.959921848378</v>
      </c>
      <c r="D297" s="371" t="s">
        <v>522</v>
      </c>
      <c r="E297" s="372" t="s">
        <v>522</v>
      </c>
      <c r="F297" s="193">
        <f>Synthèse!F296</f>
        <v>-52382.129885363553</v>
      </c>
      <c r="G297" s="376" t="s">
        <v>522</v>
      </c>
      <c r="H297" s="376" t="s">
        <v>522</v>
      </c>
      <c r="I297" s="194">
        <f>Synthèse!H296</f>
        <v>7133.7403173199282</v>
      </c>
      <c r="J297" s="380" t="s">
        <v>522</v>
      </c>
      <c r="K297" s="380" t="s">
        <v>522</v>
      </c>
    </row>
    <row r="298" spans="1:11" s="197" customFormat="1" ht="15" x14ac:dyDescent="0.25">
      <c r="A298" s="85">
        <f>Données!A298</f>
        <v>5931</v>
      </c>
      <c r="B298" s="308" t="str">
        <f>Données!B298</f>
        <v>Treycovagnes</v>
      </c>
      <c r="C298" s="194">
        <f>Synthèse!G297</f>
        <v>307229.73552313156</v>
      </c>
      <c r="D298" s="371" t="s">
        <v>522</v>
      </c>
      <c r="E298" s="372" t="s">
        <v>522</v>
      </c>
      <c r="F298" s="193">
        <f>Synthèse!F297</f>
        <v>6655.1630222136737</v>
      </c>
      <c r="G298" s="376" t="s">
        <v>522</v>
      </c>
      <c r="H298" s="376" t="s">
        <v>522</v>
      </c>
      <c r="I298" s="194">
        <f>Synthèse!H297</f>
        <v>20233.743052656984</v>
      </c>
      <c r="J298" s="380" t="s">
        <v>522</v>
      </c>
      <c r="K298" s="380" t="s">
        <v>522</v>
      </c>
    </row>
    <row r="299" spans="1:11" s="197" customFormat="1" ht="15" x14ac:dyDescent="0.25">
      <c r="A299" s="85">
        <f>Données!A299</f>
        <v>5932</v>
      </c>
      <c r="B299" s="308" t="str">
        <f>Données!B299</f>
        <v>Ursins</v>
      </c>
      <c r="C299" s="194">
        <f>Synthèse!G298</f>
        <v>109042.05860120765</v>
      </c>
      <c r="D299" s="371" t="s">
        <v>522</v>
      </c>
      <c r="E299" s="372" t="s">
        <v>522</v>
      </c>
      <c r="F299" s="193">
        <f>Synthèse!F298</f>
        <v>48453.869301180559</v>
      </c>
      <c r="G299" s="376" t="s">
        <v>522</v>
      </c>
      <c r="H299" s="376" t="s">
        <v>522</v>
      </c>
      <c r="I299" s="194">
        <f>Synthèse!H298</f>
        <v>24794.477070649031</v>
      </c>
      <c r="J299" s="380" t="s">
        <v>522</v>
      </c>
      <c r="K299" s="380" t="s">
        <v>522</v>
      </c>
    </row>
    <row r="300" spans="1:11" s="197" customFormat="1" ht="15" x14ac:dyDescent="0.25">
      <c r="A300" s="85">
        <f>Données!A300</f>
        <v>5933</v>
      </c>
      <c r="B300" s="308" t="str">
        <f>Données!B300</f>
        <v>Valeyres-sous-Montagny</v>
      </c>
      <c r="C300" s="194">
        <f>Synthèse!G299</f>
        <v>348304.00302525808</v>
      </c>
      <c r="D300" s="371" t="s">
        <v>522</v>
      </c>
      <c r="E300" s="372" t="s">
        <v>522</v>
      </c>
      <c r="F300" s="193">
        <f>Synthèse!F299</f>
        <v>-171465.91824505676</v>
      </c>
      <c r="G300" s="376" t="s">
        <v>522</v>
      </c>
      <c r="H300" s="376" t="s">
        <v>522</v>
      </c>
      <c r="I300" s="194">
        <f>Synthèse!H299</f>
        <v>72496.472724925756</v>
      </c>
      <c r="J300" s="380" t="s">
        <v>522</v>
      </c>
      <c r="K300" s="380" t="s">
        <v>522</v>
      </c>
    </row>
    <row r="301" spans="1:11" s="197" customFormat="1" ht="15" x14ac:dyDescent="0.25">
      <c r="A301" s="85">
        <f>Données!A301</f>
        <v>5934</v>
      </c>
      <c r="B301" s="308" t="str">
        <f>Données!B301</f>
        <v>Valeyres-sous-Ursins</v>
      </c>
      <c r="C301" s="194">
        <f>Synthèse!G300</f>
        <v>116623.67080309436</v>
      </c>
      <c r="D301" s="371" t="s">
        <v>522</v>
      </c>
      <c r="E301" s="372" t="s">
        <v>522</v>
      </c>
      <c r="F301" s="193">
        <f>Synthèse!F300</f>
        <v>-9644.3444169119757</v>
      </c>
      <c r="G301" s="376" t="s">
        <v>522</v>
      </c>
      <c r="H301" s="376" t="s">
        <v>522</v>
      </c>
      <c r="I301" s="194">
        <f>Synthèse!H300</f>
        <v>21600.91962882084</v>
      </c>
      <c r="J301" s="380" t="s">
        <v>522</v>
      </c>
      <c r="K301" s="380" t="s">
        <v>522</v>
      </c>
    </row>
    <row r="302" spans="1:11" s="197" customFormat="1" ht="15" x14ac:dyDescent="0.25">
      <c r="A302" s="85">
        <f>Données!A302</f>
        <v>5935</v>
      </c>
      <c r="B302" s="308" t="str">
        <f>Données!B302</f>
        <v>Villars-Epeney</v>
      </c>
      <c r="C302" s="194">
        <f>Synthèse!G301</f>
        <v>155010.56334757741</v>
      </c>
      <c r="D302" s="371" t="s">
        <v>522</v>
      </c>
      <c r="E302" s="372" t="s">
        <v>522</v>
      </c>
      <c r="F302" s="193">
        <f>Synthèse!F301</f>
        <v>116483.3945276177</v>
      </c>
      <c r="G302" s="376" t="s">
        <v>522</v>
      </c>
      <c r="H302" s="376" t="s">
        <v>522</v>
      </c>
      <c r="I302" s="194">
        <f>Synthèse!H301</f>
        <v>16457.434994056734</v>
      </c>
      <c r="J302" s="380" t="s">
        <v>522</v>
      </c>
      <c r="K302" s="380" t="s">
        <v>522</v>
      </c>
    </row>
    <row r="303" spans="1:11" s="197" customFormat="1" ht="15" x14ac:dyDescent="0.25">
      <c r="A303" s="85">
        <f>Données!A303</f>
        <v>5937</v>
      </c>
      <c r="B303" s="308" t="str">
        <f>Données!B303</f>
        <v>Vugelles-La Mothe</v>
      </c>
      <c r="C303" s="194">
        <f>Synthèse!G302</f>
        <v>50769.964938056713</v>
      </c>
      <c r="D303" s="371" t="s">
        <v>522</v>
      </c>
      <c r="E303" s="372" t="s">
        <v>522</v>
      </c>
      <c r="F303" s="193">
        <f>Synthèse!F302</f>
        <v>-38441.073860871809</v>
      </c>
      <c r="G303" s="376" t="s">
        <v>522</v>
      </c>
      <c r="H303" s="376" t="s">
        <v>522</v>
      </c>
      <c r="I303" s="194">
        <f>Synthèse!H302</f>
        <v>10325.373640420246</v>
      </c>
      <c r="J303" s="380" t="s">
        <v>522</v>
      </c>
      <c r="K303" s="380" t="s">
        <v>522</v>
      </c>
    </row>
    <row r="304" spans="1:11" s="197" customFormat="1" ht="15" x14ac:dyDescent="0.25">
      <c r="A304" s="85">
        <f>Données!A304</f>
        <v>5938</v>
      </c>
      <c r="B304" s="308" t="str">
        <f>Données!B304</f>
        <v>Yverdon-les-Bains</v>
      </c>
      <c r="C304" s="194">
        <f>Synthèse!G303</f>
        <v>14019962.406728145</v>
      </c>
      <c r="D304" s="371" t="s">
        <v>522</v>
      </c>
      <c r="E304" s="372" t="s">
        <v>522</v>
      </c>
      <c r="F304" s="193">
        <f>Synthèse!F303</f>
        <v>-31896581.400512476</v>
      </c>
      <c r="G304" s="376" t="s">
        <v>522</v>
      </c>
      <c r="H304" s="376" t="s">
        <v>522</v>
      </c>
      <c r="I304" s="194">
        <f>Synthèse!H303</f>
        <v>968526.33241896215</v>
      </c>
      <c r="J304" s="380" t="s">
        <v>522</v>
      </c>
      <c r="K304" s="380" t="s">
        <v>522</v>
      </c>
    </row>
    <row r="305" spans="1:11" s="197" customFormat="1" ht="15" x14ac:dyDescent="0.25">
      <c r="A305" s="85">
        <f>Données!A305</f>
        <v>5939</v>
      </c>
      <c r="B305" s="308" t="str">
        <f>Données!B305</f>
        <v>Yvonand</v>
      </c>
      <c r="C305" s="194">
        <f>Synthèse!G304</f>
        <v>1961033.1281461825</v>
      </c>
      <c r="D305" s="371" t="s">
        <v>522</v>
      </c>
      <c r="E305" s="372" t="s">
        <v>522</v>
      </c>
      <c r="F305" s="193">
        <f>Synthèse!F304</f>
        <v>-1249092.7284528781</v>
      </c>
      <c r="G305" s="376" t="s">
        <v>522</v>
      </c>
      <c r="H305" s="376" t="s">
        <v>522</v>
      </c>
      <c r="I305" s="194">
        <f>Synthèse!H304</f>
        <v>297414.99819079856</v>
      </c>
      <c r="J305" s="380" t="s">
        <v>522</v>
      </c>
      <c r="K305" s="380" t="s">
        <v>522</v>
      </c>
    </row>
    <row r="306" spans="1:11" s="197" customFormat="1" ht="15" x14ac:dyDescent="0.25">
      <c r="A306" s="25"/>
      <c r="B306" s="19">
        <v>300</v>
      </c>
      <c r="C306" s="195">
        <f>SUM(C6:C305)</f>
        <v>790754699.99999952</v>
      </c>
      <c r="D306" s="373" t="s">
        <v>522</v>
      </c>
      <c r="E306" s="373" t="s">
        <v>522</v>
      </c>
      <c r="F306" s="195">
        <f>SUM(F6:F305)</f>
        <v>449999.99999934621</v>
      </c>
      <c r="G306" s="377" t="s">
        <v>522</v>
      </c>
      <c r="H306" s="377" t="s">
        <v>522</v>
      </c>
      <c r="I306" s="195">
        <f>SUM(I6:I305)</f>
        <v>73172184.99999994</v>
      </c>
      <c r="J306" s="381" t="s">
        <v>522</v>
      </c>
      <c r="K306" s="381" t="s">
        <v>522</v>
      </c>
    </row>
    <row r="307" spans="1:11" s="197" customFormat="1" ht="15" x14ac:dyDescent="0.25">
      <c r="A307" s="198"/>
      <c r="B307" s="198"/>
      <c r="C307" s="198"/>
      <c r="D307" s="157"/>
      <c r="E307" s="198"/>
      <c r="F307" s="198"/>
      <c r="G307" s="198"/>
      <c r="H307" s="198"/>
      <c r="I307" s="196"/>
      <c r="J307" s="5"/>
      <c r="K307" s="198"/>
    </row>
    <row r="308" spans="1:11" s="197" customFormat="1" ht="15" x14ac:dyDescent="0.25">
      <c r="A308" s="198"/>
      <c r="B308" s="198"/>
      <c r="C308" s="198"/>
      <c r="D308" s="198"/>
      <c r="E308" s="198"/>
      <c r="F308" s="198"/>
      <c r="G308" s="198"/>
      <c r="H308" s="198"/>
      <c r="I308" s="196"/>
      <c r="J308" s="5"/>
      <c r="K308" s="198"/>
    </row>
    <row r="309" spans="1:11" s="197" customFormat="1" ht="15" x14ac:dyDescent="0.25">
      <c r="A309" s="198"/>
      <c r="B309" s="198"/>
      <c r="C309" s="198"/>
      <c r="D309" s="198"/>
      <c r="E309" s="198"/>
      <c r="F309" s="198"/>
      <c r="G309" s="198"/>
      <c r="H309" s="198"/>
      <c r="I309" s="196"/>
      <c r="J309" s="198"/>
      <c r="K309" s="198"/>
    </row>
    <row r="310" spans="1:11" s="197" customFormat="1" ht="15" x14ac:dyDescent="0.25">
      <c r="A310" s="198"/>
      <c r="B310" s="198"/>
      <c r="C310" s="198"/>
      <c r="D310" s="198"/>
      <c r="E310" s="198"/>
      <c r="F310" s="198"/>
      <c r="G310" s="198"/>
      <c r="H310" s="198"/>
      <c r="I310" s="174"/>
      <c r="J310" s="198"/>
      <c r="K310" s="198"/>
    </row>
  </sheetData>
  <sheetProtection sheet="1" objects="1" scenarios="1"/>
  <mergeCells count="5">
    <mergeCell ref="I4:K4"/>
    <mergeCell ref="A4:A5"/>
    <mergeCell ref="B4:B5"/>
    <mergeCell ref="C4:E4"/>
    <mergeCell ref="F4:H4"/>
  </mergeCells>
  <hyperlinks>
    <hyperlink ref="C1" location="Synthèse!A1" display="← Précédent" xr:uid="{D046A632-CF30-4412-9AE7-773599330617}"/>
    <hyperlink ref="D1" location="'Table des matières'!A1" display="Table des             matières" xr:uid="{312CF942-877A-4E96-8B85-400AB3A21C9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59999389629810485"/>
  </sheetPr>
  <dimension ref="A1:L537"/>
  <sheetViews>
    <sheetView zoomScaleNormal="100" workbookViewId="0">
      <pane ySplit="2" topLeftCell="A9" activePane="bottomLeft" state="frozen"/>
      <selection pane="bottomLeft"/>
    </sheetView>
  </sheetViews>
  <sheetFormatPr baseColWidth="10" defaultColWidth="10.75" defaultRowHeight="15" x14ac:dyDescent="0.25"/>
  <cols>
    <col min="1" max="1" width="66.625" style="438" customWidth="1"/>
    <col min="2" max="2" width="12.5" style="438" bestFit="1" customWidth="1"/>
    <col min="3" max="3" width="13.875" style="438" customWidth="1"/>
    <col min="4" max="4" width="12.125" style="438" customWidth="1"/>
    <col min="5" max="8" width="13.125" style="438" customWidth="1"/>
    <col min="9" max="10" width="12.125" style="438" bestFit="1" customWidth="1"/>
    <col min="11" max="11" width="12" style="438" bestFit="1" customWidth="1"/>
    <col min="12" max="16384" width="10.75" style="438"/>
  </cols>
  <sheetData>
    <row r="1" spans="1:11" ht="26.25" x14ac:dyDescent="0.4">
      <c r="A1" s="434" t="s">
        <v>405</v>
      </c>
      <c r="B1" s="435" t="s">
        <v>403</v>
      </c>
      <c r="C1" s="436" t="s">
        <v>395</v>
      </c>
      <c r="D1" s="435" t="s">
        <v>404</v>
      </c>
      <c r="E1" s="437"/>
    </row>
    <row r="3" spans="1:11" ht="21" customHeight="1" x14ac:dyDescent="0.35">
      <c r="A3" s="439" t="s">
        <v>406</v>
      </c>
    </row>
    <row r="4" spans="1:11" ht="14.45" customHeight="1" x14ac:dyDescent="0.25">
      <c r="A4" s="438" t="s">
        <v>441</v>
      </c>
      <c r="B4" s="440" t="s">
        <v>571</v>
      </c>
      <c r="D4" s="632" t="s">
        <v>576</v>
      </c>
      <c r="E4" s="633"/>
      <c r="F4" s="633"/>
      <c r="G4" s="633"/>
      <c r="H4" s="634"/>
      <c r="I4" s="441"/>
      <c r="J4" s="441"/>
      <c r="K4" s="441"/>
    </row>
    <row r="5" spans="1:11" x14ac:dyDescent="0.25">
      <c r="A5" s="438" t="s">
        <v>477</v>
      </c>
      <c r="B5" s="442">
        <v>2022</v>
      </c>
      <c r="D5" s="635"/>
      <c r="E5" s="636"/>
      <c r="F5" s="636"/>
      <c r="G5" s="636"/>
      <c r="H5" s="637"/>
      <c r="I5" s="441"/>
      <c r="J5" s="441"/>
      <c r="K5" s="441"/>
    </row>
    <row r="6" spans="1:11" x14ac:dyDescent="0.25">
      <c r="A6" s="438" t="s">
        <v>476</v>
      </c>
      <c r="B6" s="443">
        <v>43464</v>
      </c>
      <c r="D6" s="635"/>
      <c r="E6" s="636"/>
      <c r="F6" s="636"/>
      <c r="G6" s="636"/>
      <c r="H6" s="637"/>
      <c r="I6" s="441"/>
      <c r="J6" s="441"/>
      <c r="K6" s="441"/>
    </row>
    <row r="7" spans="1:11" x14ac:dyDescent="0.25">
      <c r="A7" s="438" t="s">
        <v>475</v>
      </c>
      <c r="B7" s="443" t="s">
        <v>572</v>
      </c>
      <c r="D7" s="635"/>
      <c r="E7" s="636"/>
      <c r="F7" s="636"/>
      <c r="G7" s="636"/>
      <c r="H7" s="637"/>
      <c r="I7" s="441"/>
      <c r="J7" s="441"/>
      <c r="K7" s="441"/>
    </row>
    <row r="8" spans="1:11" x14ac:dyDescent="0.25">
      <c r="A8" s="438" t="s">
        <v>474</v>
      </c>
      <c r="B8" s="442">
        <v>2024</v>
      </c>
      <c r="D8" s="635"/>
      <c r="E8" s="636"/>
      <c r="F8" s="636"/>
      <c r="G8" s="636"/>
      <c r="H8" s="637"/>
      <c r="I8" s="441"/>
      <c r="J8" s="441"/>
      <c r="K8" s="441"/>
    </row>
    <row r="9" spans="1:11" x14ac:dyDescent="0.25">
      <c r="D9" s="635"/>
      <c r="E9" s="636"/>
      <c r="F9" s="636"/>
      <c r="G9" s="636"/>
      <c r="H9" s="637"/>
      <c r="I9" s="441"/>
      <c r="J9" s="441"/>
      <c r="K9" s="441"/>
    </row>
    <row r="10" spans="1:11" ht="21" x14ac:dyDescent="0.35">
      <c r="A10" s="444" t="s">
        <v>423</v>
      </c>
      <c r="B10" s="445"/>
      <c r="D10" s="635"/>
      <c r="E10" s="636"/>
      <c r="F10" s="636"/>
      <c r="G10" s="636"/>
      <c r="H10" s="637"/>
      <c r="I10" s="441"/>
      <c r="J10" s="441"/>
      <c r="K10" s="441"/>
    </row>
    <row r="11" spans="1:11" ht="30" x14ac:dyDescent="0.25">
      <c r="A11" s="446" t="s">
        <v>556</v>
      </c>
      <c r="B11" s="447">
        <v>790754700</v>
      </c>
      <c r="D11" s="635"/>
      <c r="E11" s="636"/>
      <c r="F11" s="636"/>
      <c r="G11" s="636"/>
      <c r="H11" s="637"/>
      <c r="I11" s="441"/>
      <c r="J11" s="441"/>
      <c r="K11" s="441"/>
    </row>
    <row r="12" spans="1:11" x14ac:dyDescent="0.25">
      <c r="A12" s="448" t="s">
        <v>555</v>
      </c>
      <c r="B12" s="449">
        <v>16414400</v>
      </c>
      <c r="C12" s="629" t="s">
        <v>573</v>
      </c>
      <c r="D12" s="635"/>
      <c r="E12" s="636"/>
      <c r="F12" s="636"/>
      <c r="G12" s="636"/>
      <c r="H12" s="637"/>
      <c r="I12" s="441"/>
      <c r="J12" s="441"/>
      <c r="K12" s="441"/>
    </row>
    <row r="13" spans="1:11" x14ac:dyDescent="0.25">
      <c r="A13" s="448" t="s">
        <v>553</v>
      </c>
      <c r="B13" s="447">
        <v>43226100</v>
      </c>
      <c r="C13" s="630"/>
      <c r="D13" s="635"/>
      <c r="E13" s="636"/>
      <c r="F13" s="636"/>
      <c r="G13" s="636"/>
      <c r="H13" s="637"/>
      <c r="I13" s="441"/>
      <c r="J13" s="441"/>
      <c r="K13" s="441"/>
    </row>
    <row r="14" spans="1:11" x14ac:dyDescent="0.25">
      <c r="A14" s="448" t="s">
        <v>575</v>
      </c>
      <c r="B14" s="447">
        <v>20359500</v>
      </c>
      <c r="C14" s="631"/>
      <c r="D14" s="635"/>
      <c r="E14" s="636"/>
      <c r="F14" s="636"/>
      <c r="G14" s="636"/>
      <c r="H14" s="637"/>
      <c r="I14" s="441"/>
      <c r="J14" s="441"/>
      <c r="K14" s="441"/>
    </row>
    <row r="15" spans="1:11" x14ac:dyDescent="0.25">
      <c r="A15" s="448" t="s">
        <v>486</v>
      </c>
      <c r="B15" s="447">
        <v>25000000</v>
      </c>
      <c r="C15" s="533">
        <f>+B12+B13+B14</f>
        <v>80000000</v>
      </c>
      <c r="D15" s="635"/>
      <c r="E15" s="636"/>
      <c r="F15" s="636"/>
      <c r="G15" s="636"/>
      <c r="H15" s="637"/>
      <c r="I15" s="441"/>
      <c r="J15" s="441"/>
      <c r="K15" s="441"/>
    </row>
    <row r="16" spans="1:11" x14ac:dyDescent="0.25">
      <c r="A16" s="445" t="s">
        <v>554</v>
      </c>
      <c r="B16" s="450">
        <f>+B11+B13+B14+B15</f>
        <v>879340300</v>
      </c>
      <c r="C16" s="497">
        <f>+C15-80000000</f>
        <v>0</v>
      </c>
      <c r="D16" s="635"/>
      <c r="E16" s="636"/>
      <c r="F16" s="636"/>
      <c r="G16" s="636"/>
      <c r="H16" s="637"/>
      <c r="I16" s="441"/>
      <c r="J16" s="441"/>
      <c r="K16" s="441"/>
    </row>
    <row r="17" spans="1:12" x14ac:dyDescent="0.25">
      <c r="D17" s="635"/>
      <c r="E17" s="636"/>
      <c r="F17" s="636"/>
      <c r="G17" s="636"/>
      <c r="H17" s="637"/>
      <c r="I17" s="441"/>
      <c r="J17" s="441"/>
      <c r="K17" s="441"/>
    </row>
    <row r="18" spans="1:12" ht="21" x14ac:dyDescent="0.35">
      <c r="A18" s="439" t="s">
        <v>447</v>
      </c>
      <c r="C18" s="445"/>
      <c r="D18" s="635"/>
      <c r="E18" s="636"/>
      <c r="F18" s="636"/>
      <c r="G18" s="636"/>
      <c r="H18" s="637"/>
      <c r="I18" s="441"/>
      <c r="J18" s="441"/>
      <c r="K18" s="441"/>
    </row>
    <row r="19" spans="1:12" x14ac:dyDescent="0.25">
      <c r="A19" s="438" t="s">
        <v>448</v>
      </c>
      <c r="B19" s="451">
        <v>0.5</v>
      </c>
      <c r="C19" s="452"/>
      <c r="D19" s="635"/>
      <c r="E19" s="636"/>
      <c r="F19" s="636"/>
      <c r="G19" s="636"/>
      <c r="H19" s="637"/>
      <c r="I19" s="441"/>
      <c r="J19" s="441"/>
      <c r="K19" s="441"/>
    </row>
    <row r="20" spans="1:12" x14ac:dyDescent="0.25">
      <c r="A20" s="438" t="s">
        <v>418</v>
      </c>
      <c r="B20" s="451">
        <v>0.3</v>
      </c>
      <c r="C20" s="453"/>
      <c r="D20" s="638"/>
      <c r="E20" s="639"/>
      <c r="F20" s="639"/>
      <c r="G20" s="639"/>
      <c r="H20" s="640"/>
      <c r="I20" s="441"/>
      <c r="J20" s="441"/>
      <c r="K20" s="441"/>
    </row>
    <row r="21" spans="1:12" x14ac:dyDescent="0.25">
      <c r="D21" s="441"/>
      <c r="E21" s="441"/>
      <c r="F21" s="441"/>
      <c r="G21" s="441"/>
      <c r="H21" s="441"/>
      <c r="I21" s="441"/>
      <c r="J21" s="441"/>
      <c r="K21" s="441"/>
    </row>
    <row r="22" spans="1:12" ht="21" x14ac:dyDescent="0.35">
      <c r="A22" s="439" t="s">
        <v>450</v>
      </c>
    </row>
    <row r="23" spans="1:12" x14ac:dyDescent="0.25">
      <c r="B23" s="454" t="s">
        <v>250</v>
      </c>
      <c r="C23" s="454" t="s">
        <v>251</v>
      </c>
      <c r="D23" s="454" t="s">
        <v>336</v>
      </c>
      <c r="E23" s="454" t="s">
        <v>377</v>
      </c>
      <c r="F23" s="454" t="s">
        <v>378</v>
      </c>
    </row>
    <row r="24" spans="1:12" x14ac:dyDescent="0.25">
      <c r="A24" s="438" t="s">
        <v>449</v>
      </c>
      <c r="B24" s="455">
        <v>0.2</v>
      </c>
      <c r="C24" s="455">
        <v>0.3</v>
      </c>
      <c r="D24" s="455">
        <v>0.4</v>
      </c>
      <c r="E24" s="455">
        <v>0.5</v>
      </c>
      <c r="F24" s="455">
        <v>0.6</v>
      </c>
      <c r="G24" s="456"/>
    </row>
    <row r="25" spans="1:12" x14ac:dyDescent="0.25">
      <c r="A25" s="438" t="s">
        <v>359</v>
      </c>
      <c r="B25" s="455">
        <v>1</v>
      </c>
      <c r="C25" s="455">
        <v>1.2</v>
      </c>
      <c r="D25" s="455">
        <v>1.5</v>
      </c>
      <c r="E25" s="457">
        <v>2</v>
      </c>
      <c r="F25" s="455">
        <v>3</v>
      </c>
      <c r="G25" s="456"/>
    </row>
    <row r="26" spans="1:12" x14ac:dyDescent="0.25">
      <c r="F26" s="445"/>
      <c r="I26" s="445"/>
      <c r="J26" s="445"/>
      <c r="K26" s="445"/>
      <c r="L26" s="445"/>
    </row>
    <row r="27" spans="1:12" ht="21" x14ac:dyDescent="0.35">
      <c r="A27" s="439" t="s">
        <v>451</v>
      </c>
      <c r="B27" s="445"/>
      <c r="C27" s="445"/>
      <c r="D27" s="445"/>
      <c r="E27" s="458"/>
      <c r="F27" s="459"/>
      <c r="I27" s="445"/>
      <c r="J27" s="445"/>
      <c r="K27" s="445"/>
      <c r="L27" s="460"/>
    </row>
    <row r="28" spans="1:12" x14ac:dyDescent="0.25">
      <c r="A28" s="461" t="s">
        <v>452</v>
      </c>
      <c r="B28" s="462">
        <v>0</v>
      </c>
      <c r="C28" s="462">
        <v>1000</v>
      </c>
      <c r="D28" s="462">
        <v>3000</v>
      </c>
      <c r="E28" s="462">
        <v>5000</v>
      </c>
      <c r="F28" s="462">
        <v>9000</v>
      </c>
      <c r="G28" s="462">
        <v>12000</v>
      </c>
      <c r="H28" s="462">
        <v>15000</v>
      </c>
      <c r="I28" s="463"/>
      <c r="J28" s="445"/>
      <c r="K28" s="445"/>
      <c r="L28" s="445"/>
    </row>
    <row r="29" spans="1:12" ht="15" customHeight="1" x14ac:dyDescent="0.25">
      <c r="A29" s="461"/>
      <c r="B29" s="462">
        <v>1000</v>
      </c>
      <c r="C29" s="462">
        <v>3000</v>
      </c>
      <c r="D29" s="462">
        <v>5000</v>
      </c>
      <c r="E29" s="462">
        <v>9000</v>
      </c>
      <c r="F29" s="462">
        <v>12000</v>
      </c>
      <c r="G29" s="462">
        <v>15000</v>
      </c>
      <c r="H29" s="462"/>
      <c r="I29" s="463"/>
      <c r="J29" s="445"/>
      <c r="K29" s="445"/>
      <c r="L29" s="445"/>
    </row>
    <row r="30" spans="1:12" x14ac:dyDescent="0.25">
      <c r="A30" s="464" t="s">
        <v>360</v>
      </c>
      <c r="B30" s="465">
        <v>125</v>
      </c>
      <c r="C30" s="465">
        <v>350</v>
      </c>
      <c r="D30" s="465">
        <v>500</v>
      </c>
      <c r="E30" s="465">
        <v>600</v>
      </c>
      <c r="F30" s="465">
        <v>850</v>
      </c>
      <c r="G30" s="465">
        <v>1000</v>
      </c>
      <c r="H30" s="465">
        <v>1050</v>
      </c>
      <c r="I30" s="466"/>
      <c r="J30" s="445"/>
      <c r="K30" s="445"/>
      <c r="L30" s="445"/>
    </row>
    <row r="31" spans="1:12" x14ac:dyDescent="0.25">
      <c r="A31" s="445" t="s">
        <v>354</v>
      </c>
      <c r="B31" s="467">
        <v>99.4</v>
      </c>
      <c r="C31" s="468"/>
      <c r="D31" s="468"/>
      <c r="E31" s="468"/>
      <c r="F31" s="468"/>
      <c r="G31" s="468"/>
      <c r="H31" s="468"/>
      <c r="I31" s="445"/>
      <c r="J31" s="445"/>
      <c r="K31" s="445"/>
      <c r="L31" s="445"/>
    </row>
    <row r="32" spans="1:12" s="472" customFormat="1" x14ac:dyDescent="0.25">
      <c r="A32" s="469" t="s">
        <v>574</v>
      </c>
      <c r="B32" s="465">
        <v>104.3</v>
      </c>
      <c r="C32" s="470"/>
      <c r="D32" s="471"/>
      <c r="E32" s="471"/>
      <c r="F32" s="471"/>
      <c r="G32" s="471"/>
      <c r="H32" s="471"/>
      <c r="I32" s="471"/>
      <c r="J32" s="471"/>
      <c r="K32" s="471"/>
      <c r="L32" s="471"/>
    </row>
    <row r="33" spans="1:12" x14ac:dyDescent="0.25">
      <c r="A33" s="445" t="s">
        <v>355</v>
      </c>
      <c r="B33" s="473">
        <f>+B30/$B$31*$B$32</f>
        <v>131.16197183098589</v>
      </c>
      <c r="C33" s="474">
        <f t="shared" ref="C33:H33" si="0">+C30/$B$31*$B$32</f>
        <v>367.25352112676052</v>
      </c>
      <c r="D33" s="474">
        <f t="shared" si="0"/>
        <v>524.64788732394356</v>
      </c>
      <c r="E33" s="474">
        <f t="shared" si="0"/>
        <v>629.5774647887323</v>
      </c>
      <c r="F33" s="474">
        <f t="shared" si="0"/>
        <v>891.90140845070414</v>
      </c>
      <c r="G33" s="474">
        <f t="shared" si="0"/>
        <v>1049.2957746478871</v>
      </c>
      <c r="H33" s="474">
        <f t="shared" si="0"/>
        <v>1101.7605633802816</v>
      </c>
      <c r="I33" s="445"/>
      <c r="J33" s="445"/>
      <c r="K33" s="445"/>
      <c r="L33" s="445"/>
    </row>
    <row r="35" spans="1:12" ht="21" x14ac:dyDescent="0.35">
      <c r="A35" s="439" t="s">
        <v>453</v>
      </c>
    </row>
    <row r="36" spans="1:12" x14ac:dyDescent="0.25">
      <c r="A36" s="438" t="s">
        <v>454</v>
      </c>
      <c r="B36" s="475">
        <v>0.27</v>
      </c>
    </row>
    <row r="38" spans="1:12" ht="21" x14ac:dyDescent="0.35">
      <c r="A38" s="439" t="s">
        <v>457</v>
      </c>
      <c r="G38" s="476"/>
      <c r="H38" s="477"/>
      <c r="L38" s="476"/>
    </row>
    <row r="39" spans="1:12" x14ac:dyDescent="0.25">
      <c r="A39" s="478"/>
      <c r="B39" s="479" t="s">
        <v>311</v>
      </c>
      <c r="C39" s="479" t="s">
        <v>514</v>
      </c>
      <c r="E39" s="480" t="s">
        <v>462</v>
      </c>
      <c r="F39" s="480"/>
      <c r="G39" s="481">
        <v>4.5</v>
      </c>
      <c r="H39" s="482">
        <v>0.75</v>
      </c>
      <c r="I39" s="626" t="s">
        <v>460</v>
      </c>
      <c r="J39" s="627"/>
      <c r="K39" s="483">
        <f>DT!G306+DT!L306</f>
        <v>240428430.92619553</v>
      </c>
    </row>
    <row r="40" spans="1:12" x14ac:dyDescent="0.25">
      <c r="A40" s="438" t="s">
        <v>459</v>
      </c>
      <c r="B40" s="484">
        <v>8</v>
      </c>
      <c r="C40" s="454">
        <f>+H40</f>
        <v>0.74496417307785467</v>
      </c>
      <c r="E40" s="480" t="s">
        <v>361</v>
      </c>
      <c r="F40" s="480"/>
      <c r="G40" s="485">
        <f>G39*H46</f>
        <v>179110567.22933936</v>
      </c>
      <c r="H40" s="486">
        <f>(IF(G40&gt;K40,H39,H39/K40*G40))</f>
        <v>0.74496417307785467</v>
      </c>
      <c r="I40" s="626" t="s">
        <v>461</v>
      </c>
      <c r="J40" s="627"/>
      <c r="K40" s="483">
        <f>K39*H39</f>
        <v>180321323.19464666</v>
      </c>
    </row>
    <row r="41" spans="1:12" x14ac:dyDescent="0.25">
      <c r="A41" s="438" t="s">
        <v>458</v>
      </c>
      <c r="B41" s="484">
        <v>1</v>
      </c>
      <c r="C41" s="454">
        <f>+H40</f>
        <v>0.74496417307785467</v>
      </c>
      <c r="K41" s="487"/>
    </row>
    <row r="43" spans="1:12" ht="21" x14ac:dyDescent="0.35">
      <c r="A43" s="439" t="s">
        <v>465</v>
      </c>
      <c r="H43" s="488"/>
    </row>
    <row r="44" spans="1:12" x14ac:dyDescent="0.25">
      <c r="A44" s="438" t="s">
        <v>464</v>
      </c>
      <c r="B44" s="489">
        <v>48</v>
      </c>
      <c r="C44" s="490"/>
    </row>
    <row r="45" spans="1:12" x14ac:dyDescent="0.25">
      <c r="A45" s="438" t="s">
        <v>463</v>
      </c>
      <c r="B45" s="489">
        <v>10</v>
      </c>
      <c r="C45" s="464"/>
      <c r="E45" s="491"/>
      <c r="I45" s="626" t="str">
        <f>CONCATENATE("PCS selon ",B7)</f>
        <v>PCS selon budget 2024</v>
      </c>
      <c r="J45" s="627"/>
      <c r="K45" s="483">
        <f>+B11</f>
        <v>790754700</v>
      </c>
    </row>
    <row r="46" spans="1:12" x14ac:dyDescent="0.25">
      <c r="A46" s="438" t="s">
        <v>469</v>
      </c>
      <c r="B46" s="492">
        <v>93.882000000000005</v>
      </c>
      <c r="E46" s="626" t="str">
        <f>CONCATENATE("Valeur du point ",B4)</f>
        <v>Valeur du point Acomptes 2024</v>
      </c>
      <c r="F46" s="628"/>
      <c r="G46" s="627"/>
      <c r="H46" s="483">
        <f>VPI!R306</f>
        <v>39802348.273186527</v>
      </c>
      <c r="I46" s="626" t="s">
        <v>471</v>
      </c>
      <c r="J46" s="627"/>
      <c r="K46" s="493">
        <v>795342044</v>
      </c>
    </row>
    <row r="47" spans="1:12" x14ac:dyDescent="0.25">
      <c r="A47" s="438" t="s">
        <v>376</v>
      </c>
      <c r="B47" s="494">
        <f>B46+K47</f>
        <v>93.882000000000005</v>
      </c>
      <c r="E47" s="626" t="s">
        <v>470</v>
      </c>
      <c r="F47" s="628"/>
      <c r="G47" s="627"/>
      <c r="H47" s="493">
        <v>39865815</v>
      </c>
      <c r="I47" s="626" t="s">
        <v>468</v>
      </c>
      <c r="J47" s="627"/>
      <c r="K47" s="480">
        <f>IF((K45/K46)&gt;(H46/H47),(K45-K46)/H46,0)</f>
        <v>0</v>
      </c>
    </row>
    <row r="48" spans="1:12" x14ac:dyDescent="0.25">
      <c r="E48" s="625"/>
      <c r="F48" s="625"/>
      <c r="G48" s="625"/>
    </row>
    <row r="49" spans="1:12" ht="21" x14ac:dyDescent="0.35">
      <c r="A49" s="439" t="s">
        <v>456</v>
      </c>
      <c r="B49" s="495" t="s">
        <v>467</v>
      </c>
      <c r="C49" s="496" t="s">
        <v>484</v>
      </c>
      <c r="D49" s="495" t="s">
        <v>466</v>
      </c>
    </row>
    <row r="50" spans="1:12" x14ac:dyDescent="0.25">
      <c r="A50" s="438" t="s">
        <v>550</v>
      </c>
      <c r="B50" s="493">
        <v>3064247.6736843437</v>
      </c>
      <c r="C50" s="497">
        <f>D50-B50</f>
        <v>0</v>
      </c>
      <c r="D50" s="483">
        <f>'Péréquation directe'!H312</f>
        <v>3064247.673684346</v>
      </c>
      <c r="L50" s="476"/>
    </row>
    <row r="51" spans="1:12" x14ac:dyDescent="0.25">
      <c r="A51" s="438" t="s">
        <v>455</v>
      </c>
      <c r="B51" s="493">
        <v>450000</v>
      </c>
      <c r="C51" s="498" t="s">
        <v>496</v>
      </c>
      <c r="D51" s="476"/>
      <c r="L51" s="476"/>
    </row>
    <row r="52" spans="1:12" x14ac:dyDescent="0.25">
      <c r="B52" s="499"/>
    </row>
    <row r="53" spans="1:12" ht="21" x14ac:dyDescent="0.35">
      <c r="A53" s="444" t="s">
        <v>407</v>
      </c>
      <c r="B53" s="445"/>
      <c r="C53" s="445"/>
      <c r="D53" s="500"/>
      <c r="F53" s="500"/>
      <c r="G53" s="501"/>
      <c r="H53" s="502"/>
    </row>
    <row r="54" spans="1:12" x14ac:dyDescent="0.25">
      <c r="A54" s="445" t="s">
        <v>472</v>
      </c>
      <c r="B54" s="483">
        <v>62118300</v>
      </c>
      <c r="C54" s="445"/>
      <c r="D54" s="500"/>
      <c r="F54" s="500"/>
      <c r="G54" s="501"/>
      <c r="H54" s="502"/>
    </row>
    <row r="55" spans="1:12" x14ac:dyDescent="0.25">
      <c r="A55" s="445" t="s">
        <v>473</v>
      </c>
      <c r="B55" s="503">
        <v>1.4999999999999999E-2</v>
      </c>
      <c r="C55" s="445"/>
      <c r="D55" s="500"/>
      <c r="F55" s="500"/>
      <c r="G55" s="501"/>
      <c r="H55" s="502"/>
    </row>
    <row r="56" spans="1:12" x14ac:dyDescent="0.25">
      <c r="A56" s="445" t="str">
        <f>CONCATENATE("Montant de la facture ",B8)</f>
        <v>Montant de la facture 2024</v>
      </c>
      <c r="B56" s="483">
        <f>ROUND((B54*(1+B55)^(B8-2013)),0)</f>
        <v>73172185</v>
      </c>
      <c r="C56" s="445"/>
      <c r="D56" s="500"/>
      <c r="E56" s="445"/>
      <c r="F56" s="500"/>
      <c r="G56" s="501"/>
      <c r="H56" s="502"/>
    </row>
    <row r="57" spans="1:12" x14ac:dyDescent="0.25">
      <c r="A57" s="445"/>
      <c r="B57" s="504"/>
      <c r="C57" s="445"/>
      <c r="D57" s="500"/>
      <c r="E57" s="445"/>
      <c r="F57" s="500"/>
      <c r="G57" s="501"/>
      <c r="H57" s="502"/>
    </row>
    <row r="58" spans="1:12" x14ac:dyDescent="0.25">
      <c r="F58" s="500"/>
      <c r="G58" s="501"/>
      <c r="H58" s="502"/>
    </row>
    <row r="59" spans="1:12" x14ac:dyDescent="0.25">
      <c r="F59" s="500"/>
    </row>
    <row r="60" spans="1:12" x14ac:dyDescent="0.25">
      <c r="A60" s="445"/>
      <c r="B60" s="445"/>
      <c r="F60" s="500"/>
    </row>
    <row r="61" spans="1:12" ht="21" x14ac:dyDescent="0.35">
      <c r="A61" s="444" t="s">
        <v>364</v>
      </c>
      <c r="F61" s="500"/>
    </row>
    <row r="62" spans="1:12" x14ac:dyDescent="0.25">
      <c r="A62" s="438" t="s">
        <v>333</v>
      </c>
      <c r="B62" s="438">
        <v>5621</v>
      </c>
      <c r="F62" s="500"/>
    </row>
    <row r="63" spans="1:12" x14ac:dyDescent="0.25">
      <c r="A63" s="438" t="s">
        <v>277</v>
      </c>
      <c r="B63" s="438">
        <v>5742</v>
      </c>
      <c r="F63" s="500"/>
    </row>
    <row r="64" spans="1:12" x14ac:dyDescent="0.25">
      <c r="A64" s="438" t="s">
        <v>225</v>
      </c>
      <c r="B64" s="438">
        <v>5401</v>
      </c>
      <c r="F64" s="500"/>
    </row>
    <row r="65" spans="1:2" x14ac:dyDescent="0.25">
      <c r="A65" s="438" t="s">
        <v>15</v>
      </c>
      <c r="B65" s="438">
        <v>5851</v>
      </c>
    </row>
    <row r="66" spans="1:2" x14ac:dyDescent="0.25">
      <c r="A66" s="438" t="s">
        <v>98</v>
      </c>
      <c r="B66" s="438">
        <v>5701</v>
      </c>
    </row>
    <row r="67" spans="1:2" x14ac:dyDescent="0.25">
      <c r="A67" s="438" t="s">
        <v>227</v>
      </c>
      <c r="B67" s="438">
        <v>5743</v>
      </c>
    </row>
    <row r="68" spans="1:2" x14ac:dyDescent="0.25">
      <c r="A68" s="438" t="s">
        <v>352</v>
      </c>
      <c r="B68" s="438">
        <v>5702</v>
      </c>
    </row>
    <row r="69" spans="1:2" x14ac:dyDescent="0.25">
      <c r="A69" s="438" t="s">
        <v>157</v>
      </c>
      <c r="B69" s="438">
        <v>5511</v>
      </c>
    </row>
    <row r="70" spans="1:2" x14ac:dyDescent="0.25">
      <c r="A70" s="438" t="s">
        <v>67</v>
      </c>
      <c r="B70" s="438">
        <v>5422</v>
      </c>
    </row>
    <row r="71" spans="1:2" x14ac:dyDescent="0.25">
      <c r="A71" s="438" t="s">
        <v>295</v>
      </c>
      <c r="B71" s="438">
        <v>5451</v>
      </c>
    </row>
    <row r="72" spans="1:2" x14ac:dyDescent="0.25">
      <c r="A72" s="438" t="s">
        <v>228</v>
      </c>
      <c r="B72" s="438">
        <v>5744</v>
      </c>
    </row>
    <row r="73" spans="1:2" x14ac:dyDescent="0.25">
      <c r="A73" s="438" t="s">
        <v>68</v>
      </c>
      <c r="B73" s="438">
        <v>5423</v>
      </c>
    </row>
    <row r="74" spans="1:2" x14ac:dyDescent="0.25">
      <c r="A74" s="438" t="s">
        <v>99</v>
      </c>
      <c r="B74" s="438">
        <v>5703</v>
      </c>
    </row>
    <row r="75" spans="1:2" x14ac:dyDescent="0.25">
      <c r="A75" s="438" t="s">
        <v>229</v>
      </c>
      <c r="B75" s="438">
        <v>5745</v>
      </c>
    </row>
    <row r="76" spans="1:2" x14ac:dyDescent="0.25">
      <c r="A76" s="438" t="s">
        <v>230</v>
      </c>
      <c r="B76" s="438">
        <v>5746</v>
      </c>
    </row>
    <row r="77" spans="1:2" x14ac:dyDescent="0.25">
      <c r="A77" s="438" t="s">
        <v>195</v>
      </c>
      <c r="B77" s="438">
        <v>5704</v>
      </c>
    </row>
    <row r="78" spans="1:2" x14ac:dyDescent="0.25">
      <c r="A78" s="438" t="s">
        <v>317</v>
      </c>
      <c r="B78" s="438">
        <v>5581</v>
      </c>
    </row>
    <row r="79" spans="1:2" x14ac:dyDescent="0.25">
      <c r="A79" s="438" t="s">
        <v>51</v>
      </c>
      <c r="B79" s="438">
        <v>5902</v>
      </c>
    </row>
    <row r="80" spans="1:2" x14ac:dyDescent="0.25">
      <c r="A80" s="438" t="s">
        <v>158</v>
      </c>
      <c r="B80" s="438">
        <v>5512</v>
      </c>
    </row>
    <row r="81" spans="1:2" x14ac:dyDescent="0.25">
      <c r="A81" s="438" t="s">
        <v>69</v>
      </c>
      <c r="B81" s="438">
        <v>5424</v>
      </c>
    </row>
    <row r="82" spans="1:2" x14ac:dyDescent="0.25">
      <c r="A82" s="438" t="s">
        <v>298</v>
      </c>
      <c r="B82" s="438">
        <v>5471</v>
      </c>
    </row>
    <row r="83" spans="1:2" x14ac:dyDescent="0.25">
      <c r="A83" s="438" t="s">
        <v>226</v>
      </c>
      <c r="B83" s="438">
        <v>5402</v>
      </c>
    </row>
    <row r="84" spans="1:2" x14ac:dyDescent="0.25">
      <c r="A84" s="438" t="s">
        <v>70</v>
      </c>
      <c r="B84" s="438">
        <v>5425</v>
      </c>
    </row>
    <row r="85" spans="1:2" x14ac:dyDescent="0.25">
      <c r="A85" s="438" t="s">
        <v>52</v>
      </c>
      <c r="B85" s="438">
        <v>5903</v>
      </c>
    </row>
    <row r="86" spans="1:2" x14ac:dyDescent="0.25">
      <c r="A86" s="438" t="s">
        <v>552</v>
      </c>
      <c r="B86" s="438">
        <v>5892</v>
      </c>
    </row>
    <row r="87" spans="1:2" x14ac:dyDescent="0.25">
      <c r="A87" s="438" t="s">
        <v>231</v>
      </c>
      <c r="B87" s="438">
        <v>5747</v>
      </c>
    </row>
    <row r="88" spans="1:2" x14ac:dyDescent="0.25">
      <c r="A88" s="438" t="s">
        <v>196</v>
      </c>
      <c r="B88" s="438">
        <v>5705</v>
      </c>
    </row>
    <row r="89" spans="1:2" x14ac:dyDescent="0.25">
      <c r="A89" s="438" t="s">
        <v>32</v>
      </c>
      <c r="B89" s="438">
        <v>5551</v>
      </c>
    </row>
    <row r="90" spans="1:2" x14ac:dyDescent="0.25">
      <c r="A90" s="438" t="s">
        <v>197</v>
      </c>
      <c r="B90" s="438">
        <v>5706</v>
      </c>
    </row>
    <row r="91" spans="1:2" x14ac:dyDescent="0.25">
      <c r="A91" s="438" t="s">
        <v>159</v>
      </c>
      <c r="B91" s="438">
        <v>5514</v>
      </c>
    </row>
    <row r="92" spans="1:2" x14ac:dyDescent="0.25">
      <c r="A92" s="438" t="s">
        <v>65</v>
      </c>
      <c r="B92" s="438">
        <v>5426</v>
      </c>
    </row>
    <row r="93" spans="1:2" x14ac:dyDescent="0.25">
      <c r="A93" s="438" t="s">
        <v>182</v>
      </c>
      <c r="B93" s="438">
        <v>5661</v>
      </c>
    </row>
    <row r="94" spans="1:2" x14ac:dyDescent="0.25">
      <c r="A94" s="438" t="s">
        <v>342</v>
      </c>
      <c r="B94" s="438">
        <v>5613</v>
      </c>
    </row>
    <row r="95" spans="1:2" x14ac:dyDescent="0.25">
      <c r="A95" s="438" t="s">
        <v>299</v>
      </c>
      <c r="B95" s="438">
        <v>5472</v>
      </c>
    </row>
    <row r="96" spans="1:2" x14ac:dyDescent="0.25">
      <c r="A96" s="438" t="s">
        <v>188</v>
      </c>
      <c r="B96" s="438">
        <v>5473</v>
      </c>
    </row>
    <row r="97" spans="1:2" x14ac:dyDescent="0.25">
      <c r="A97" s="438" t="s">
        <v>130</v>
      </c>
      <c r="B97" s="438">
        <v>5622</v>
      </c>
    </row>
    <row r="98" spans="1:2" x14ac:dyDescent="0.25">
      <c r="A98" s="438" t="s">
        <v>160</v>
      </c>
      <c r="B98" s="438">
        <v>5515</v>
      </c>
    </row>
    <row r="99" spans="1:2" x14ac:dyDescent="0.25">
      <c r="A99" s="438" t="s">
        <v>232</v>
      </c>
      <c r="B99" s="438">
        <v>5748</v>
      </c>
    </row>
    <row r="100" spans="1:2" x14ac:dyDescent="0.25">
      <c r="A100" s="438" t="s">
        <v>131</v>
      </c>
      <c r="B100" s="438">
        <v>5623</v>
      </c>
    </row>
    <row r="101" spans="1:2" x14ac:dyDescent="0.25">
      <c r="A101" s="438" t="s">
        <v>33</v>
      </c>
      <c r="B101" s="438">
        <v>5552</v>
      </c>
    </row>
    <row r="102" spans="1:2" x14ac:dyDescent="0.25">
      <c r="A102" s="438" t="s">
        <v>16</v>
      </c>
      <c r="B102" s="438">
        <v>5852</v>
      </c>
    </row>
    <row r="103" spans="1:2" x14ac:dyDescent="0.25">
      <c r="A103" s="438" t="s">
        <v>17</v>
      </c>
      <c r="B103" s="438">
        <v>5853</v>
      </c>
    </row>
    <row r="104" spans="1:2" x14ac:dyDescent="0.25">
      <c r="A104" s="438" t="s">
        <v>18</v>
      </c>
      <c r="B104" s="438">
        <v>5854</v>
      </c>
    </row>
    <row r="105" spans="1:2" x14ac:dyDescent="0.25">
      <c r="A105" s="438" t="s">
        <v>351</v>
      </c>
      <c r="B105" s="438">
        <v>5624</v>
      </c>
    </row>
    <row r="106" spans="1:2" x14ac:dyDescent="0.25">
      <c r="A106" s="438" t="s">
        <v>183</v>
      </c>
      <c r="B106" s="438">
        <v>5663</v>
      </c>
    </row>
    <row r="107" spans="1:2" x14ac:dyDescent="0.25">
      <c r="A107" s="438" t="s">
        <v>53</v>
      </c>
      <c r="B107" s="438">
        <v>5904</v>
      </c>
    </row>
    <row r="108" spans="1:2" x14ac:dyDescent="0.25">
      <c r="A108" s="438" t="s">
        <v>34</v>
      </c>
      <c r="B108" s="438">
        <v>5553</v>
      </c>
    </row>
    <row r="109" spans="1:2" x14ac:dyDescent="0.25">
      <c r="A109" s="438" t="s">
        <v>315</v>
      </c>
      <c r="B109" s="438">
        <v>5812</v>
      </c>
    </row>
    <row r="110" spans="1:2" x14ac:dyDescent="0.25">
      <c r="A110" s="438" t="s">
        <v>54</v>
      </c>
      <c r="B110" s="438">
        <v>5905</v>
      </c>
    </row>
    <row r="111" spans="1:2" x14ac:dyDescent="0.25">
      <c r="A111" s="438" t="s">
        <v>186</v>
      </c>
      <c r="B111" s="438">
        <v>5882</v>
      </c>
    </row>
    <row r="112" spans="1:2" x14ac:dyDescent="0.25">
      <c r="A112" s="438" t="s">
        <v>12</v>
      </c>
      <c r="B112" s="438">
        <v>5841</v>
      </c>
    </row>
    <row r="113" spans="1:2" x14ac:dyDescent="0.25">
      <c r="A113" s="438" t="s">
        <v>198</v>
      </c>
      <c r="B113" s="438">
        <v>5707</v>
      </c>
    </row>
    <row r="114" spans="1:2" x14ac:dyDescent="0.25">
      <c r="A114" s="438" t="s">
        <v>199</v>
      </c>
      <c r="B114" s="438">
        <v>5708</v>
      </c>
    </row>
    <row r="115" spans="1:2" x14ac:dyDescent="0.25">
      <c r="A115" s="438" t="s">
        <v>55</v>
      </c>
      <c r="B115" s="438">
        <v>5907</v>
      </c>
    </row>
    <row r="116" spans="1:2" x14ac:dyDescent="0.25">
      <c r="A116" s="438" t="s">
        <v>306</v>
      </c>
      <c r="B116" s="438">
        <v>5475</v>
      </c>
    </row>
    <row r="117" spans="1:2" x14ac:dyDescent="0.25">
      <c r="A117" s="438" t="s">
        <v>221</v>
      </c>
      <c r="B117" s="438">
        <v>5627</v>
      </c>
    </row>
    <row r="118" spans="1:2" x14ac:dyDescent="0.25">
      <c r="A118" s="438" t="s">
        <v>85</v>
      </c>
      <c r="B118" s="438">
        <v>5665</v>
      </c>
    </row>
    <row r="119" spans="1:2" x14ac:dyDescent="0.25">
      <c r="A119" s="438" t="s">
        <v>233</v>
      </c>
      <c r="B119" s="438">
        <v>5749</v>
      </c>
    </row>
    <row r="120" spans="1:2" x14ac:dyDescent="0.25">
      <c r="A120" s="438" t="s">
        <v>56</v>
      </c>
      <c r="B120" s="438">
        <v>5908</v>
      </c>
    </row>
    <row r="121" spans="1:2" x14ac:dyDescent="0.25">
      <c r="A121" s="438" t="s">
        <v>57</v>
      </c>
      <c r="B121" s="438">
        <v>5909</v>
      </c>
    </row>
    <row r="122" spans="1:2" x14ac:dyDescent="0.25">
      <c r="A122" s="438" t="s">
        <v>318</v>
      </c>
      <c r="B122" s="438">
        <v>5582</v>
      </c>
    </row>
    <row r="123" spans="1:2" x14ac:dyDescent="0.25">
      <c r="A123" s="438" t="s">
        <v>200</v>
      </c>
      <c r="B123" s="438">
        <v>5709</v>
      </c>
    </row>
    <row r="124" spans="1:2" x14ac:dyDescent="0.25">
      <c r="A124" s="438" t="s">
        <v>100</v>
      </c>
      <c r="B124" s="438">
        <v>5403</v>
      </c>
    </row>
    <row r="125" spans="1:2" x14ac:dyDescent="0.25">
      <c r="A125" s="438" t="s">
        <v>307</v>
      </c>
      <c r="B125" s="438">
        <v>5476</v>
      </c>
    </row>
    <row r="126" spans="1:2" x14ac:dyDescent="0.25">
      <c r="A126" s="438" t="s">
        <v>316</v>
      </c>
      <c r="B126" s="438">
        <v>5813</v>
      </c>
    </row>
    <row r="127" spans="1:2" x14ac:dyDescent="0.25">
      <c r="A127" s="438" t="s">
        <v>254</v>
      </c>
      <c r="B127" s="438">
        <v>5601</v>
      </c>
    </row>
    <row r="128" spans="1:2" x14ac:dyDescent="0.25">
      <c r="A128" s="438" t="s">
        <v>222</v>
      </c>
      <c r="B128" s="438">
        <v>5628</v>
      </c>
    </row>
    <row r="129" spans="1:2" x14ac:dyDescent="0.25">
      <c r="A129" s="438" t="s">
        <v>134</v>
      </c>
      <c r="B129" s="438">
        <v>5629</v>
      </c>
    </row>
    <row r="130" spans="1:2" x14ac:dyDescent="0.25">
      <c r="A130" s="438" t="s">
        <v>201</v>
      </c>
      <c r="B130" s="438">
        <v>5710</v>
      </c>
    </row>
    <row r="131" spans="1:2" x14ac:dyDescent="0.25">
      <c r="A131" s="438" t="s">
        <v>202</v>
      </c>
      <c r="B131" s="438">
        <v>5711</v>
      </c>
    </row>
    <row r="132" spans="1:2" x14ac:dyDescent="0.25">
      <c r="A132" s="438" t="s">
        <v>35</v>
      </c>
      <c r="B132" s="438">
        <v>5554</v>
      </c>
    </row>
    <row r="133" spans="1:2" x14ac:dyDescent="0.25">
      <c r="A133" s="438" t="s">
        <v>203</v>
      </c>
      <c r="B133" s="438">
        <v>5712</v>
      </c>
    </row>
    <row r="134" spans="1:2" x14ac:dyDescent="0.25">
      <c r="A134" s="438" t="s">
        <v>101</v>
      </c>
      <c r="B134" s="438">
        <v>5404</v>
      </c>
    </row>
    <row r="135" spans="1:2" x14ac:dyDescent="0.25">
      <c r="A135" s="438" t="s">
        <v>240</v>
      </c>
      <c r="B135" s="438">
        <v>5785</v>
      </c>
    </row>
    <row r="136" spans="1:2" x14ac:dyDescent="0.25">
      <c r="A136" s="438" t="s">
        <v>36</v>
      </c>
      <c r="B136" s="438">
        <v>5555</v>
      </c>
    </row>
    <row r="137" spans="1:2" x14ac:dyDescent="0.25">
      <c r="A137" s="438" t="s">
        <v>5</v>
      </c>
      <c r="B137" s="438">
        <v>5816</v>
      </c>
    </row>
    <row r="138" spans="1:2" x14ac:dyDescent="0.25">
      <c r="A138" s="438" t="s">
        <v>187</v>
      </c>
      <c r="B138" s="438">
        <v>5883</v>
      </c>
    </row>
    <row r="139" spans="1:2" x14ac:dyDescent="0.25">
      <c r="A139" s="438" t="s">
        <v>45</v>
      </c>
      <c r="B139" s="438">
        <v>5884</v>
      </c>
    </row>
    <row r="140" spans="1:2" x14ac:dyDescent="0.25">
      <c r="A140" s="438" t="s">
        <v>308</v>
      </c>
      <c r="B140" s="438">
        <v>5477</v>
      </c>
    </row>
    <row r="141" spans="1:2" x14ac:dyDescent="0.25">
      <c r="A141" s="438" t="s">
        <v>204</v>
      </c>
      <c r="B141" s="438">
        <v>5713</v>
      </c>
    </row>
    <row r="142" spans="1:2" x14ac:dyDescent="0.25">
      <c r="A142" s="438" t="s">
        <v>205</v>
      </c>
      <c r="B142" s="438">
        <v>5714</v>
      </c>
    </row>
    <row r="143" spans="1:2" x14ac:dyDescent="0.25">
      <c r="A143" s="438" t="s">
        <v>319</v>
      </c>
      <c r="B143" s="438">
        <v>5583</v>
      </c>
    </row>
    <row r="144" spans="1:2" x14ac:dyDescent="0.25">
      <c r="A144" s="438" t="s">
        <v>58</v>
      </c>
      <c r="B144" s="438">
        <v>5910</v>
      </c>
    </row>
    <row r="145" spans="1:2" x14ac:dyDescent="0.25">
      <c r="A145" s="438" t="s">
        <v>281</v>
      </c>
      <c r="B145" s="438">
        <v>5752</v>
      </c>
    </row>
    <row r="146" spans="1:2" x14ac:dyDescent="0.25">
      <c r="A146" s="438" t="s">
        <v>215</v>
      </c>
      <c r="B146" s="438">
        <v>5479</v>
      </c>
    </row>
    <row r="147" spans="1:2" x14ac:dyDescent="0.25">
      <c r="A147" s="438" t="s">
        <v>59</v>
      </c>
      <c r="B147" s="438">
        <v>5911</v>
      </c>
    </row>
    <row r="148" spans="1:2" x14ac:dyDescent="0.25">
      <c r="A148" s="438" t="s">
        <v>296</v>
      </c>
      <c r="B148" s="438">
        <v>5456</v>
      </c>
    </row>
    <row r="149" spans="1:2" x14ac:dyDescent="0.25">
      <c r="A149" s="438" t="s">
        <v>161</v>
      </c>
      <c r="B149" s="438">
        <v>5516</v>
      </c>
    </row>
    <row r="150" spans="1:2" x14ac:dyDescent="0.25">
      <c r="A150" s="438" t="s">
        <v>86</v>
      </c>
      <c r="B150" s="438">
        <v>5669</v>
      </c>
    </row>
    <row r="151" spans="1:2" x14ac:dyDescent="0.25">
      <c r="A151" s="438" t="s">
        <v>216</v>
      </c>
      <c r="B151" s="438">
        <v>5480</v>
      </c>
    </row>
    <row r="152" spans="1:2" x14ac:dyDescent="0.25">
      <c r="A152" s="438" t="s">
        <v>60</v>
      </c>
      <c r="B152" s="438">
        <v>5912</v>
      </c>
    </row>
    <row r="153" spans="1:2" x14ac:dyDescent="0.25">
      <c r="A153" s="438" t="s">
        <v>135</v>
      </c>
      <c r="B153" s="438">
        <v>5631</v>
      </c>
    </row>
    <row r="154" spans="1:2" x14ac:dyDescent="0.25">
      <c r="A154" s="438" t="s">
        <v>136</v>
      </c>
      <c r="B154" s="438">
        <v>5632</v>
      </c>
    </row>
    <row r="155" spans="1:2" x14ac:dyDescent="0.25">
      <c r="A155" s="438" t="s">
        <v>217</v>
      </c>
      <c r="B155" s="438">
        <v>5481</v>
      </c>
    </row>
    <row r="156" spans="1:2" x14ac:dyDescent="0.25">
      <c r="A156" s="438" t="s">
        <v>87</v>
      </c>
      <c r="B156" s="438">
        <v>5671</v>
      </c>
    </row>
    <row r="157" spans="1:2" x14ac:dyDescent="0.25">
      <c r="A157" s="438" t="s">
        <v>61</v>
      </c>
      <c r="B157" s="438">
        <v>5913</v>
      </c>
    </row>
    <row r="158" spans="1:2" x14ac:dyDescent="0.25">
      <c r="A158" s="438" t="s">
        <v>206</v>
      </c>
      <c r="B158" s="438">
        <v>5715</v>
      </c>
    </row>
    <row r="159" spans="1:2" x14ac:dyDescent="0.25">
      <c r="A159" s="438" t="s">
        <v>19</v>
      </c>
      <c r="B159" s="438">
        <v>5855</v>
      </c>
    </row>
    <row r="160" spans="1:2" x14ac:dyDescent="0.25">
      <c r="A160" s="438" t="s">
        <v>162</v>
      </c>
      <c r="B160" s="438">
        <v>5518</v>
      </c>
    </row>
    <row r="161" spans="1:2" x14ac:dyDescent="0.25">
      <c r="A161" s="438" t="s">
        <v>137</v>
      </c>
      <c r="B161" s="438">
        <v>5633</v>
      </c>
    </row>
    <row r="162" spans="1:2" x14ac:dyDescent="0.25">
      <c r="A162" s="438" t="s">
        <v>138</v>
      </c>
      <c r="B162" s="438">
        <v>5634</v>
      </c>
    </row>
    <row r="163" spans="1:2" x14ac:dyDescent="0.25">
      <c r="A163" s="438" t="s">
        <v>218</v>
      </c>
      <c r="B163" s="438">
        <v>5482</v>
      </c>
    </row>
    <row r="164" spans="1:2" x14ac:dyDescent="0.25">
      <c r="A164" s="438" t="s">
        <v>139</v>
      </c>
      <c r="B164" s="438">
        <v>5635</v>
      </c>
    </row>
    <row r="165" spans="1:2" x14ac:dyDescent="0.25">
      <c r="A165" s="438" t="s">
        <v>320</v>
      </c>
      <c r="B165" s="438">
        <v>5584</v>
      </c>
    </row>
    <row r="166" spans="1:2" x14ac:dyDescent="0.25">
      <c r="A166" s="438" t="s">
        <v>62</v>
      </c>
      <c r="B166" s="438">
        <v>5914</v>
      </c>
    </row>
    <row r="167" spans="1:2" x14ac:dyDescent="0.25">
      <c r="A167" s="438" t="s">
        <v>20</v>
      </c>
      <c r="B167" s="438">
        <v>5856</v>
      </c>
    </row>
    <row r="168" spans="1:2" x14ac:dyDescent="0.25">
      <c r="A168" s="438" t="s">
        <v>163</v>
      </c>
      <c r="B168" s="438">
        <v>5520</v>
      </c>
    </row>
    <row r="169" spans="1:2" x14ac:dyDescent="0.25">
      <c r="A169" s="438" t="s">
        <v>164</v>
      </c>
      <c r="B169" s="438">
        <v>5521</v>
      </c>
    </row>
    <row r="170" spans="1:2" x14ac:dyDescent="0.25">
      <c r="A170" s="438" t="s">
        <v>140</v>
      </c>
      <c r="B170" s="438">
        <v>5636</v>
      </c>
    </row>
    <row r="171" spans="1:2" x14ac:dyDescent="0.25">
      <c r="A171" s="438" t="s">
        <v>207</v>
      </c>
      <c r="B171" s="438">
        <v>5716</v>
      </c>
    </row>
    <row r="172" spans="1:2" x14ac:dyDescent="0.25">
      <c r="A172" s="438" t="s">
        <v>297</v>
      </c>
      <c r="B172" s="438">
        <v>5458</v>
      </c>
    </row>
    <row r="173" spans="1:2" x14ac:dyDescent="0.25">
      <c r="A173" s="438" t="s">
        <v>290</v>
      </c>
      <c r="B173" s="438">
        <v>5427</v>
      </c>
    </row>
    <row r="174" spans="1:2" x14ac:dyDescent="0.25">
      <c r="A174" s="438" t="s">
        <v>125</v>
      </c>
      <c r="B174" s="438">
        <v>5483</v>
      </c>
    </row>
    <row r="175" spans="1:2" x14ac:dyDescent="0.25">
      <c r="A175" s="438" t="s">
        <v>165</v>
      </c>
      <c r="B175" s="438">
        <v>5522</v>
      </c>
    </row>
    <row r="176" spans="1:2" x14ac:dyDescent="0.25">
      <c r="A176" s="438" t="s">
        <v>37</v>
      </c>
      <c r="B176" s="438">
        <v>5556</v>
      </c>
    </row>
    <row r="177" spans="1:2" x14ac:dyDescent="0.25">
      <c r="A177" s="438" t="s">
        <v>38</v>
      </c>
      <c r="B177" s="438">
        <v>5557</v>
      </c>
    </row>
    <row r="178" spans="1:2" x14ac:dyDescent="0.25">
      <c r="A178" s="438" t="s">
        <v>128</v>
      </c>
      <c r="B178" s="438">
        <v>5604</v>
      </c>
    </row>
    <row r="179" spans="1:2" x14ac:dyDescent="0.25">
      <c r="A179" s="438" t="s">
        <v>208</v>
      </c>
      <c r="B179" s="438">
        <v>5717</v>
      </c>
    </row>
    <row r="180" spans="1:2" x14ac:dyDescent="0.25">
      <c r="A180" s="438" t="s">
        <v>166</v>
      </c>
      <c r="B180" s="438">
        <v>5523</v>
      </c>
    </row>
    <row r="181" spans="1:2" x14ac:dyDescent="0.25">
      <c r="A181" s="438" t="s">
        <v>209</v>
      </c>
      <c r="B181" s="438">
        <v>5718</v>
      </c>
    </row>
    <row r="182" spans="1:2" x14ac:dyDescent="0.25">
      <c r="A182" s="438" t="s">
        <v>39</v>
      </c>
      <c r="B182" s="438">
        <v>5559</v>
      </c>
    </row>
    <row r="183" spans="1:2" x14ac:dyDescent="0.25">
      <c r="A183" s="438" t="s">
        <v>21</v>
      </c>
      <c r="B183" s="438">
        <v>5857</v>
      </c>
    </row>
    <row r="184" spans="1:2" x14ac:dyDescent="0.25">
      <c r="A184" s="438" t="s">
        <v>291</v>
      </c>
      <c r="B184" s="438">
        <v>5428</v>
      </c>
    </row>
    <row r="185" spans="1:2" x14ac:dyDescent="0.25">
      <c r="A185" s="438" t="s">
        <v>210</v>
      </c>
      <c r="B185" s="438">
        <v>5719</v>
      </c>
    </row>
    <row r="186" spans="1:2" x14ac:dyDescent="0.25">
      <c r="A186" s="438" t="s">
        <v>211</v>
      </c>
      <c r="B186" s="438">
        <v>5720</v>
      </c>
    </row>
    <row r="187" spans="1:2" x14ac:dyDescent="0.25">
      <c r="A187" s="438" t="s">
        <v>212</v>
      </c>
      <c r="B187" s="438">
        <v>5721</v>
      </c>
    </row>
    <row r="188" spans="1:2" x14ac:dyDescent="0.25">
      <c r="A188" s="438" t="s">
        <v>126</v>
      </c>
      <c r="B188" s="438">
        <v>5484</v>
      </c>
    </row>
    <row r="189" spans="1:2" x14ac:dyDescent="0.25">
      <c r="A189" s="438" t="s">
        <v>345</v>
      </c>
      <c r="B189" s="438">
        <v>5541</v>
      </c>
    </row>
    <row r="190" spans="1:2" x14ac:dyDescent="0.25">
      <c r="A190" s="438" t="s">
        <v>127</v>
      </c>
      <c r="B190" s="438">
        <v>5485</v>
      </c>
    </row>
    <row r="191" spans="1:2" x14ac:dyDescent="0.25">
      <c r="A191" s="438" t="s">
        <v>6</v>
      </c>
      <c r="B191" s="438">
        <v>5817</v>
      </c>
    </row>
    <row r="192" spans="1:2" x14ac:dyDescent="0.25">
      <c r="A192" s="438" t="s">
        <v>40</v>
      </c>
      <c r="B192" s="438">
        <v>5560</v>
      </c>
    </row>
    <row r="193" spans="1:2" x14ac:dyDescent="0.25">
      <c r="A193" s="438" t="s">
        <v>41</v>
      </c>
      <c r="B193" s="438">
        <v>5561</v>
      </c>
    </row>
    <row r="194" spans="1:2" x14ac:dyDescent="0.25">
      <c r="A194" s="438" t="s">
        <v>213</v>
      </c>
      <c r="B194" s="438">
        <v>5722</v>
      </c>
    </row>
    <row r="195" spans="1:2" x14ac:dyDescent="0.25">
      <c r="A195" s="438" t="s">
        <v>102</v>
      </c>
      <c r="B195" s="438">
        <v>5405</v>
      </c>
    </row>
    <row r="196" spans="1:2" x14ac:dyDescent="0.25">
      <c r="A196" s="438" t="s">
        <v>394</v>
      </c>
      <c r="B196" s="438">
        <v>5656</v>
      </c>
    </row>
    <row r="197" spans="1:2" x14ac:dyDescent="0.25">
      <c r="A197" s="438" t="s">
        <v>7</v>
      </c>
      <c r="B197" s="438">
        <v>5819</v>
      </c>
    </row>
    <row r="198" spans="1:2" x14ac:dyDescent="0.25">
      <c r="A198" s="438" t="s">
        <v>88</v>
      </c>
      <c r="B198" s="438">
        <v>5673</v>
      </c>
    </row>
    <row r="199" spans="1:2" x14ac:dyDescent="0.25">
      <c r="A199" s="438" t="s">
        <v>46</v>
      </c>
      <c r="B199" s="438">
        <v>5885</v>
      </c>
    </row>
    <row r="200" spans="1:2" x14ac:dyDescent="0.25">
      <c r="A200" s="438" t="s">
        <v>347</v>
      </c>
      <c r="B200" s="438">
        <v>5804</v>
      </c>
    </row>
    <row r="201" spans="1:2" x14ac:dyDescent="0.25">
      <c r="A201" s="438" t="s">
        <v>372</v>
      </c>
      <c r="B201" s="438">
        <v>5806</v>
      </c>
    </row>
    <row r="202" spans="1:2" x14ac:dyDescent="0.25">
      <c r="A202" s="438" t="s">
        <v>321</v>
      </c>
      <c r="B202" s="438">
        <v>5585</v>
      </c>
    </row>
    <row r="203" spans="1:2" x14ac:dyDescent="0.25">
      <c r="A203" s="438" t="s">
        <v>282</v>
      </c>
      <c r="B203" s="438">
        <v>5754</v>
      </c>
    </row>
    <row r="204" spans="1:2" x14ac:dyDescent="0.25">
      <c r="A204" s="438" t="s">
        <v>189</v>
      </c>
      <c r="B204" s="438">
        <v>5474</v>
      </c>
    </row>
    <row r="205" spans="1:2" x14ac:dyDescent="0.25">
      <c r="A205" s="438" t="s">
        <v>192</v>
      </c>
      <c r="B205" s="438">
        <v>5758</v>
      </c>
    </row>
    <row r="206" spans="1:2" x14ac:dyDescent="0.25">
      <c r="A206" s="438" t="s">
        <v>269</v>
      </c>
      <c r="B206" s="438">
        <v>5726</v>
      </c>
    </row>
    <row r="207" spans="1:2" x14ac:dyDescent="0.25">
      <c r="A207" s="438" t="s">
        <v>153</v>
      </c>
      <c r="B207" s="438">
        <v>5498</v>
      </c>
    </row>
    <row r="208" spans="1:2" x14ac:dyDescent="0.25">
      <c r="A208" s="438" t="s">
        <v>48</v>
      </c>
      <c r="B208" s="438">
        <v>5889</v>
      </c>
    </row>
    <row r="209" spans="1:2" x14ac:dyDescent="0.25">
      <c r="A209" s="438" t="s">
        <v>28</v>
      </c>
      <c r="B209" s="438">
        <v>5871</v>
      </c>
    </row>
    <row r="210" spans="1:2" x14ac:dyDescent="0.25">
      <c r="A210" s="438" t="s">
        <v>276</v>
      </c>
      <c r="B210" s="438">
        <v>5741</v>
      </c>
    </row>
    <row r="211" spans="1:2" x14ac:dyDescent="0.25">
      <c r="A211" s="438" t="s">
        <v>108</v>
      </c>
      <c r="B211" s="438">
        <v>5586</v>
      </c>
    </row>
    <row r="212" spans="1:2" x14ac:dyDescent="0.25">
      <c r="A212" s="438" t="s">
        <v>103</v>
      </c>
      <c r="B212" s="438">
        <v>5406</v>
      </c>
    </row>
    <row r="213" spans="1:2" x14ac:dyDescent="0.25">
      <c r="A213" s="438" t="s">
        <v>141</v>
      </c>
      <c r="B213" s="438">
        <v>5637</v>
      </c>
    </row>
    <row r="214" spans="1:2" x14ac:dyDescent="0.25">
      <c r="A214" s="438" t="s">
        <v>184</v>
      </c>
      <c r="B214" s="438">
        <v>5872</v>
      </c>
    </row>
    <row r="215" spans="1:2" x14ac:dyDescent="0.25">
      <c r="A215" s="438" t="s">
        <v>185</v>
      </c>
      <c r="B215" s="438">
        <v>5873</v>
      </c>
    </row>
    <row r="216" spans="1:2" x14ac:dyDescent="0.25">
      <c r="A216" s="438" t="s">
        <v>109</v>
      </c>
      <c r="B216" s="438">
        <v>5587</v>
      </c>
    </row>
    <row r="217" spans="1:2" x14ac:dyDescent="0.25">
      <c r="A217" s="438" t="s">
        <v>274</v>
      </c>
      <c r="B217" s="438">
        <v>5731</v>
      </c>
    </row>
    <row r="218" spans="1:2" x14ac:dyDescent="0.25">
      <c r="A218" s="438" t="s">
        <v>234</v>
      </c>
      <c r="B218" s="438">
        <v>5750</v>
      </c>
    </row>
    <row r="219" spans="1:2" x14ac:dyDescent="0.25">
      <c r="A219" s="438" t="s">
        <v>104</v>
      </c>
      <c r="B219" s="438">
        <v>5407</v>
      </c>
    </row>
    <row r="220" spans="1:2" x14ac:dyDescent="0.25">
      <c r="A220" s="438" t="s">
        <v>283</v>
      </c>
      <c r="B220" s="438">
        <v>5755</v>
      </c>
    </row>
    <row r="221" spans="1:2" x14ac:dyDescent="0.25">
      <c r="A221" s="438" t="s">
        <v>0</v>
      </c>
      <c r="B221" s="438">
        <v>5486</v>
      </c>
    </row>
    <row r="222" spans="1:2" x14ac:dyDescent="0.25">
      <c r="A222" s="438" t="s">
        <v>142</v>
      </c>
      <c r="B222" s="438">
        <v>5638</v>
      </c>
    </row>
    <row r="223" spans="1:2" x14ac:dyDescent="0.25">
      <c r="A223" s="438" t="s">
        <v>302</v>
      </c>
      <c r="B223" s="438">
        <v>5429</v>
      </c>
    </row>
    <row r="224" spans="1:2" x14ac:dyDescent="0.25">
      <c r="A224" s="438" t="s">
        <v>89</v>
      </c>
      <c r="B224" s="438">
        <v>5674</v>
      </c>
    </row>
    <row r="225" spans="1:2" x14ac:dyDescent="0.25">
      <c r="A225" s="438" t="s">
        <v>90</v>
      </c>
      <c r="B225" s="438">
        <v>5675</v>
      </c>
    </row>
    <row r="226" spans="1:2" x14ac:dyDescent="0.25">
      <c r="A226" s="438" t="s">
        <v>22</v>
      </c>
      <c r="B226" s="438">
        <v>5858</v>
      </c>
    </row>
    <row r="227" spans="1:2" x14ac:dyDescent="0.25">
      <c r="A227" s="438" t="s">
        <v>143</v>
      </c>
      <c r="B227" s="438">
        <v>5639</v>
      </c>
    </row>
    <row r="228" spans="1:2" x14ac:dyDescent="0.25">
      <c r="A228" s="438" t="s">
        <v>1</v>
      </c>
      <c r="B228" s="438">
        <v>5487</v>
      </c>
    </row>
    <row r="229" spans="1:2" x14ac:dyDescent="0.25">
      <c r="A229" s="438" t="s">
        <v>144</v>
      </c>
      <c r="B229" s="438">
        <v>5640</v>
      </c>
    </row>
    <row r="230" spans="1:2" x14ac:dyDescent="0.25">
      <c r="A230" s="438" t="s">
        <v>129</v>
      </c>
      <c r="B230" s="438">
        <v>5606</v>
      </c>
    </row>
    <row r="231" spans="1:2" x14ac:dyDescent="0.25">
      <c r="A231" s="438" t="s">
        <v>241</v>
      </c>
      <c r="B231" s="438">
        <v>5790</v>
      </c>
    </row>
    <row r="232" spans="1:2" x14ac:dyDescent="0.25">
      <c r="A232" s="438" t="s">
        <v>303</v>
      </c>
      <c r="B232" s="438">
        <v>5430</v>
      </c>
    </row>
    <row r="233" spans="1:2" x14ac:dyDescent="0.25">
      <c r="A233" s="438" t="s">
        <v>322</v>
      </c>
      <c r="B233" s="438">
        <v>5919</v>
      </c>
    </row>
    <row r="234" spans="1:2" x14ac:dyDescent="0.25">
      <c r="A234" s="438" t="s">
        <v>42</v>
      </c>
      <c r="B234" s="438">
        <v>5562</v>
      </c>
    </row>
    <row r="235" spans="1:2" x14ac:dyDescent="0.25">
      <c r="A235" s="438" t="s">
        <v>2</v>
      </c>
      <c r="B235" s="438">
        <v>5488</v>
      </c>
    </row>
    <row r="236" spans="1:2" x14ac:dyDescent="0.25">
      <c r="A236" s="438" t="s">
        <v>3</v>
      </c>
      <c r="B236" s="438">
        <v>5489</v>
      </c>
    </row>
    <row r="237" spans="1:2" x14ac:dyDescent="0.25">
      <c r="A237" s="438" t="s">
        <v>214</v>
      </c>
      <c r="B237" s="438">
        <v>5723</v>
      </c>
    </row>
    <row r="238" spans="1:2" x14ac:dyDescent="0.25">
      <c r="A238" s="438" t="s">
        <v>8</v>
      </c>
      <c r="B238" s="438">
        <v>5821</v>
      </c>
    </row>
    <row r="239" spans="1:2" x14ac:dyDescent="0.25">
      <c r="A239" s="438" t="s">
        <v>4</v>
      </c>
      <c r="B239" s="438">
        <v>5490</v>
      </c>
    </row>
    <row r="240" spans="1:2" x14ac:dyDescent="0.25">
      <c r="A240" s="438" t="s">
        <v>304</v>
      </c>
      <c r="B240" s="438">
        <v>5431</v>
      </c>
    </row>
    <row r="241" spans="1:2" x14ac:dyDescent="0.25">
      <c r="A241" s="438" t="s">
        <v>323</v>
      </c>
      <c r="B241" s="438">
        <v>5921</v>
      </c>
    </row>
    <row r="242" spans="1:2" x14ac:dyDescent="0.25">
      <c r="A242" s="438" t="s">
        <v>235</v>
      </c>
      <c r="B242" s="438">
        <v>5922</v>
      </c>
    </row>
    <row r="243" spans="1:2" x14ac:dyDescent="0.25">
      <c r="A243" s="438" t="s">
        <v>353</v>
      </c>
      <c r="B243" s="438">
        <v>5693</v>
      </c>
    </row>
    <row r="244" spans="1:2" x14ac:dyDescent="0.25">
      <c r="A244" s="438" t="s">
        <v>284</v>
      </c>
      <c r="B244" s="438">
        <v>5756</v>
      </c>
    </row>
    <row r="245" spans="1:2" x14ac:dyDescent="0.25">
      <c r="A245" s="438" t="s">
        <v>346</v>
      </c>
      <c r="B245" s="438">
        <v>5540</v>
      </c>
    </row>
    <row r="246" spans="1:2" x14ac:dyDescent="0.25">
      <c r="A246" s="438" t="s">
        <v>147</v>
      </c>
      <c r="B246" s="438">
        <v>5491</v>
      </c>
    </row>
    <row r="247" spans="1:2" x14ac:dyDescent="0.25">
      <c r="A247" s="438" t="s">
        <v>242</v>
      </c>
      <c r="B247" s="438">
        <v>5792</v>
      </c>
    </row>
    <row r="248" spans="1:2" x14ac:dyDescent="0.25">
      <c r="A248" s="438" t="s">
        <v>47</v>
      </c>
      <c r="B248" s="438">
        <v>5886</v>
      </c>
    </row>
    <row r="249" spans="1:2" x14ac:dyDescent="0.25">
      <c r="A249" s="438" t="s">
        <v>148</v>
      </c>
      <c r="B249" s="438">
        <v>5492</v>
      </c>
    </row>
    <row r="250" spans="1:2" x14ac:dyDescent="0.25">
      <c r="A250" s="438" t="s">
        <v>23</v>
      </c>
      <c r="B250" s="438">
        <v>5859</v>
      </c>
    </row>
    <row r="251" spans="1:2" x14ac:dyDescent="0.25">
      <c r="A251" s="438" t="s">
        <v>145</v>
      </c>
      <c r="B251" s="438">
        <v>5642</v>
      </c>
    </row>
    <row r="252" spans="1:2" x14ac:dyDescent="0.25">
      <c r="A252" s="438" t="s">
        <v>167</v>
      </c>
      <c r="B252" s="438">
        <v>5527</v>
      </c>
    </row>
    <row r="253" spans="1:2" x14ac:dyDescent="0.25">
      <c r="A253" s="438" t="s">
        <v>91</v>
      </c>
      <c r="B253" s="438">
        <v>5678</v>
      </c>
    </row>
    <row r="254" spans="1:2" x14ac:dyDescent="0.25">
      <c r="A254" s="438" t="s">
        <v>245</v>
      </c>
      <c r="B254" s="438">
        <v>5563</v>
      </c>
    </row>
    <row r="255" spans="1:2" x14ac:dyDescent="0.25">
      <c r="A255" s="438" t="s">
        <v>246</v>
      </c>
      <c r="B255" s="438">
        <v>5564</v>
      </c>
    </row>
    <row r="256" spans="1:2" x14ac:dyDescent="0.25">
      <c r="A256" s="438" t="s">
        <v>105</v>
      </c>
      <c r="B256" s="438">
        <v>5408</v>
      </c>
    </row>
    <row r="257" spans="1:2" x14ac:dyDescent="0.25">
      <c r="A257" s="438" t="s">
        <v>63</v>
      </c>
      <c r="B257" s="438">
        <v>5724</v>
      </c>
    </row>
    <row r="258" spans="1:2" x14ac:dyDescent="0.25">
      <c r="A258" s="438" t="s">
        <v>92</v>
      </c>
      <c r="B258" s="438">
        <v>5680</v>
      </c>
    </row>
    <row r="259" spans="1:2" x14ac:dyDescent="0.25">
      <c r="A259" s="438" t="s">
        <v>106</v>
      </c>
      <c r="B259" s="438">
        <v>5409</v>
      </c>
    </row>
    <row r="260" spans="1:2" x14ac:dyDescent="0.25">
      <c r="A260" s="438" t="s">
        <v>247</v>
      </c>
      <c r="B260" s="438">
        <v>5565</v>
      </c>
    </row>
    <row r="261" spans="1:2" x14ac:dyDescent="0.25">
      <c r="A261" s="438" t="s">
        <v>236</v>
      </c>
      <c r="B261" s="438">
        <v>5923</v>
      </c>
    </row>
    <row r="262" spans="1:2" x14ac:dyDescent="0.25">
      <c r="A262" s="438" t="s">
        <v>285</v>
      </c>
      <c r="B262" s="438">
        <v>5757</v>
      </c>
    </row>
    <row r="263" spans="1:2" x14ac:dyDescent="0.25">
      <c r="A263" s="438" t="s">
        <v>237</v>
      </c>
      <c r="B263" s="438">
        <v>5924</v>
      </c>
    </row>
    <row r="264" spans="1:2" x14ac:dyDescent="0.25">
      <c r="A264" s="438" t="s">
        <v>116</v>
      </c>
      <c r="B264" s="438">
        <v>5410</v>
      </c>
    </row>
    <row r="265" spans="1:2" x14ac:dyDescent="0.25">
      <c r="A265" s="438" t="s">
        <v>117</v>
      </c>
      <c r="B265" s="438">
        <v>5411</v>
      </c>
    </row>
    <row r="266" spans="1:2" x14ac:dyDescent="0.25">
      <c r="A266" s="438" t="s">
        <v>149</v>
      </c>
      <c r="B266" s="438">
        <v>5493</v>
      </c>
    </row>
    <row r="267" spans="1:2" x14ac:dyDescent="0.25">
      <c r="A267" s="438" t="s">
        <v>349</v>
      </c>
      <c r="B267" s="438">
        <v>5805</v>
      </c>
    </row>
    <row r="268" spans="1:2" x14ac:dyDescent="0.25">
      <c r="A268" s="438" t="s">
        <v>327</v>
      </c>
      <c r="B268" s="438">
        <v>5925</v>
      </c>
    </row>
    <row r="269" spans="1:2" x14ac:dyDescent="0.25">
      <c r="A269" s="438" t="s">
        <v>168</v>
      </c>
      <c r="B269" s="438">
        <v>5529</v>
      </c>
    </row>
    <row r="270" spans="1:2" x14ac:dyDescent="0.25">
      <c r="A270" s="438" t="s">
        <v>169</v>
      </c>
      <c r="B270" s="438">
        <v>5530</v>
      </c>
    </row>
    <row r="271" spans="1:2" x14ac:dyDescent="0.25">
      <c r="A271" s="438" t="s">
        <v>110</v>
      </c>
      <c r="B271" s="438">
        <v>5588</v>
      </c>
    </row>
    <row r="272" spans="1:2" x14ac:dyDescent="0.25">
      <c r="A272" s="438" t="s">
        <v>9</v>
      </c>
      <c r="B272" s="438">
        <v>5822</v>
      </c>
    </row>
    <row r="273" spans="1:2" x14ac:dyDescent="0.25">
      <c r="A273" s="438" t="s">
        <v>150</v>
      </c>
      <c r="B273" s="438">
        <v>5495</v>
      </c>
    </row>
    <row r="274" spans="1:2" x14ac:dyDescent="0.25">
      <c r="A274" s="438" t="s">
        <v>151</v>
      </c>
      <c r="B274" s="438">
        <v>5496</v>
      </c>
    </row>
    <row r="275" spans="1:2" x14ac:dyDescent="0.25">
      <c r="A275" s="438" t="s">
        <v>170</v>
      </c>
      <c r="B275" s="438">
        <v>5531</v>
      </c>
    </row>
    <row r="276" spans="1:2" x14ac:dyDescent="0.25">
      <c r="A276" s="438" t="s">
        <v>24</v>
      </c>
      <c r="B276" s="438">
        <v>5860</v>
      </c>
    </row>
    <row r="277" spans="1:2" x14ac:dyDescent="0.25">
      <c r="A277" s="438" t="s">
        <v>171</v>
      </c>
      <c r="B277" s="438">
        <v>5533</v>
      </c>
    </row>
    <row r="278" spans="1:2" x14ac:dyDescent="0.25">
      <c r="A278" s="438" t="s">
        <v>152</v>
      </c>
      <c r="B278" s="438">
        <v>5497</v>
      </c>
    </row>
    <row r="279" spans="1:2" x14ac:dyDescent="0.25">
      <c r="A279" s="438" t="s">
        <v>328</v>
      </c>
      <c r="B279" s="438">
        <v>5926</v>
      </c>
    </row>
    <row r="280" spans="1:2" x14ac:dyDescent="0.25">
      <c r="A280" s="438" t="s">
        <v>64</v>
      </c>
      <c r="B280" s="438">
        <v>5725</v>
      </c>
    </row>
    <row r="281" spans="1:2" x14ac:dyDescent="0.25">
      <c r="A281" s="438" t="s">
        <v>193</v>
      </c>
      <c r="B281" s="438">
        <v>5759</v>
      </c>
    </row>
    <row r="282" spans="1:2" x14ac:dyDescent="0.25">
      <c r="A282" s="438" t="s">
        <v>146</v>
      </c>
      <c r="B282" s="438">
        <v>5643</v>
      </c>
    </row>
    <row r="283" spans="1:2" x14ac:dyDescent="0.25">
      <c r="A283" s="438" t="s">
        <v>93</v>
      </c>
      <c r="B283" s="438">
        <v>5683</v>
      </c>
    </row>
    <row r="284" spans="1:2" x14ac:dyDescent="0.25">
      <c r="A284" s="438" t="s">
        <v>111</v>
      </c>
      <c r="B284" s="438">
        <v>5589</v>
      </c>
    </row>
    <row r="285" spans="1:2" x14ac:dyDescent="0.25">
      <c r="A285" s="438" t="s">
        <v>248</v>
      </c>
      <c r="B285" s="438">
        <v>5566</v>
      </c>
    </row>
    <row r="286" spans="1:2" x14ac:dyDescent="0.25">
      <c r="A286" s="438" t="s">
        <v>256</v>
      </c>
      <c r="B286" s="438">
        <v>5607</v>
      </c>
    </row>
    <row r="287" spans="1:2" x14ac:dyDescent="0.25">
      <c r="A287" s="438" t="s">
        <v>112</v>
      </c>
      <c r="B287" s="438">
        <v>5590</v>
      </c>
    </row>
    <row r="288" spans="1:2" x14ac:dyDescent="0.25">
      <c r="A288" s="438" t="s">
        <v>194</v>
      </c>
      <c r="B288" s="438">
        <v>5760</v>
      </c>
    </row>
    <row r="289" spans="1:2" x14ac:dyDescent="0.25">
      <c r="A289" s="438" t="s">
        <v>324</v>
      </c>
      <c r="B289" s="438">
        <v>5591</v>
      </c>
    </row>
    <row r="290" spans="1:2" x14ac:dyDescent="0.25">
      <c r="A290" s="438" t="s">
        <v>118</v>
      </c>
      <c r="B290" s="438">
        <v>5412</v>
      </c>
    </row>
    <row r="291" spans="1:2" x14ac:dyDescent="0.25">
      <c r="A291" s="438" t="s">
        <v>114</v>
      </c>
      <c r="B291" s="438">
        <v>5609</v>
      </c>
    </row>
    <row r="292" spans="1:2" x14ac:dyDescent="0.25">
      <c r="A292" s="438" t="s">
        <v>119</v>
      </c>
      <c r="B292" s="438">
        <v>5413</v>
      </c>
    </row>
    <row r="293" spans="1:2" x14ac:dyDescent="0.25">
      <c r="A293" s="438" t="s">
        <v>25</v>
      </c>
      <c r="B293" s="438">
        <v>5861</v>
      </c>
    </row>
    <row r="294" spans="1:2" x14ac:dyDescent="0.25">
      <c r="A294" s="438" t="s">
        <v>121</v>
      </c>
      <c r="B294" s="438">
        <v>5761</v>
      </c>
    </row>
    <row r="295" spans="1:2" x14ac:dyDescent="0.25">
      <c r="A295" s="438" t="s">
        <v>191</v>
      </c>
      <c r="B295" s="438">
        <v>5592</v>
      </c>
    </row>
    <row r="296" spans="1:2" x14ac:dyDescent="0.25">
      <c r="A296" s="438" t="s">
        <v>263</v>
      </c>
      <c r="B296" s="438">
        <v>5645</v>
      </c>
    </row>
    <row r="297" spans="1:2" x14ac:dyDescent="0.25">
      <c r="A297" s="438" t="s">
        <v>243</v>
      </c>
      <c r="B297" s="438">
        <v>5798</v>
      </c>
    </row>
    <row r="298" spans="1:2" x14ac:dyDescent="0.25">
      <c r="A298" s="438" t="s">
        <v>94</v>
      </c>
      <c r="B298" s="438">
        <v>5684</v>
      </c>
    </row>
    <row r="299" spans="1:2" x14ac:dyDescent="0.25">
      <c r="A299" s="438" t="s">
        <v>13</v>
      </c>
      <c r="B299" s="438">
        <v>5842</v>
      </c>
    </row>
    <row r="300" spans="1:2" x14ac:dyDescent="0.25">
      <c r="A300" s="438" t="s">
        <v>14</v>
      </c>
      <c r="B300" s="438">
        <v>5843</v>
      </c>
    </row>
    <row r="301" spans="1:2" x14ac:dyDescent="0.25">
      <c r="A301" s="438" t="s">
        <v>329</v>
      </c>
      <c r="B301" s="438">
        <v>5928</v>
      </c>
    </row>
    <row r="302" spans="1:2" x14ac:dyDescent="0.25">
      <c r="A302" s="438" t="s">
        <v>172</v>
      </c>
      <c r="B302" s="438">
        <v>5534</v>
      </c>
    </row>
    <row r="303" spans="1:2" x14ac:dyDescent="0.25">
      <c r="A303" s="438" t="s">
        <v>29</v>
      </c>
      <c r="B303" s="438">
        <v>5535</v>
      </c>
    </row>
    <row r="304" spans="1:2" x14ac:dyDescent="0.25">
      <c r="A304" s="438" t="s">
        <v>270</v>
      </c>
      <c r="B304" s="438">
        <v>5727</v>
      </c>
    </row>
    <row r="305" spans="1:2" x14ac:dyDescent="0.25">
      <c r="A305" s="438" t="s">
        <v>107</v>
      </c>
      <c r="B305" s="438">
        <v>5568</v>
      </c>
    </row>
    <row r="306" spans="1:2" x14ac:dyDescent="0.25">
      <c r="A306" s="438" t="s">
        <v>305</v>
      </c>
      <c r="B306" s="438">
        <v>5434</v>
      </c>
    </row>
    <row r="307" spans="1:2" x14ac:dyDescent="0.25">
      <c r="A307" s="438" t="s">
        <v>292</v>
      </c>
      <c r="B307" s="438">
        <v>5435</v>
      </c>
    </row>
    <row r="308" spans="1:2" x14ac:dyDescent="0.25">
      <c r="A308" s="438" t="s">
        <v>293</v>
      </c>
      <c r="B308" s="438">
        <v>5436</v>
      </c>
    </row>
    <row r="309" spans="1:2" x14ac:dyDescent="0.25">
      <c r="A309" s="438" t="s">
        <v>264</v>
      </c>
      <c r="B309" s="438">
        <v>5646</v>
      </c>
    </row>
    <row r="310" spans="1:2" x14ac:dyDescent="0.25">
      <c r="A310" s="438" t="s">
        <v>265</v>
      </c>
      <c r="B310" s="438">
        <v>5648</v>
      </c>
    </row>
    <row r="311" spans="1:2" x14ac:dyDescent="0.25">
      <c r="A311" s="438" t="s">
        <v>294</v>
      </c>
      <c r="B311" s="438">
        <v>5437</v>
      </c>
    </row>
    <row r="312" spans="1:2" x14ac:dyDescent="0.25">
      <c r="A312" s="438" t="s">
        <v>253</v>
      </c>
      <c r="B312" s="438">
        <v>5611</v>
      </c>
    </row>
    <row r="313" spans="1:2" x14ac:dyDescent="0.25">
      <c r="A313" s="438" t="s">
        <v>154</v>
      </c>
      <c r="B313" s="438">
        <v>5499</v>
      </c>
    </row>
    <row r="314" spans="1:2" x14ac:dyDescent="0.25">
      <c r="A314" s="438" t="s">
        <v>122</v>
      </c>
      <c r="B314" s="438">
        <v>5762</v>
      </c>
    </row>
    <row r="315" spans="1:2" x14ac:dyDescent="0.25">
      <c r="A315" s="438" t="s">
        <v>244</v>
      </c>
      <c r="B315" s="438">
        <v>5799</v>
      </c>
    </row>
    <row r="316" spans="1:2" x14ac:dyDescent="0.25">
      <c r="A316" s="438" t="s">
        <v>271</v>
      </c>
      <c r="B316" s="438">
        <v>5728</v>
      </c>
    </row>
    <row r="317" spans="1:2" x14ac:dyDescent="0.25">
      <c r="A317" s="438" t="s">
        <v>115</v>
      </c>
      <c r="B317" s="438">
        <v>5610</v>
      </c>
    </row>
    <row r="318" spans="1:2" x14ac:dyDescent="0.25">
      <c r="A318" s="438" t="s">
        <v>330</v>
      </c>
      <c r="B318" s="438">
        <v>5929</v>
      </c>
    </row>
    <row r="319" spans="1:2" x14ac:dyDescent="0.25">
      <c r="A319" s="438" t="s">
        <v>155</v>
      </c>
      <c r="B319" s="438">
        <v>5501</v>
      </c>
    </row>
    <row r="320" spans="1:2" x14ac:dyDescent="0.25">
      <c r="A320" s="438" t="s">
        <v>331</v>
      </c>
      <c r="B320" s="438">
        <v>5930</v>
      </c>
    </row>
    <row r="321" spans="1:2" x14ac:dyDescent="0.25">
      <c r="A321" s="438" t="s">
        <v>95</v>
      </c>
      <c r="B321" s="438">
        <v>5688</v>
      </c>
    </row>
    <row r="322" spans="1:2" x14ac:dyDescent="0.25">
      <c r="A322" s="438" t="s">
        <v>272</v>
      </c>
      <c r="B322" s="438">
        <v>5729</v>
      </c>
    </row>
    <row r="323" spans="1:2" x14ac:dyDescent="0.25">
      <c r="A323" s="438" t="s">
        <v>26</v>
      </c>
      <c r="B323" s="438">
        <v>5862</v>
      </c>
    </row>
    <row r="324" spans="1:2" x14ac:dyDescent="0.25">
      <c r="A324" s="438" t="s">
        <v>343</v>
      </c>
      <c r="B324" s="438">
        <v>5571</v>
      </c>
    </row>
    <row r="325" spans="1:2" x14ac:dyDescent="0.25">
      <c r="A325" s="438" t="s">
        <v>266</v>
      </c>
      <c r="B325" s="438">
        <v>5649</v>
      </c>
    </row>
    <row r="326" spans="1:2" x14ac:dyDescent="0.25">
      <c r="A326" s="438" t="s">
        <v>273</v>
      </c>
      <c r="B326" s="438">
        <v>5730</v>
      </c>
    </row>
    <row r="327" spans="1:2" x14ac:dyDescent="0.25">
      <c r="A327" s="438" t="s">
        <v>10</v>
      </c>
      <c r="B327" s="438">
        <v>5827</v>
      </c>
    </row>
    <row r="328" spans="1:2" x14ac:dyDescent="0.25">
      <c r="A328" s="438" t="s">
        <v>332</v>
      </c>
      <c r="B328" s="438">
        <v>5931</v>
      </c>
    </row>
    <row r="329" spans="1:2" x14ac:dyDescent="0.25">
      <c r="A329" s="438" t="s">
        <v>371</v>
      </c>
      <c r="B329" s="438">
        <v>5828</v>
      </c>
    </row>
    <row r="330" spans="1:2" x14ac:dyDescent="0.25">
      <c r="A330" s="438" t="s">
        <v>238</v>
      </c>
      <c r="B330" s="438">
        <v>5932</v>
      </c>
    </row>
    <row r="331" spans="1:2" x14ac:dyDescent="0.25">
      <c r="A331" s="438" t="s">
        <v>348</v>
      </c>
      <c r="B331" s="438">
        <v>5831</v>
      </c>
    </row>
    <row r="332" spans="1:2" x14ac:dyDescent="0.25">
      <c r="A332" s="438" t="s">
        <v>325</v>
      </c>
      <c r="B332" s="438">
        <v>5933</v>
      </c>
    </row>
    <row r="333" spans="1:2" x14ac:dyDescent="0.25">
      <c r="A333" s="438" t="s">
        <v>123</v>
      </c>
      <c r="B333" s="438">
        <v>5763</v>
      </c>
    </row>
    <row r="334" spans="1:2" x14ac:dyDescent="0.25">
      <c r="A334" s="438" t="s">
        <v>326</v>
      </c>
      <c r="B334" s="438">
        <v>5934</v>
      </c>
    </row>
    <row r="335" spans="1:2" x14ac:dyDescent="0.25">
      <c r="A335" s="438" t="s">
        <v>286</v>
      </c>
      <c r="B335" s="438">
        <v>5764</v>
      </c>
    </row>
    <row r="336" spans="1:2" x14ac:dyDescent="0.25">
      <c r="A336" s="438" t="s">
        <v>287</v>
      </c>
      <c r="B336" s="438">
        <v>5765</v>
      </c>
    </row>
    <row r="337" spans="1:2" x14ac:dyDescent="0.25">
      <c r="A337" s="438" t="s">
        <v>267</v>
      </c>
      <c r="B337" s="438">
        <v>5650</v>
      </c>
    </row>
    <row r="338" spans="1:2" x14ac:dyDescent="0.25">
      <c r="A338" s="438" t="s">
        <v>49</v>
      </c>
      <c r="B338" s="438">
        <v>5890</v>
      </c>
    </row>
    <row r="339" spans="1:2" x14ac:dyDescent="0.25">
      <c r="A339" s="438" t="s">
        <v>50</v>
      </c>
      <c r="B339" s="438">
        <v>5891</v>
      </c>
    </row>
    <row r="340" spans="1:2" x14ac:dyDescent="0.25">
      <c r="A340" s="438" t="s">
        <v>275</v>
      </c>
      <c r="B340" s="438">
        <v>5732</v>
      </c>
    </row>
    <row r="341" spans="1:2" x14ac:dyDescent="0.25">
      <c r="A341" s="438" t="s">
        <v>255</v>
      </c>
      <c r="B341" s="438">
        <v>5935</v>
      </c>
    </row>
    <row r="342" spans="1:2" x14ac:dyDescent="0.25">
      <c r="A342" s="438" t="s">
        <v>96</v>
      </c>
      <c r="B342" s="438">
        <v>5690</v>
      </c>
    </row>
    <row r="343" spans="1:2" x14ac:dyDescent="0.25">
      <c r="A343" s="438" t="s">
        <v>30</v>
      </c>
      <c r="B343" s="438">
        <v>5537</v>
      </c>
    </row>
    <row r="344" spans="1:2" x14ac:dyDescent="0.25">
      <c r="A344" s="438" t="s">
        <v>268</v>
      </c>
      <c r="B344" s="438">
        <v>5651</v>
      </c>
    </row>
    <row r="345" spans="1:2" x14ac:dyDescent="0.25">
      <c r="A345" s="438" t="s">
        <v>178</v>
      </c>
      <c r="B345" s="438">
        <v>5652</v>
      </c>
    </row>
    <row r="346" spans="1:2" x14ac:dyDescent="0.25">
      <c r="A346" s="438" t="s">
        <v>11</v>
      </c>
      <c r="B346" s="438">
        <v>5830</v>
      </c>
    </row>
    <row r="347" spans="1:2" x14ac:dyDescent="0.25">
      <c r="A347" s="438" t="s">
        <v>120</v>
      </c>
      <c r="B347" s="438">
        <v>5414</v>
      </c>
    </row>
    <row r="348" spans="1:2" x14ac:dyDescent="0.25">
      <c r="A348" s="438" t="s">
        <v>27</v>
      </c>
      <c r="B348" s="438">
        <v>5863</v>
      </c>
    </row>
    <row r="349" spans="1:2" x14ac:dyDescent="0.25">
      <c r="A349" s="438" t="s">
        <v>31</v>
      </c>
      <c r="B349" s="438">
        <v>5539</v>
      </c>
    </row>
    <row r="350" spans="1:2" x14ac:dyDescent="0.25">
      <c r="A350" s="438" t="s">
        <v>97</v>
      </c>
      <c r="B350" s="438">
        <v>5692</v>
      </c>
    </row>
    <row r="351" spans="1:2" x14ac:dyDescent="0.25">
      <c r="A351" s="438" t="s">
        <v>156</v>
      </c>
      <c r="B351" s="438">
        <v>5503</v>
      </c>
    </row>
    <row r="352" spans="1:2" x14ac:dyDescent="0.25">
      <c r="A352" s="438" t="s">
        <v>179</v>
      </c>
      <c r="B352" s="438">
        <v>5653</v>
      </c>
    </row>
    <row r="353" spans="1:2" x14ac:dyDescent="0.25">
      <c r="A353" s="438" t="s">
        <v>239</v>
      </c>
      <c r="B353" s="438">
        <v>5937</v>
      </c>
    </row>
    <row r="354" spans="1:2" x14ac:dyDescent="0.25">
      <c r="A354" s="438" t="s">
        <v>288</v>
      </c>
      <c r="B354" s="438">
        <v>5766</v>
      </c>
    </row>
    <row r="355" spans="1:2" x14ac:dyDescent="0.25">
      <c r="A355" s="438" t="s">
        <v>314</v>
      </c>
      <c r="B355" s="438">
        <v>5803</v>
      </c>
    </row>
    <row r="356" spans="1:2" x14ac:dyDescent="0.25">
      <c r="A356" s="438" t="s">
        <v>180</v>
      </c>
      <c r="B356" s="438">
        <v>5654</v>
      </c>
    </row>
    <row r="357" spans="1:2" x14ac:dyDescent="0.25">
      <c r="A357" s="438" t="s">
        <v>344</v>
      </c>
      <c r="B357" s="438">
        <v>5464</v>
      </c>
    </row>
    <row r="358" spans="1:2" x14ac:dyDescent="0.25">
      <c r="A358" s="438" t="s">
        <v>181</v>
      </c>
      <c r="B358" s="438">
        <v>5655</v>
      </c>
    </row>
    <row r="359" spans="1:2" x14ac:dyDescent="0.25">
      <c r="A359" s="438" t="s">
        <v>133</v>
      </c>
      <c r="B359" s="438">
        <v>5938</v>
      </c>
    </row>
    <row r="360" spans="1:2" x14ac:dyDescent="0.25">
      <c r="A360" s="438" t="s">
        <v>132</v>
      </c>
      <c r="B360" s="438">
        <v>5939</v>
      </c>
    </row>
    <row r="361" spans="1:2" x14ac:dyDescent="0.25">
      <c r="A361" s="438" t="s">
        <v>66</v>
      </c>
      <c r="B361" s="438">
        <v>5415</v>
      </c>
    </row>
    <row r="371" spans="2:2" x14ac:dyDescent="0.25">
      <c r="B371" s="445"/>
    </row>
    <row r="372" spans="2:2" x14ac:dyDescent="0.25">
      <c r="B372" s="445"/>
    </row>
    <row r="373" spans="2:2" x14ac:dyDescent="0.25">
      <c r="B373" s="445"/>
    </row>
    <row r="374" spans="2:2" x14ac:dyDescent="0.25">
      <c r="B374" s="445"/>
    </row>
    <row r="375" spans="2:2" x14ac:dyDescent="0.25">
      <c r="B375" s="445"/>
    </row>
    <row r="376" spans="2:2" x14ac:dyDescent="0.25">
      <c r="B376" s="445"/>
    </row>
    <row r="377" spans="2:2" x14ac:dyDescent="0.25">
      <c r="B377" s="445"/>
    </row>
    <row r="378" spans="2:2" x14ac:dyDescent="0.25">
      <c r="B378" s="445"/>
    </row>
    <row r="379" spans="2:2" x14ac:dyDescent="0.25">
      <c r="B379" s="445"/>
    </row>
    <row r="380" spans="2:2" x14ac:dyDescent="0.25">
      <c r="B380" s="445"/>
    </row>
    <row r="381" spans="2:2" x14ac:dyDescent="0.25">
      <c r="B381" s="445"/>
    </row>
    <row r="382" spans="2:2" x14ac:dyDescent="0.25">
      <c r="B382" s="445"/>
    </row>
    <row r="383" spans="2:2" x14ac:dyDescent="0.25">
      <c r="B383" s="445"/>
    </row>
    <row r="384" spans="2:2" x14ac:dyDescent="0.25">
      <c r="B384" s="445"/>
    </row>
    <row r="385" spans="2:2" x14ac:dyDescent="0.25">
      <c r="B385" s="445"/>
    </row>
    <row r="386" spans="2:2" x14ac:dyDescent="0.25">
      <c r="B386" s="445"/>
    </row>
    <row r="387" spans="2:2" x14ac:dyDescent="0.25">
      <c r="B387" s="445"/>
    </row>
    <row r="388" spans="2:2" x14ac:dyDescent="0.25">
      <c r="B388" s="445"/>
    </row>
    <row r="389" spans="2:2" x14ac:dyDescent="0.25">
      <c r="B389" s="445"/>
    </row>
    <row r="390" spans="2:2" x14ac:dyDescent="0.25">
      <c r="B390" s="445"/>
    </row>
    <row r="391" spans="2:2" x14ac:dyDescent="0.25">
      <c r="B391" s="445"/>
    </row>
    <row r="392" spans="2:2" x14ac:dyDescent="0.25">
      <c r="B392" s="445"/>
    </row>
    <row r="393" spans="2:2" x14ac:dyDescent="0.25">
      <c r="B393" s="445"/>
    </row>
    <row r="394" spans="2:2" x14ac:dyDescent="0.25">
      <c r="B394" s="445"/>
    </row>
    <row r="395" spans="2:2" x14ac:dyDescent="0.25">
      <c r="B395" s="445"/>
    </row>
    <row r="396" spans="2:2" x14ac:dyDescent="0.25">
      <c r="B396" s="445"/>
    </row>
    <row r="397" spans="2:2" x14ac:dyDescent="0.25">
      <c r="B397" s="445"/>
    </row>
    <row r="398" spans="2:2" x14ac:dyDescent="0.25">
      <c r="B398" s="445"/>
    </row>
    <row r="399" spans="2:2" x14ac:dyDescent="0.25">
      <c r="B399" s="445"/>
    </row>
    <row r="400" spans="2:2" x14ac:dyDescent="0.25">
      <c r="B400" s="445"/>
    </row>
    <row r="401" spans="2:2" x14ac:dyDescent="0.25">
      <c r="B401" s="445"/>
    </row>
    <row r="402" spans="2:2" x14ac:dyDescent="0.25">
      <c r="B402" s="445"/>
    </row>
    <row r="403" spans="2:2" x14ac:dyDescent="0.25">
      <c r="B403" s="445"/>
    </row>
    <row r="404" spans="2:2" x14ac:dyDescent="0.25">
      <c r="B404" s="445"/>
    </row>
    <row r="405" spans="2:2" x14ac:dyDescent="0.25">
      <c r="B405" s="445"/>
    </row>
    <row r="406" spans="2:2" x14ac:dyDescent="0.25">
      <c r="B406" s="445"/>
    </row>
    <row r="407" spans="2:2" x14ac:dyDescent="0.25">
      <c r="B407" s="445"/>
    </row>
    <row r="408" spans="2:2" x14ac:dyDescent="0.25">
      <c r="B408" s="445"/>
    </row>
    <row r="409" spans="2:2" x14ac:dyDescent="0.25">
      <c r="B409" s="445"/>
    </row>
    <row r="410" spans="2:2" x14ac:dyDescent="0.25">
      <c r="B410" s="445"/>
    </row>
    <row r="411" spans="2:2" x14ac:dyDescent="0.25">
      <c r="B411" s="445"/>
    </row>
    <row r="412" spans="2:2" x14ac:dyDescent="0.25">
      <c r="B412" s="445"/>
    </row>
    <row r="413" spans="2:2" x14ac:dyDescent="0.25">
      <c r="B413" s="445"/>
    </row>
    <row r="414" spans="2:2" x14ac:dyDescent="0.25">
      <c r="B414" s="445"/>
    </row>
    <row r="415" spans="2:2" x14ac:dyDescent="0.25">
      <c r="B415" s="445"/>
    </row>
    <row r="416" spans="2:2" x14ac:dyDescent="0.25">
      <c r="B416" s="445"/>
    </row>
    <row r="417" spans="2:2" x14ac:dyDescent="0.25">
      <c r="B417" s="445"/>
    </row>
    <row r="418" spans="2:2" x14ac:dyDescent="0.25">
      <c r="B418" s="445"/>
    </row>
    <row r="419" spans="2:2" x14ac:dyDescent="0.25">
      <c r="B419" s="445"/>
    </row>
    <row r="420" spans="2:2" x14ac:dyDescent="0.25">
      <c r="B420" s="445"/>
    </row>
    <row r="421" spans="2:2" x14ac:dyDescent="0.25">
      <c r="B421" s="445"/>
    </row>
    <row r="422" spans="2:2" x14ac:dyDescent="0.25">
      <c r="B422" s="445"/>
    </row>
    <row r="423" spans="2:2" x14ac:dyDescent="0.25">
      <c r="B423" s="445"/>
    </row>
    <row r="424" spans="2:2" x14ac:dyDescent="0.25">
      <c r="B424" s="445"/>
    </row>
    <row r="425" spans="2:2" x14ac:dyDescent="0.25">
      <c r="B425" s="445"/>
    </row>
    <row r="426" spans="2:2" x14ac:dyDescent="0.25">
      <c r="B426" s="445"/>
    </row>
    <row r="427" spans="2:2" x14ac:dyDescent="0.25">
      <c r="B427" s="445"/>
    </row>
    <row r="428" spans="2:2" x14ac:dyDescent="0.25">
      <c r="B428" s="445"/>
    </row>
    <row r="429" spans="2:2" x14ac:dyDescent="0.25">
      <c r="B429" s="445"/>
    </row>
    <row r="430" spans="2:2" x14ac:dyDescent="0.25">
      <c r="B430" s="445"/>
    </row>
    <row r="431" spans="2:2" x14ac:dyDescent="0.25">
      <c r="B431" s="445"/>
    </row>
    <row r="432" spans="2:2" x14ac:dyDescent="0.25">
      <c r="B432" s="445"/>
    </row>
    <row r="433" spans="2:2" x14ac:dyDescent="0.25">
      <c r="B433" s="445"/>
    </row>
    <row r="434" spans="2:2" x14ac:dyDescent="0.25">
      <c r="B434" s="445"/>
    </row>
    <row r="435" spans="2:2" x14ac:dyDescent="0.25">
      <c r="B435" s="445"/>
    </row>
    <row r="436" spans="2:2" x14ac:dyDescent="0.25">
      <c r="B436" s="445"/>
    </row>
    <row r="437" spans="2:2" x14ac:dyDescent="0.25">
      <c r="B437" s="445"/>
    </row>
    <row r="438" spans="2:2" x14ac:dyDescent="0.25">
      <c r="B438" s="445"/>
    </row>
    <row r="439" spans="2:2" x14ac:dyDescent="0.25">
      <c r="B439" s="445"/>
    </row>
    <row r="440" spans="2:2" x14ac:dyDescent="0.25">
      <c r="B440" s="445"/>
    </row>
    <row r="441" spans="2:2" x14ac:dyDescent="0.25">
      <c r="B441" s="445"/>
    </row>
    <row r="442" spans="2:2" x14ac:dyDescent="0.25">
      <c r="B442" s="445"/>
    </row>
    <row r="443" spans="2:2" x14ac:dyDescent="0.25">
      <c r="B443" s="445"/>
    </row>
    <row r="444" spans="2:2" x14ac:dyDescent="0.25">
      <c r="B444" s="445"/>
    </row>
    <row r="445" spans="2:2" x14ac:dyDescent="0.25">
      <c r="B445" s="445"/>
    </row>
    <row r="446" spans="2:2" x14ac:dyDescent="0.25">
      <c r="B446" s="445"/>
    </row>
    <row r="447" spans="2:2" x14ac:dyDescent="0.25">
      <c r="B447" s="445"/>
    </row>
    <row r="448" spans="2:2" x14ac:dyDescent="0.25">
      <c r="B448" s="445"/>
    </row>
    <row r="449" spans="2:2" x14ac:dyDescent="0.25">
      <c r="B449" s="445"/>
    </row>
    <row r="450" spans="2:2" x14ac:dyDescent="0.25">
      <c r="B450" s="445"/>
    </row>
    <row r="451" spans="2:2" x14ac:dyDescent="0.25">
      <c r="B451" s="445"/>
    </row>
    <row r="452" spans="2:2" x14ac:dyDescent="0.25">
      <c r="B452" s="445"/>
    </row>
    <row r="453" spans="2:2" x14ac:dyDescent="0.25">
      <c r="B453" s="445"/>
    </row>
    <row r="454" spans="2:2" x14ac:dyDescent="0.25">
      <c r="B454" s="445"/>
    </row>
    <row r="455" spans="2:2" x14ac:dyDescent="0.25">
      <c r="B455" s="445"/>
    </row>
    <row r="456" spans="2:2" x14ac:dyDescent="0.25">
      <c r="B456" s="445"/>
    </row>
    <row r="457" spans="2:2" x14ac:dyDescent="0.25">
      <c r="B457" s="445"/>
    </row>
    <row r="458" spans="2:2" x14ac:dyDescent="0.25">
      <c r="B458" s="445"/>
    </row>
    <row r="459" spans="2:2" x14ac:dyDescent="0.25">
      <c r="B459" s="445"/>
    </row>
    <row r="460" spans="2:2" x14ac:dyDescent="0.25">
      <c r="B460" s="445"/>
    </row>
    <row r="461" spans="2:2" x14ac:dyDescent="0.25">
      <c r="B461" s="445"/>
    </row>
    <row r="462" spans="2:2" x14ac:dyDescent="0.25">
      <c r="B462" s="445"/>
    </row>
    <row r="463" spans="2:2" x14ac:dyDescent="0.25">
      <c r="B463" s="445"/>
    </row>
    <row r="464" spans="2:2" x14ac:dyDescent="0.25">
      <c r="B464" s="445"/>
    </row>
    <row r="465" spans="2:2" x14ac:dyDescent="0.25">
      <c r="B465" s="445"/>
    </row>
    <row r="466" spans="2:2" x14ac:dyDescent="0.25">
      <c r="B466" s="445"/>
    </row>
    <row r="467" spans="2:2" x14ac:dyDescent="0.25">
      <c r="B467" s="445"/>
    </row>
    <row r="468" spans="2:2" x14ac:dyDescent="0.25">
      <c r="B468" s="445"/>
    </row>
    <row r="469" spans="2:2" x14ac:dyDescent="0.25">
      <c r="B469" s="445"/>
    </row>
    <row r="470" spans="2:2" x14ac:dyDescent="0.25">
      <c r="B470" s="445"/>
    </row>
    <row r="471" spans="2:2" x14ac:dyDescent="0.25">
      <c r="B471" s="445"/>
    </row>
    <row r="472" spans="2:2" x14ac:dyDescent="0.25">
      <c r="B472" s="445"/>
    </row>
    <row r="473" spans="2:2" x14ac:dyDescent="0.25">
      <c r="B473" s="445"/>
    </row>
    <row r="474" spans="2:2" x14ac:dyDescent="0.25">
      <c r="B474" s="445"/>
    </row>
    <row r="475" spans="2:2" x14ac:dyDescent="0.25">
      <c r="B475" s="445"/>
    </row>
    <row r="476" spans="2:2" x14ac:dyDescent="0.25">
      <c r="B476" s="445"/>
    </row>
    <row r="477" spans="2:2" x14ac:dyDescent="0.25">
      <c r="B477" s="445"/>
    </row>
    <row r="478" spans="2:2" x14ac:dyDescent="0.25">
      <c r="B478" s="445"/>
    </row>
    <row r="479" spans="2:2" x14ac:dyDescent="0.25">
      <c r="B479" s="445"/>
    </row>
    <row r="480" spans="2:2" x14ac:dyDescent="0.25">
      <c r="B480" s="445"/>
    </row>
    <row r="481" spans="2:2" x14ac:dyDescent="0.25">
      <c r="B481" s="445"/>
    </row>
    <row r="482" spans="2:2" x14ac:dyDescent="0.25">
      <c r="B482" s="445"/>
    </row>
    <row r="483" spans="2:2" x14ac:dyDescent="0.25">
      <c r="B483" s="445"/>
    </row>
    <row r="484" spans="2:2" x14ac:dyDescent="0.25">
      <c r="B484" s="445"/>
    </row>
    <row r="485" spans="2:2" x14ac:dyDescent="0.25">
      <c r="B485" s="445"/>
    </row>
    <row r="486" spans="2:2" x14ac:dyDescent="0.25">
      <c r="B486" s="445"/>
    </row>
    <row r="487" spans="2:2" x14ac:dyDescent="0.25">
      <c r="B487" s="445"/>
    </row>
    <row r="488" spans="2:2" x14ac:dyDescent="0.25">
      <c r="B488" s="445"/>
    </row>
    <row r="489" spans="2:2" x14ac:dyDescent="0.25">
      <c r="B489" s="445"/>
    </row>
    <row r="490" spans="2:2" x14ac:dyDescent="0.25">
      <c r="B490" s="445"/>
    </row>
    <row r="491" spans="2:2" x14ac:dyDescent="0.25">
      <c r="B491" s="445"/>
    </row>
    <row r="492" spans="2:2" x14ac:dyDescent="0.25">
      <c r="B492" s="445"/>
    </row>
    <row r="493" spans="2:2" x14ac:dyDescent="0.25">
      <c r="B493" s="445"/>
    </row>
    <row r="494" spans="2:2" x14ac:dyDescent="0.25">
      <c r="B494" s="445"/>
    </row>
    <row r="495" spans="2:2" x14ac:dyDescent="0.25">
      <c r="B495" s="445"/>
    </row>
    <row r="496" spans="2:2" x14ac:dyDescent="0.25">
      <c r="B496" s="445"/>
    </row>
    <row r="497" spans="2:2" x14ac:dyDescent="0.25">
      <c r="B497" s="445"/>
    </row>
    <row r="498" spans="2:2" x14ac:dyDescent="0.25">
      <c r="B498" s="445"/>
    </row>
    <row r="499" spans="2:2" x14ac:dyDescent="0.25">
      <c r="B499" s="445"/>
    </row>
    <row r="500" spans="2:2" x14ac:dyDescent="0.25">
      <c r="B500" s="445"/>
    </row>
    <row r="501" spans="2:2" x14ac:dyDescent="0.25">
      <c r="B501" s="445"/>
    </row>
    <row r="502" spans="2:2" x14ac:dyDescent="0.25">
      <c r="B502" s="445"/>
    </row>
    <row r="503" spans="2:2" x14ac:dyDescent="0.25">
      <c r="B503" s="445"/>
    </row>
    <row r="504" spans="2:2" x14ac:dyDescent="0.25">
      <c r="B504" s="445"/>
    </row>
    <row r="505" spans="2:2" x14ac:dyDescent="0.25">
      <c r="B505" s="445"/>
    </row>
    <row r="506" spans="2:2" x14ac:dyDescent="0.25">
      <c r="B506" s="445"/>
    </row>
    <row r="507" spans="2:2" x14ac:dyDescent="0.25">
      <c r="B507" s="445"/>
    </row>
    <row r="508" spans="2:2" x14ac:dyDescent="0.25">
      <c r="B508" s="445"/>
    </row>
    <row r="509" spans="2:2" x14ac:dyDescent="0.25">
      <c r="B509" s="445"/>
    </row>
    <row r="510" spans="2:2" x14ac:dyDescent="0.25">
      <c r="B510" s="445"/>
    </row>
    <row r="511" spans="2:2" x14ac:dyDescent="0.25">
      <c r="B511" s="445"/>
    </row>
    <row r="512" spans="2:2" x14ac:dyDescent="0.25">
      <c r="B512" s="445"/>
    </row>
    <row r="513" spans="2:2" x14ac:dyDescent="0.25">
      <c r="B513" s="445"/>
    </row>
    <row r="514" spans="2:2" x14ac:dyDescent="0.25">
      <c r="B514" s="445"/>
    </row>
    <row r="515" spans="2:2" x14ac:dyDescent="0.25">
      <c r="B515" s="445"/>
    </row>
    <row r="516" spans="2:2" x14ac:dyDescent="0.25">
      <c r="B516" s="445"/>
    </row>
    <row r="517" spans="2:2" x14ac:dyDescent="0.25">
      <c r="B517" s="445"/>
    </row>
    <row r="518" spans="2:2" x14ac:dyDescent="0.25">
      <c r="B518" s="445"/>
    </row>
    <row r="519" spans="2:2" x14ac:dyDescent="0.25">
      <c r="B519" s="445"/>
    </row>
    <row r="520" spans="2:2" x14ac:dyDescent="0.25">
      <c r="B520" s="445"/>
    </row>
    <row r="521" spans="2:2" x14ac:dyDescent="0.25">
      <c r="B521" s="445"/>
    </row>
    <row r="522" spans="2:2" x14ac:dyDescent="0.25">
      <c r="B522" s="445"/>
    </row>
    <row r="523" spans="2:2" x14ac:dyDescent="0.25">
      <c r="B523" s="445"/>
    </row>
    <row r="524" spans="2:2" x14ac:dyDescent="0.25">
      <c r="B524" s="445"/>
    </row>
    <row r="525" spans="2:2" x14ac:dyDescent="0.25">
      <c r="B525" s="445"/>
    </row>
    <row r="526" spans="2:2" x14ac:dyDescent="0.25">
      <c r="B526" s="445"/>
    </row>
    <row r="527" spans="2:2" x14ac:dyDescent="0.25">
      <c r="B527" s="445"/>
    </row>
    <row r="528" spans="2:2" x14ac:dyDescent="0.25">
      <c r="B528" s="445"/>
    </row>
    <row r="529" spans="2:2" x14ac:dyDescent="0.25">
      <c r="B529" s="445"/>
    </row>
    <row r="530" spans="2:2" x14ac:dyDescent="0.25">
      <c r="B530" s="445"/>
    </row>
    <row r="531" spans="2:2" x14ac:dyDescent="0.25">
      <c r="B531" s="445"/>
    </row>
    <row r="532" spans="2:2" x14ac:dyDescent="0.25">
      <c r="B532" s="445"/>
    </row>
    <row r="533" spans="2:2" x14ac:dyDescent="0.25">
      <c r="B533" s="445"/>
    </row>
    <row r="534" spans="2:2" x14ac:dyDescent="0.25">
      <c r="B534" s="445"/>
    </row>
    <row r="535" spans="2:2" x14ac:dyDescent="0.25">
      <c r="B535" s="445"/>
    </row>
    <row r="536" spans="2:2" x14ac:dyDescent="0.25">
      <c r="B536" s="445"/>
    </row>
    <row r="537" spans="2:2" x14ac:dyDescent="0.25">
      <c r="B537" s="445"/>
    </row>
  </sheetData>
  <sheetProtection sheet="1" objects="1" scenarios="1"/>
  <sortState xmlns:xlrd2="http://schemas.microsoft.com/office/spreadsheetml/2017/richdata2" ref="A62:B361">
    <sortCondition ref="A62:A361"/>
  </sortState>
  <mergeCells count="10">
    <mergeCell ref="C12:C14"/>
    <mergeCell ref="D4:H20"/>
    <mergeCell ref="I39:J39"/>
    <mergeCell ref="I40:J40"/>
    <mergeCell ref="E46:G46"/>
    <mergeCell ref="E48:G48"/>
    <mergeCell ref="I46:J46"/>
    <mergeCell ref="I47:J47"/>
    <mergeCell ref="E47:G47"/>
    <mergeCell ref="I45:J45"/>
  </mergeCells>
  <phoneticPr fontId="21" type="noConversion"/>
  <conditionalFormatting sqref="C50">
    <cfRule type="cellIs" dxfId="12" priority="2" operator="between">
      <formula>0.0001</formula>
      <formula>-0.0001</formula>
    </cfRule>
  </conditionalFormatting>
  <conditionalFormatting sqref="C16">
    <cfRule type="cellIs" dxfId="11" priority="1" operator="between">
      <formula>0.0001</formula>
      <formula>-0.0001</formula>
    </cfRule>
  </conditionalFormatting>
  <hyperlinks>
    <hyperlink ref="B1" location="'Table des matières'!A1" display="← Précédent" xr:uid="{D2BA6053-0976-40F7-8227-05DFF461E239}"/>
    <hyperlink ref="C1" location="'Table des matières'!A1" display="Table des matières" xr:uid="{8B4C0576-AED6-4CBB-9B94-F0C9D36FE0A6}"/>
    <hyperlink ref="D1" location="Recherche!A1" display="Suivant →" xr:uid="{6A41D26C-1E16-43C0-9824-7CBF963FF2DC}"/>
  </hyperlinks>
  <printOptions horizontalCentered="1"/>
  <pageMargins left="0" right="0" top="0" bottom="0" header="0.51181102362204722" footer="0.51181102362204722"/>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59999389629810485"/>
    <pageSetUpPr fitToPage="1"/>
  </sheetPr>
  <dimension ref="A1:L68"/>
  <sheetViews>
    <sheetView tabSelected="1" workbookViewId="0">
      <selection activeCell="C3" sqref="C3:E3"/>
    </sheetView>
  </sheetViews>
  <sheetFormatPr baseColWidth="10" defaultColWidth="10.875" defaultRowHeight="15" x14ac:dyDescent="0.25"/>
  <cols>
    <col min="1" max="1" width="3.375" style="87" customWidth="1"/>
    <col min="2" max="2" width="17.125" style="87" customWidth="1"/>
    <col min="3" max="4" width="12.75" style="87" customWidth="1"/>
    <col min="5" max="6" width="12.75" style="89" customWidth="1"/>
    <col min="7" max="8" width="11.75" style="87" bestFit="1" customWidth="1"/>
    <col min="9" max="9" width="11.5" style="87" customWidth="1"/>
    <col min="10" max="16384" width="10.875" style="87"/>
  </cols>
  <sheetData>
    <row r="1" spans="1:10" ht="26.25" x14ac:dyDescent="0.4">
      <c r="A1" s="205" t="s">
        <v>520</v>
      </c>
      <c r="B1" s="205"/>
      <c r="H1" s="228"/>
      <c r="I1" s="227"/>
      <c r="J1" s="228"/>
    </row>
    <row r="3" spans="1:10" s="90" customFormat="1" ht="26.25" x14ac:dyDescent="0.4">
      <c r="B3" s="93"/>
      <c r="C3" s="642"/>
      <c r="D3" s="642"/>
      <c r="E3" s="642"/>
      <c r="F3" s="91"/>
    </row>
    <row r="6" spans="1:10" ht="18.75" x14ac:dyDescent="0.3">
      <c r="B6" s="641" t="str">
        <f>Paramètres!B4</f>
        <v>Acomptes 2024</v>
      </c>
      <c r="C6" s="641"/>
      <c r="D6" s="641"/>
      <c r="E6" s="641"/>
      <c r="F6" s="641"/>
    </row>
    <row r="7" spans="1:10" s="116" customFormat="1" ht="18.75" x14ac:dyDescent="0.3">
      <c r="B7" s="641" t="str">
        <f>IF(C3=0,"",C3)</f>
        <v/>
      </c>
      <c r="C7" s="641"/>
      <c r="D7" s="641"/>
      <c r="E7" s="641"/>
      <c r="F7" s="641"/>
    </row>
    <row r="8" spans="1:10" s="116" customFormat="1" ht="12.75" x14ac:dyDescent="0.2">
      <c r="B8" s="120" t="e">
        <f>CONCATENATE("Population : ",VLOOKUP($B$7,Synthèse!B5:ZZ304,MATCH("Population",Synthèse!4:4,0)-1,FALSE))</f>
        <v>#N/A</v>
      </c>
      <c r="C8" s="114"/>
      <c r="D8" s="114"/>
      <c r="E8" s="115"/>
      <c r="F8" s="119" t="e">
        <f>CONCATENATE("N° OFS : ",VLOOKUP($B$7,Paramètres!A62:B361,2,FALSE))</f>
        <v>#N/A</v>
      </c>
    </row>
    <row r="9" spans="1:10" s="116" customFormat="1" ht="12.75" x14ac:dyDescent="0.2">
      <c r="B9" s="120" t="e">
        <f>CONCATENATE("Taux : ",VLOOKUP($B$7,Synthèse!B5:ZZ304,MATCH("Taux",Synthèse!4:4,0)-1,FALSE))</f>
        <v>#N/A</v>
      </c>
      <c r="C9" s="114"/>
      <c r="D9" s="114"/>
      <c r="E9" s="115"/>
      <c r="F9" s="141" t="e">
        <f>CONCATENATE("Valeur du point d'impôt péréquatif : ",ROUND(VLOOKUP(B7,Ecrêtage!B6:ZZ314,MATCH("Valeur du point d'impôt péréquatif",Ecrêtage!5:5,0)-1,FALSE),0))</f>
        <v>#N/A</v>
      </c>
    </row>
    <row r="10" spans="1:10" s="116" customFormat="1" ht="12.75" x14ac:dyDescent="0.2">
      <c r="B10" s="114"/>
      <c r="C10" s="114"/>
      <c r="D10" s="114"/>
      <c r="E10" s="115"/>
      <c r="F10" s="141"/>
      <c r="H10" s="143"/>
      <c r="I10" s="143"/>
    </row>
    <row r="11" spans="1:10" ht="18" x14ac:dyDescent="0.35">
      <c r="B11" s="111" t="s">
        <v>412</v>
      </c>
      <c r="C11" s="66"/>
      <c r="D11" s="66"/>
      <c r="E11" s="92"/>
      <c r="F11" s="92"/>
    </row>
    <row r="12" spans="1:10" s="116" customFormat="1" ht="6" customHeight="1" x14ac:dyDescent="0.2">
      <c r="B12" s="114"/>
      <c r="C12" s="114"/>
      <c r="D12" s="114"/>
      <c r="E12" s="540"/>
      <c r="F12" s="540"/>
    </row>
    <row r="13" spans="1:10" s="116" customFormat="1" ht="12.75" x14ac:dyDescent="0.2">
      <c r="B13" s="118" t="s">
        <v>350</v>
      </c>
      <c r="C13" s="114"/>
      <c r="D13" s="114"/>
      <c r="E13" s="540"/>
      <c r="F13" s="540"/>
    </row>
    <row r="14" spans="1:10" s="116" customFormat="1" ht="12.75" x14ac:dyDescent="0.2">
      <c r="B14" s="114" t="s">
        <v>525</v>
      </c>
      <c r="C14" s="114"/>
      <c r="D14" s="114"/>
      <c r="E14" s="541" t="e">
        <f>VLOOKUP(C3,PCS!B12:ZZ311,MATCH("Droits de mutation, gains immobiliers et successions",PCS!10:10,0)-1,FALSE)*PCS!$E$11</f>
        <v>#N/A</v>
      </c>
      <c r="F14" s="540"/>
    </row>
    <row r="15" spans="1:10" s="116" customFormat="1" ht="12.75" x14ac:dyDescent="0.2">
      <c r="B15" s="114" t="s">
        <v>418</v>
      </c>
      <c r="C15" s="114"/>
      <c r="D15" s="114"/>
      <c r="E15" s="541" t="e">
        <f>VLOOKUP(C3,PCS!B12:ZZ311,MATCH("Impôt des frontaliers",PCS!10:10,0)-1,FALSE)*PCS!$D$11</f>
        <v>#N/A</v>
      </c>
      <c r="F15" s="540" t="e">
        <f>SUM(E14:E15)</f>
        <v>#N/A</v>
      </c>
    </row>
    <row r="16" spans="1:10" s="116" customFormat="1" ht="6" customHeight="1" x14ac:dyDescent="0.2">
      <c r="B16" s="114"/>
      <c r="C16" s="114"/>
      <c r="D16" s="114"/>
      <c r="E16" s="540"/>
      <c r="F16" s="540"/>
    </row>
    <row r="17" spans="2:8" s="116" customFormat="1" ht="12.75" x14ac:dyDescent="0.2">
      <c r="B17" s="118" t="s">
        <v>363</v>
      </c>
      <c r="C17" s="114"/>
      <c r="D17" s="114"/>
      <c r="E17" s="540"/>
      <c r="F17" s="540"/>
    </row>
    <row r="18" spans="2:8" s="116" customFormat="1" ht="12.75" x14ac:dyDescent="0.2">
      <c r="B18" s="114" t="e">
        <f>CONCATENATE("Ecrêtage en points d'impôt: ",ROUND(VLOOKUP($C$3,Ecrêtage!B6:ZZ305,MATCH("Total écrêtage",Ecrêtage!4:4,0)-1,FALSE),2))</f>
        <v>#N/A</v>
      </c>
      <c r="C18" s="114"/>
      <c r="D18" s="117"/>
      <c r="E18" s="540"/>
      <c r="F18" s="540" t="e">
        <f>VLOOKUP($C$3,Ecrêtage!B6:ZZ305,MATCH("Montant prélevé",Ecrêtage!4:4,0)-1,FALSE)</f>
        <v>#N/A</v>
      </c>
    </row>
    <row r="19" spans="2:8" s="116" customFormat="1" ht="6" customHeight="1" x14ac:dyDescent="0.2">
      <c r="B19" s="114"/>
      <c r="C19" s="114"/>
      <c r="D19" s="114"/>
      <c r="E19" s="540"/>
      <c r="F19" s="540"/>
    </row>
    <row r="20" spans="2:8" s="116" customFormat="1" ht="12.75" x14ac:dyDescent="0.2">
      <c r="B20" s="118" t="s">
        <v>515</v>
      </c>
      <c r="C20" s="114"/>
      <c r="D20" s="114"/>
      <c r="E20" s="540"/>
      <c r="F20" s="540"/>
    </row>
    <row r="21" spans="2:8" s="116" customFormat="1" ht="12.75" x14ac:dyDescent="0.2">
      <c r="B21" s="114" t="str">
        <f>CONCATENATE("Solde en points d'impôt: ",ROUND(PCS!H11,2))</f>
        <v>Solde en points d'impôt: 12.5</v>
      </c>
      <c r="C21" s="114"/>
      <c r="D21" s="114"/>
      <c r="E21" s="540"/>
      <c r="F21" s="540"/>
    </row>
    <row r="22" spans="2:8" s="116" customFormat="1" ht="12.75" x14ac:dyDescent="0.2">
      <c r="B22" s="114" t="s">
        <v>367</v>
      </c>
      <c r="C22" s="114"/>
      <c r="D22" s="114"/>
      <c r="E22" s="540"/>
      <c r="F22" s="540" t="e">
        <f>VLOOKUP($C$3,PCS!B12:ZZ311,MATCH("Solde en points d'impôt",PCS!10:10,0)-1,FALSE)</f>
        <v>#N/A</v>
      </c>
      <c r="G22" s="166"/>
    </row>
    <row r="23" spans="2:8" s="116" customFormat="1" ht="6" customHeight="1" x14ac:dyDescent="0.2">
      <c r="B23" s="114"/>
      <c r="C23" s="114"/>
      <c r="D23" s="114"/>
      <c r="E23" s="540"/>
      <c r="F23" s="542"/>
    </row>
    <row r="24" spans="2:8" s="116" customFormat="1" ht="12.75" x14ac:dyDescent="0.2">
      <c r="B24" s="118" t="s">
        <v>380</v>
      </c>
      <c r="C24" s="114"/>
      <c r="D24" s="114"/>
      <c r="E24" s="540"/>
      <c r="F24" s="543" t="e">
        <f>F15+F18+F22</f>
        <v>#N/A</v>
      </c>
      <c r="G24" s="166"/>
      <c r="H24" s="166"/>
    </row>
    <row r="25" spans="2:8" s="116" customFormat="1" ht="6" customHeight="1" x14ac:dyDescent="0.2">
      <c r="B25" s="114"/>
      <c r="C25" s="114"/>
      <c r="D25" s="114"/>
      <c r="E25" s="540"/>
      <c r="F25" s="540"/>
    </row>
    <row r="26" spans="2:8" ht="18" x14ac:dyDescent="0.35">
      <c r="B26" s="111" t="s">
        <v>370</v>
      </c>
      <c r="C26" s="66"/>
      <c r="D26" s="66"/>
      <c r="E26" s="544"/>
      <c r="F26" s="544"/>
      <c r="G26" s="165"/>
    </row>
    <row r="27" spans="2:8" s="116" customFormat="1" ht="6" customHeight="1" x14ac:dyDescent="0.2">
      <c r="B27" s="114"/>
      <c r="C27" s="114"/>
      <c r="D27" s="114"/>
      <c r="E27" s="540"/>
      <c r="F27" s="540"/>
    </row>
    <row r="28" spans="2:8" s="116" customFormat="1" ht="12.75" x14ac:dyDescent="0.2">
      <c r="B28" s="118" t="s">
        <v>499</v>
      </c>
      <c r="C28" s="114"/>
      <c r="D28" s="114"/>
      <c r="E28" s="540"/>
      <c r="F28" s="540" t="e">
        <f>VLOOKUP(B7,'Péréquation directe'!B12:ZZ311,MATCH("Compensation population",'Péréquation directe'!10:10,0)-1,FALSE)</f>
        <v>#N/A</v>
      </c>
      <c r="G28" s="167"/>
      <c r="H28" s="427"/>
    </row>
    <row r="29" spans="2:8" s="116" customFormat="1" ht="6" customHeight="1" x14ac:dyDescent="0.2">
      <c r="B29" s="114"/>
      <c r="C29" s="114"/>
      <c r="D29" s="114"/>
      <c r="E29" s="540"/>
      <c r="F29" s="540"/>
    </row>
    <row r="30" spans="2:8" s="116" customFormat="1" ht="12.75" x14ac:dyDescent="0.2">
      <c r="B30" s="118" t="s">
        <v>500</v>
      </c>
      <c r="C30" s="114"/>
      <c r="D30" s="114"/>
      <c r="E30" s="540"/>
      <c r="F30" s="540" t="e">
        <f>VLOOKUP(B7,'Péréquation directe'!B12:ZZ311,MATCH("Compensation solidarité",'Péréquation directe'!10:10,0)-1,FALSE)</f>
        <v>#N/A</v>
      </c>
    </row>
    <row r="31" spans="2:8" s="116" customFormat="1" ht="6" customHeight="1" x14ac:dyDescent="0.2">
      <c r="B31" s="114"/>
      <c r="C31" s="114"/>
      <c r="D31" s="114"/>
      <c r="E31" s="540"/>
      <c r="F31" s="540"/>
    </row>
    <row r="32" spans="2:8" s="116" customFormat="1" ht="12.75" x14ac:dyDescent="0.2">
      <c r="B32" s="118" t="s">
        <v>501</v>
      </c>
      <c r="C32" s="114"/>
      <c r="D32" s="114"/>
      <c r="E32" s="540"/>
      <c r="F32" s="545"/>
    </row>
    <row r="33" spans="2:12" s="116" customFormat="1" ht="12.75" x14ac:dyDescent="0.2">
      <c r="B33" s="186" t="s">
        <v>384</v>
      </c>
      <c r="C33" s="185"/>
      <c r="D33" s="185"/>
      <c r="E33" s="546" t="e">
        <f>VLOOKUP(B7,DT!B6:ZZ305,MATCH("Compensation transports",DT!4:4,0)-1,FALSE)</f>
        <v>#N/A</v>
      </c>
      <c r="F33" s="547"/>
    </row>
    <row r="34" spans="2:12" s="116" customFormat="1" ht="12.75" x14ac:dyDescent="0.2">
      <c r="B34" s="186" t="s">
        <v>385</v>
      </c>
      <c r="C34" s="185"/>
      <c r="D34" s="185"/>
      <c r="E34" s="546" t="e">
        <f>VLOOKUP(B7,DT!B6:ZZ305,MATCH("Compensation forêts",DT!4:4,0)-1,FALSE)</f>
        <v>#N/A</v>
      </c>
      <c r="F34" s="548" t="e">
        <f>SUM(E33:E34)</f>
        <v>#N/A</v>
      </c>
    </row>
    <row r="35" spans="2:12" s="116" customFormat="1" ht="6" customHeight="1" x14ac:dyDescent="0.2">
      <c r="B35" s="185"/>
      <c r="C35" s="185"/>
      <c r="D35" s="185"/>
      <c r="E35" s="547"/>
      <c r="F35" s="547"/>
    </row>
    <row r="36" spans="2:12" s="116" customFormat="1" ht="12.75" x14ac:dyDescent="0.2">
      <c r="B36" s="118" t="s">
        <v>429</v>
      </c>
      <c r="C36" s="114"/>
      <c r="D36" s="114"/>
      <c r="E36" s="540"/>
      <c r="F36" s="540"/>
    </row>
    <row r="37" spans="2:12" s="116" customFormat="1" ht="12.75" customHeight="1" x14ac:dyDescent="0.2">
      <c r="B37" s="114" t="s">
        <v>373</v>
      </c>
      <c r="C37" s="114"/>
      <c r="D37" s="114"/>
      <c r="E37" s="541" t="e">
        <f>VLOOKUP(B7,Effort!B6:ZZ305,MATCH("Restitution en CHF",Effort!4:4,0)-1,FALSE)</f>
        <v>#N/A</v>
      </c>
      <c r="F37" s="540"/>
      <c r="L37" s="182"/>
    </row>
    <row r="38" spans="2:12" s="116" customFormat="1" ht="12.75" customHeight="1" x14ac:dyDescent="0.2">
      <c r="B38" s="114" t="s">
        <v>365</v>
      </c>
      <c r="C38" s="114"/>
      <c r="D38" s="114"/>
      <c r="E38" s="541" t="e">
        <f>VLOOKUP(B7,Aide!B6:ZZ305,MATCH("Retenue en CHF",Aide!4:4,0)-1,FALSE)</f>
        <v>#N/A</v>
      </c>
      <c r="F38" s="540"/>
      <c r="L38" s="182"/>
    </row>
    <row r="39" spans="2:12" s="116" customFormat="1" ht="12.75" customHeight="1" x14ac:dyDescent="0.2">
      <c r="B39" s="114" t="s">
        <v>366</v>
      </c>
      <c r="C39" s="114"/>
      <c r="D39" s="114"/>
      <c r="E39" s="541" t="e">
        <f>VLOOKUP(B7,Taux!B6:ZZ305,MATCH("Restitution en CHF",Taux!4:4,0)-1,FALSE)</f>
        <v>#N/A</v>
      </c>
      <c r="F39" s="540" t="e">
        <f>SUM(E37:E39)</f>
        <v>#N/A</v>
      </c>
      <c r="L39" s="182"/>
    </row>
    <row r="40" spans="2:12" s="116" customFormat="1" ht="6" customHeight="1" x14ac:dyDescent="0.2">
      <c r="B40" s="114"/>
      <c r="C40" s="114"/>
      <c r="D40" s="114"/>
      <c r="E40" s="540"/>
      <c r="F40" s="540"/>
      <c r="L40" s="182"/>
    </row>
    <row r="41" spans="2:12" s="116" customFormat="1" ht="12.75" customHeight="1" x14ac:dyDescent="0.2">
      <c r="B41" s="118" t="s">
        <v>495</v>
      </c>
      <c r="C41" s="114"/>
      <c r="D41" s="114"/>
      <c r="E41" s="540"/>
      <c r="F41" s="540" t="e">
        <f>VLOOKUP(B7,'Péréquation directe'!B12:ZZ311,MATCH("Total du financement",'Péréquation directe'!10:10,0)-1,FALSE)</f>
        <v>#N/A</v>
      </c>
      <c r="G41" s="166"/>
      <c r="L41" s="182"/>
    </row>
    <row r="42" spans="2:12" s="116" customFormat="1" ht="6" customHeight="1" x14ac:dyDescent="0.2">
      <c r="B42" s="114"/>
      <c r="C42" s="114"/>
      <c r="D42" s="114"/>
      <c r="E42" s="540"/>
      <c r="F42" s="542"/>
      <c r="L42" s="182"/>
    </row>
    <row r="43" spans="2:12" s="116" customFormat="1" ht="12.75" x14ac:dyDescent="0.2">
      <c r="B43" s="118" t="s">
        <v>521</v>
      </c>
      <c r="C43" s="114"/>
      <c r="D43" s="114"/>
      <c r="E43" s="540"/>
      <c r="F43" s="549" t="e">
        <f>SUM(F27:F42)</f>
        <v>#N/A</v>
      </c>
      <c r="G43" s="166"/>
      <c r="H43" s="167"/>
    </row>
    <row r="44" spans="2:12" s="116" customFormat="1" ht="6" customHeight="1" x14ac:dyDescent="0.2">
      <c r="B44" s="114"/>
      <c r="C44" s="114"/>
      <c r="D44" s="114"/>
      <c r="E44" s="540"/>
      <c r="F44" s="540"/>
    </row>
    <row r="45" spans="2:12" ht="18" x14ac:dyDescent="0.35">
      <c r="B45" s="111" t="s">
        <v>517</v>
      </c>
      <c r="C45" s="66"/>
      <c r="D45" s="66"/>
      <c r="E45" s="544"/>
      <c r="F45" s="544"/>
      <c r="G45" s="116"/>
      <c r="H45" s="116"/>
      <c r="I45" s="116"/>
      <c r="J45" s="116"/>
      <c r="K45" s="116"/>
    </row>
    <row r="46" spans="2:12" s="116" customFormat="1" ht="6" customHeight="1" x14ac:dyDescent="0.2">
      <c r="B46" s="114"/>
      <c r="C46" s="114"/>
      <c r="D46" s="114"/>
      <c r="E46" s="540"/>
      <c r="F46" s="540"/>
    </row>
    <row r="47" spans="2:12" s="116" customFormat="1" ht="12.75" x14ac:dyDescent="0.2">
      <c r="B47" s="114" t="s">
        <v>516</v>
      </c>
      <c r="C47" s="114"/>
      <c r="D47" s="114"/>
      <c r="E47" s="541" t="e">
        <f>VLOOKUP(B7,Police!B6:ZZ305,MATCH("Facturation aux communes délégatrices 
(au maximum l'équivalent de 2 points d'impôt communaux)",Police!4:4,0)-1,FALSE)</f>
        <v>#N/A</v>
      </c>
      <c r="F47" s="540"/>
    </row>
    <row r="48" spans="2:12" s="116" customFormat="1" ht="12.75" x14ac:dyDescent="0.2">
      <c r="B48" s="114" t="s">
        <v>518</v>
      </c>
      <c r="C48" s="114"/>
      <c r="D48" s="114"/>
      <c r="E48" s="541" t="e">
        <f>VLOOKUP(B7,Police!B6:ZZ305,MATCH("Financement du solde en points",Police!4:4,0)-1,FALSE)</f>
        <v>#N/A</v>
      </c>
      <c r="F48" s="540" t="e">
        <f>SUM(E47:E48)</f>
        <v>#N/A</v>
      </c>
    </row>
    <row r="49" spans="2:6" s="116" customFormat="1" ht="12.75" x14ac:dyDescent="0.2">
      <c r="B49" s="114"/>
      <c r="C49" s="114"/>
      <c r="D49" s="114"/>
      <c r="E49" s="540"/>
      <c r="F49" s="542"/>
    </row>
    <row r="50" spans="2:6" s="116" customFormat="1" ht="12.75" x14ac:dyDescent="0.2">
      <c r="B50" s="118" t="s">
        <v>519</v>
      </c>
      <c r="C50" s="114"/>
      <c r="D50" s="114"/>
      <c r="E50" s="540"/>
      <c r="F50" s="543" t="e">
        <f>F48</f>
        <v>#N/A</v>
      </c>
    </row>
    <row r="51" spans="2:6" s="116" customFormat="1" ht="6" customHeight="1" x14ac:dyDescent="0.2">
      <c r="B51" s="114"/>
      <c r="C51" s="114"/>
      <c r="D51" s="114"/>
      <c r="E51" s="540"/>
      <c r="F51" s="540"/>
    </row>
    <row r="52" spans="2:6" ht="18" x14ac:dyDescent="0.35">
      <c r="B52" s="111" t="s">
        <v>413</v>
      </c>
      <c r="C52" s="66"/>
      <c r="D52" s="66"/>
      <c r="E52" s="544"/>
      <c r="F52" s="544"/>
    </row>
    <row r="53" spans="2:6" ht="6" customHeight="1" x14ac:dyDescent="0.25">
      <c r="B53" s="114"/>
      <c r="C53" s="114"/>
      <c r="D53" s="114"/>
      <c r="E53" s="550"/>
      <c r="F53" s="550"/>
    </row>
    <row r="54" spans="2:6" x14ac:dyDescent="0.25">
      <c r="B54" s="118" t="s">
        <v>374</v>
      </c>
      <c r="C54" s="114"/>
      <c r="D54" s="114"/>
      <c r="E54" s="550"/>
      <c r="F54" s="543" t="e">
        <f>+F24+F43+F50</f>
        <v>#N/A</v>
      </c>
    </row>
    <row r="55" spans="2:6" ht="6" customHeight="1" x14ac:dyDescent="0.25">
      <c r="B55" s="114"/>
      <c r="C55" s="114"/>
      <c r="D55" s="114"/>
      <c r="E55" s="550"/>
      <c r="F55" s="550"/>
    </row>
    <row r="56" spans="2:6" ht="18" x14ac:dyDescent="0.35">
      <c r="B56" s="111" t="s">
        <v>375</v>
      </c>
      <c r="C56" s="66"/>
      <c r="D56" s="66"/>
      <c r="E56" s="537"/>
      <c r="F56" s="537"/>
    </row>
    <row r="57" spans="2:6" ht="6" customHeight="1" x14ac:dyDescent="0.25">
      <c r="B57" s="114"/>
      <c r="C57" s="114"/>
      <c r="D57" s="114"/>
      <c r="E57" s="536"/>
      <c r="F57" s="536"/>
    </row>
    <row r="58" spans="2:6" ht="38.25" x14ac:dyDescent="0.25">
      <c r="B58" s="114"/>
      <c r="C58" s="187" t="s">
        <v>386</v>
      </c>
      <c r="D58" s="188" t="s">
        <v>392</v>
      </c>
      <c r="E58" s="538" t="s">
        <v>278</v>
      </c>
      <c r="F58" s="539" t="s">
        <v>523</v>
      </c>
    </row>
    <row r="59" spans="2:6" x14ac:dyDescent="0.25">
      <c r="B59" s="189" t="s">
        <v>387</v>
      </c>
      <c r="C59" s="551" t="e">
        <f>SUM(D59:F59)</f>
        <v>#N/A</v>
      </c>
      <c r="D59" s="552" t="e">
        <f>VLOOKUP($C$3,'Décompte vs acomptes'!$B$6:$ZZ$305,MATCH("Acomptes PCS",'Décompte vs acomptes'!5:5,0)-1,FALSE)</f>
        <v>#N/A</v>
      </c>
      <c r="E59" s="552" t="e">
        <f>VLOOKUP($C$3,'Décompte vs acomptes'!$B$6:$ZZ$305,MATCH("Acomptes PH",'Décompte vs acomptes'!5:5,0)-1,FALSE)</f>
        <v>#N/A</v>
      </c>
      <c r="F59" s="553" t="e">
        <f>VLOOKUP($C$3,'Décompte vs acomptes'!$B$6:$ZZ$305,MATCH("Acomptes FP",'Décompte vs acomptes'!5:5,0)-1,FALSE)</f>
        <v>#N/A</v>
      </c>
    </row>
    <row r="60" spans="2:6" x14ac:dyDescent="0.25">
      <c r="B60" s="189" t="s">
        <v>391</v>
      </c>
      <c r="C60" s="554" t="e">
        <f>IF(SUM(D60:F60)=0,"À venir", SUM(D60:F60))</f>
        <v>#N/A</v>
      </c>
      <c r="D60" s="555" t="e">
        <f>VLOOKUP($C$3,'Décompte vs acomptes'!$B$6:$ZZ$305,MATCH("Décompte PCS",'Décompte vs acomptes'!5:5,0)-1,FALSE)</f>
        <v>#N/A</v>
      </c>
      <c r="E60" s="555" t="e">
        <f>VLOOKUP($C$3,'Décompte vs acomptes'!$B$6:$ZZ$305,MATCH("Décompte PH",'Décompte vs acomptes'!5:5,0)-1,FALSE)</f>
        <v>#N/A</v>
      </c>
      <c r="F60" s="556" t="e">
        <f>VLOOKUP($C$3,'Décompte vs acomptes'!$B$6:$ZZ$305,MATCH("Décompte FP",'Décompte vs acomptes'!5:5,0)-1,FALSE)</f>
        <v>#N/A</v>
      </c>
    </row>
    <row r="61" spans="2:6" x14ac:dyDescent="0.25">
      <c r="B61" s="189" t="s">
        <v>524</v>
      </c>
      <c r="C61" s="551" t="e">
        <f>IF(SUM(D61:F61)=0,"À venir", SUM(D61:F61))</f>
        <v>#N/A</v>
      </c>
      <c r="D61" s="551" t="e">
        <f>VLOOKUP($C$3,'Décompte vs acomptes'!$B$6:$ZZ$305,MATCH("D-A PCS",'Décompte vs acomptes'!5:5,0)-1,FALSE)</f>
        <v>#N/A</v>
      </c>
      <c r="E61" s="551" t="e">
        <f>VLOOKUP($C$3,'Décompte vs acomptes'!$B$6:$ZZ$305,MATCH("D-A PH",'Décompte vs acomptes'!5:5,0)-1,FALSE)</f>
        <v>#N/A</v>
      </c>
      <c r="F61" s="551" t="e">
        <f>VLOOKUP($C$3,'Décompte vs acomptes'!$B$6:$ZZ$305,MATCH("D-A FP",'Décompte vs acomptes'!5:5,0)-1,FALSE)</f>
        <v>#N/A</v>
      </c>
    </row>
    <row r="62" spans="2:6" x14ac:dyDescent="0.25">
      <c r="B62" s="158"/>
      <c r="C62" s="190" t="s">
        <v>388</v>
      </c>
      <c r="D62" s="158"/>
      <c r="E62" s="5"/>
      <c r="F62" s="5"/>
    </row>
    <row r="63" spans="2:6" x14ac:dyDescent="0.25">
      <c r="B63" s="643" t="s">
        <v>535</v>
      </c>
      <c r="C63" s="643"/>
      <c r="D63" s="643"/>
      <c r="E63" s="643"/>
      <c r="F63" s="643"/>
    </row>
    <row r="64" spans="2:6" x14ac:dyDescent="0.25">
      <c r="B64" s="643"/>
      <c r="C64" s="643"/>
      <c r="D64" s="643"/>
      <c r="E64" s="643"/>
      <c r="F64" s="643"/>
    </row>
    <row r="65" spans="2:6" x14ac:dyDescent="0.25">
      <c r="B65" s="643"/>
      <c r="C65" s="643"/>
      <c r="D65" s="643"/>
      <c r="E65" s="643"/>
      <c r="F65" s="643"/>
    </row>
    <row r="66" spans="2:6" ht="18.75" customHeight="1" x14ac:dyDescent="0.25">
      <c r="B66" s="643"/>
      <c r="C66" s="643"/>
      <c r="D66" s="643"/>
      <c r="E66" s="643"/>
      <c r="F66" s="643"/>
    </row>
    <row r="67" spans="2:6" x14ac:dyDescent="0.25">
      <c r="B67" s="643"/>
      <c r="C67" s="643"/>
      <c r="D67" s="643"/>
      <c r="E67" s="643"/>
      <c r="F67" s="643"/>
    </row>
    <row r="68" spans="2:6" x14ac:dyDescent="0.25">
      <c r="B68" s="643"/>
      <c r="C68" s="643"/>
      <c r="D68" s="643"/>
      <c r="E68" s="643"/>
      <c r="F68" s="643"/>
    </row>
  </sheetData>
  <sheetProtection sheet="1" objects="1" scenarios="1"/>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311B9C-B1F5-4E57-8162-0ECA1A164850}">
          <x14:formula1>
            <xm:f>Paramètres!$A$62:$A$361</xm:f>
          </x14:formula1>
          <xm:sqref>C3:E3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CN338"/>
  <sheetViews>
    <sheetView zoomScaleNormal="100" workbookViewId="0">
      <pane ySplit="5" topLeftCell="A6" activePane="bottomLeft" state="frozen"/>
      <selection pane="bottomLeft" activeCell="A6" sqref="A6"/>
    </sheetView>
  </sheetViews>
  <sheetFormatPr baseColWidth="10" defaultColWidth="8.625" defaultRowHeight="15" x14ac:dyDescent="0.25"/>
  <cols>
    <col min="1" max="1" width="8.5" style="602" customWidth="1"/>
    <col min="2" max="2" width="21.875" style="507" bestFit="1" customWidth="1"/>
    <col min="3" max="3" width="14.375" style="598" bestFit="1" customWidth="1"/>
    <col min="4" max="4" width="13" style="507" bestFit="1" customWidth="1"/>
    <col min="5" max="5" width="10.875" style="507" bestFit="1" customWidth="1"/>
    <col min="6" max="6" width="10.125" style="507" bestFit="1" customWidth="1"/>
    <col min="7" max="7" width="13.125" style="507" bestFit="1" customWidth="1"/>
    <col min="8" max="11" width="12.25" style="507" bestFit="1" customWidth="1"/>
    <col min="12" max="12" width="13.125" style="507" bestFit="1" customWidth="1"/>
    <col min="13" max="13" width="15.625" style="507" bestFit="1" customWidth="1"/>
    <col min="14" max="14" width="12.375" style="562" bestFit="1" customWidth="1"/>
    <col min="15" max="16" width="13.125" style="562" bestFit="1" customWidth="1"/>
    <col min="17" max="17" width="12.75" style="562" bestFit="1" customWidth="1"/>
    <col min="18" max="18" width="12.375" style="562" bestFit="1" customWidth="1"/>
    <col min="19" max="19" width="12.75" style="562" bestFit="1" customWidth="1"/>
    <col min="20" max="20" width="15.625" style="507" bestFit="1" customWidth="1"/>
    <col min="21" max="21" width="13.25" style="507" bestFit="1" customWidth="1"/>
    <col min="22" max="22" width="12" style="507" customWidth="1"/>
    <col min="23" max="23" width="13.625" style="507" bestFit="1" customWidth="1"/>
    <col min="24" max="24" width="10.375" style="507" customWidth="1"/>
    <col min="25" max="25" width="11.25" style="507" bestFit="1" customWidth="1"/>
    <col min="26" max="26" width="11.125" style="562" bestFit="1" customWidth="1"/>
    <col min="27" max="27" width="3.625" style="507" customWidth="1"/>
    <col min="28" max="28" width="12.25" style="507" bestFit="1" customWidth="1"/>
    <col min="29" max="29" width="6.5" style="507" bestFit="1" customWidth="1"/>
    <col min="30" max="30" width="13" style="507" bestFit="1" customWidth="1"/>
    <col min="31" max="31" width="6.5" style="507" bestFit="1" customWidth="1"/>
    <col min="32" max="32" width="13.125" style="507" customWidth="1"/>
    <col min="33" max="34" width="11.5" style="507" customWidth="1"/>
    <col min="35" max="35" width="3.625" style="507" customWidth="1"/>
    <col min="36" max="36" width="9.25" style="507" customWidth="1"/>
    <col min="37" max="37" width="5.5" style="507" bestFit="1" customWidth="1"/>
    <col min="38" max="38" width="12.125" style="507" bestFit="1" customWidth="1"/>
    <col min="39" max="39" width="6.375" style="507" bestFit="1" customWidth="1"/>
    <col min="40" max="40" width="12.25" style="507" bestFit="1" customWidth="1"/>
    <col min="41" max="41" width="3.75" style="507" customWidth="1"/>
    <col min="42" max="42" width="16" style="507" customWidth="1"/>
    <col min="43" max="43" width="3.75" style="507" customWidth="1"/>
    <col min="44" max="44" width="10.125" style="507" customWidth="1"/>
    <col min="45" max="45" width="12.125" style="507" bestFit="1" customWidth="1"/>
    <col min="46" max="46" width="14.25" style="507" bestFit="1" customWidth="1"/>
    <col min="47" max="47" width="9.75" style="562" customWidth="1"/>
    <col min="48" max="16384" width="8.625" style="507"/>
  </cols>
  <sheetData>
    <row r="1" spans="1:47" ht="26.25" x14ac:dyDescent="0.4">
      <c r="A1" s="557" t="str">
        <f>CONCATENATE("Données (",Paramètres!B5,")")</f>
        <v>Données (2022)</v>
      </c>
      <c r="B1" s="558"/>
      <c r="C1" s="559" t="s">
        <v>403</v>
      </c>
      <c r="D1" s="560" t="s">
        <v>395</v>
      </c>
      <c r="E1" s="561" t="s">
        <v>404</v>
      </c>
      <c r="F1" s="558"/>
      <c r="G1" s="558"/>
      <c r="H1" s="558"/>
      <c r="I1" s="558"/>
      <c r="J1" s="558"/>
      <c r="S1" s="563"/>
      <c r="V1" s="525"/>
      <c r="X1" s="564"/>
    </row>
    <row r="2" spans="1:47" ht="15.75" x14ac:dyDescent="0.25">
      <c r="A2" s="565" t="str">
        <f>Paramètres!B4</f>
        <v>Acomptes 2024</v>
      </c>
      <c r="C2" s="566"/>
      <c r="D2" s="566"/>
      <c r="E2" s="566"/>
      <c r="F2" s="566"/>
      <c r="G2" s="566"/>
      <c r="H2" s="566"/>
      <c r="I2" s="566"/>
      <c r="J2" s="566"/>
      <c r="K2" s="566"/>
      <c r="L2" s="566"/>
      <c r="M2" s="566"/>
      <c r="N2" s="567"/>
      <c r="O2" s="567"/>
      <c r="P2" s="567"/>
      <c r="Q2" s="567"/>
      <c r="R2" s="567"/>
      <c r="S2" s="567"/>
      <c r="T2" s="566"/>
      <c r="U2" s="566"/>
      <c r="V2" s="566"/>
      <c r="W2" s="566"/>
      <c r="X2" s="566"/>
      <c r="Y2" s="566"/>
      <c r="Z2" s="566"/>
      <c r="AA2" s="566"/>
      <c r="AB2" s="566"/>
      <c r="AC2" s="566"/>
      <c r="AD2" s="566"/>
      <c r="AE2" s="566"/>
      <c r="AF2" s="566"/>
      <c r="AG2" s="566"/>
      <c r="AH2" s="566"/>
    </row>
    <row r="3" spans="1:47" x14ac:dyDescent="0.25">
      <c r="A3" s="568"/>
      <c r="B3" s="558"/>
      <c r="C3" s="569"/>
      <c r="D3" s="558"/>
      <c r="E3" s="558"/>
      <c r="F3" s="558"/>
      <c r="G3" s="558"/>
      <c r="H3" s="558"/>
      <c r="I3" s="558"/>
      <c r="J3" s="558"/>
      <c r="L3" s="570"/>
      <c r="S3" s="563"/>
      <c r="X3" s="564"/>
      <c r="AB3" s="648" t="s">
        <v>534</v>
      </c>
      <c r="AC3" s="649"/>
      <c r="AD3" s="649"/>
      <c r="AE3" s="649"/>
      <c r="AF3" s="650"/>
      <c r="AJ3" s="648" t="s">
        <v>458</v>
      </c>
      <c r="AK3" s="649"/>
      <c r="AL3" s="649"/>
      <c r="AM3" s="649"/>
      <c r="AN3" s="650"/>
    </row>
    <row r="4" spans="1:47" s="576" customFormat="1" ht="74.25" customHeight="1" x14ac:dyDescent="0.2">
      <c r="A4" s="654" t="s">
        <v>44</v>
      </c>
      <c r="B4" s="656" t="s">
        <v>393</v>
      </c>
      <c r="C4" s="571" t="s">
        <v>442</v>
      </c>
      <c r="D4" s="571" t="s">
        <v>443</v>
      </c>
      <c r="E4" s="572" t="s">
        <v>223</v>
      </c>
      <c r="F4" s="572" t="s">
        <v>224</v>
      </c>
      <c r="G4" s="572" t="s">
        <v>444</v>
      </c>
      <c r="H4" s="572" t="s">
        <v>445</v>
      </c>
      <c r="I4" s="572" t="s">
        <v>527</v>
      </c>
      <c r="J4" s="572" t="s">
        <v>414</v>
      </c>
      <c r="K4" s="572" t="s">
        <v>446</v>
      </c>
      <c r="L4" s="572" t="s">
        <v>313</v>
      </c>
      <c r="M4" s="572" t="s">
        <v>173</v>
      </c>
      <c r="N4" s="573" t="s">
        <v>174</v>
      </c>
      <c r="O4" s="573" t="s">
        <v>175</v>
      </c>
      <c r="P4" s="573" t="s">
        <v>176</v>
      </c>
      <c r="Q4" s="658" t="s">
        <v>337</v>
      </c>
      <c r="R4" s="573" t="s">
        <v>177</v>
      </c>
      <c r="S4" s="658" t="s">
        <v>415</v>
      </c>
      <c r="T4" s="572" t="s">
        <v>124</v>
      </c>
      <c r="U4" s="660" t="s">
        <v>219</v>
      </c>
      <c r="V4" s="660" t="s">
        <v>526</v>
      </c>
      <c r="W4" s="660" t="s">
        <v>220</v>
      </c>
      <c r="X4" s="571" t="s">
        <v>71</v>
      </c>
      <c r="Y4" s="660" t="s">
        <v>369</v>
      </c>
      <c r="Z4" s="574" t="s">
        <v>356</v>
      </c>
      <c r="AA4" s="575"/>
      <c r="AB4" s="651" t="s">
        <v>382</v>
      </c>
      <c r="AC4" s="652"/>
      <c r="AD4" s="651" t="s">
        <v>381</v>
      </c>
      <c r="AE4" s="652"/>
      <c r="AF4" s="646" t="s">
        <v>435</v>
      </c>
      <c r="AG4" s="646" t="s">
        <v>279</v>
      </c>
      <c r="AH4" s="646" t="s">
        <v>280</v>
      </c>
      <c r="AJ4" s="651" t="s">
        <v>383</v>
      </c>
      <c r="AK4" s="652"/>
      <c r="AL4" s="651" t="s">
        <v>381</v>
      </c>
      <c r="AM4" s="652"/>
      <c r="AN4" s="646" t="s">
        <v>427</v>
      </c>
      <c r="AP4" s="577" t="s">
        <v>490</v>
      </c>
      <c r="AR4" s="644" t="s">
        <v>436</v>
      </c>
      <c r="AU4" s="578"/>
    </row>
    <row r="5" spans="1:47" s="558" customFormat="1" x14ac:dyDescent="0.25">
      <c r="A5" s="655"/>
      <c r="B5" s="657"/>
      <c r="C5" s="579" t="s">
        <v>338</v>
      </c>
      <c r="D5" s="580" t="s">
        <v>339</v>
      </c>
      <c r="E5" s="581" t="s">
        <v>72</v>
      </c>
      <c r="F5" s="581" t="s">
        <v>73</v>
      </c>
      <c r="G5" s="581" t="s">
        <v>340</v>
      </c>
      <c r="H5" s="581" t="s">
        <v>341</v>
      </c>
      <c r="I5" s="581" t="s">
        <v>74</v>
      </c>
      <c r="J5" s="581" t="s">
        <v>75</v>
      </c>
      <c r="K5" s="581" t="s">
        <v>76</v>
      </c>
      <c r="L5" s="581" t="s">
        <v>77</v>
      </c>
      <c r="M5" s="581" t="s">
        <v>78</v>
      </c>
      <c r="N5" s="582" t="s">
        <v>79</v>
      </c>
      <c r="O5" s="582" t="s">
        <v>80</v>
      </c>
      <c r="P5" s="582" t="s">
        <v>81</v>
      </c>
      <c r="Q5" s="659"/>
      <c r="R5" s="582" t="s">
        <v>82</v>
      </c>
      <c r="S5" s="659"/>
      <c r="T5" s="581" t="s">
        <v>83</v>
      </c>
      <c r="U5" s="662"/>
      <c r="V5" s="662"/>
      <c r="W5" s="661"/>
      <c r="X5" s="583">
        <f>Paramètres!B5</f>
        <v>2022</v>
      </c>
      <c r="Y5" s="661"/>
      <c r="Z5" s="584">
        <f>+Paramètres!B6</f>
        <v>43464</v>
      </c>
      <c r="AA5" s="575"/>
      <c r="AB5" s="585" t="s">
        <v>357</v>
      </c>
      <c r="AC5" s="585" t="s">
        <v>358</v>
      </c>
      <c r="AD5" s="585" t="s">
        <v>357</v>
      </c>
      <c r="AE5" s="585" t="s">
        <v>358</v>
      </c>
      <c r="AF5" s="653"/>
      <c r="AG5" s="653"/>
      <c r="AH5" s="647"/>
      <c r="AJ5" s="585" t="s">
        <v>357</v>
      </c>
      <c r="AK5" s="585" t="s">
        <v>358</v>
      </c>
      <c r="AL5" s="585" t="s">
        <v>357</v>
      </c>
      <c r="AM5" s="585" t="s">
        <v>358</v>
      </c>
      <c r="AN5" s="647"/>
      <c r="AP5" s="577" t="s">
        <v>478</v>
      </c>
      <c r="AR5" s="645"/>
      <c r="AU5" s="563"/>
    </row>
    <row r="6" spans="1:47" x14ac:dyDescent="0.25">
      <c r="A6" s="586">
        <v>5401</v>
      </c>
      <c r="B6" s="587" t="s">
        <v>225</v>
      </c>
      <c r="C6" s="505">
        <v>13702154.710000001</v>
      </c>
      <c r="D6" s="505">
        <v>1567422.45</v>
      </c>
      <c r="E6" s="505"/>
      <c r="F6" s="506"/>
      <c r="G6" s="505">
        <v>1104997</v>
      </c>
      <c r="H6" s="505">
        <v>164745.1</v>
      </c>
      <c r="I6" s="505">
        <v>46694.29</v>
      </c>
      <c r="J6" s="505">
        <v>732596.5</v>
      </c>
      <c r="K6" s="505">
        <v>228798.45</v>
      </c>
      <c r="L6" s="505">
        <v>2506428</v>
      </c>
      <c r="M6" s="384">
        <f t="shared" ref="M6:M65" si="0">SUM(C6:L6)</f>
        <v>20053836.499999996</v>
      </c>
      <c r="N6" s="510">
        <v>1326279.6499999999</v>
      </c>
      <c r="O6" s="510">
        <v>453837.75</v>
      </c>
      <c r="P6" s="510">
        <v>842569.15</v>
      </c>
      <c r="Q6" s="510">
        <v>67721.289999999994</v>
      </c>
      <c r="R6" s="510">
        <v>602187.4</v>
      </c>
      <c r="S6" s="505">
        <v>131574.26999999999</v>
      </c>
      <c r="T6" s="384">
        <f t="shared" ref="T6:T65" si="1">SUM(M6:S6)</f>
        <v>23478006.00999999</v>
      </c>
      <c r="U6" s="507">
        <v>-379686.17</v>
      </c>
      <c r="V6" s="511"/>
      <c r="W6" s="511">
        <v>-10950.15</v>
      </c>
      <c r="X6" s="512">
        <v>66</v>
      </c>
      <c r="Y6" s="513">
        <v>1.2</v>
      </c>
      <c r="Z6" s="514">
        <v>10937</v>
      </c>
      <c r="AA6" s="588"/>
      <c r="AB6" s="524">
        <v>916480</v>
      </c>
      <c r="AC6" s="337">
        <f>AB6/VPI!R6</f>
        <v>3.1107448500410064</v>
      </c>
      <c r="AD6" s="339">
        <f>AF6-AB6</f>
        <v>3389203</v>
      </c>
      <c r="AE6" s="337">
        <f>AD6/VPI!R6</f>
        <v>11.503737973543918</v>
      </c>
      <c r="AF6" s="526">
        <v>4305683</v>
      </c>
      <c r="AG6" s="526">
        <v>2859690</v>
      </c>
      <c r="AH6" s="524">
        <v>26483</v>
      </c>
      <c r="AI6" s="589"/>
      <c r="AJ6" s="528">
        <v>0</v>
      </c>
      <c r="AK6" s="337">
        <f>AJ6/VPI!R6</f>
        <v>0</v>
      </c>
      <c r="AL6" s="339">
        <f>AN6-AJ6</f>
        <v>520347</v>
      </c>
      <c r="AM6" s="337">
        <f>AL6/VPI!R6</f>
        <v>1.7661779313070527</v>
      </c>
      <c r="AN6" s="514">
        <v>520347</v>
      </c>
      <c r="AO6" s="589"/>
      <c r="AP6" s="531">
        <v>-4.008123861483309</v>
      </c>
      <c r="AR6" s="590">
        <v>1</v>
      </c>
    </row>
    <row r="7" spans="1:47" x14ac:dyDescent="0.25">
      <c r="A7" s="586">
        <v>5402</v>
      </c>
      <c r="B7" s="587" t="s">
        <v>226</v>
      </c>
      <c r="C7" s="505">
        <v>9554392.6699999999</v>
      </c>
      <c r="D7" s="505">
        <v>1483791.05</v>
      </c>
      <c r="E7" s="505"/>
      <c r="F7" s="506"/>
      <c r="G7" s="505">
        <v>631702.85</v>
      </c>
      <c r="H7" s="505">
        <v>93111.5</v>
      </c>
      <c r="I7" s="505">
        <v>27379.55</v>
      </c>
      <c r="J7" s="505">
        <v>377996.02</v>
      </c>
      <c r="K7" s="505">
        <v>133607.20000000001</v>
      </c>
      <c r="L7" s="505">
        <v>1756610</v>
      </c>
      <c r="M7" s="384">
        <f t="shared" si="0"/>
        <v>14058590.84</v>
      </c>
      <c r="N7" s="510">
        <v>327388.7</v>
      </c>
      <c r="O7" s="510">
        <v>246945.3</v>
      </c>
      <c r="P7" s="510">
        <v>835876.35</v>
      </c>
      <c r="Q7" s="510">
        <v>106337.92</v>
      </c>
      <c r="R7" s="510">
        <v>561562</v>
      </c>
      <c r="S7" s="505">
        <v>75107.320000000007</v>
      </c>
      <c r="T7" s="384">
        <f t="shared" si="1"/>
        <v>16211808.43</v>
      </c>
      <c r="U7" s="507">
        <v>-258933.35</v>
      </c>
      <c r="V7" s="510"/>
      <c r="W7" s="510">
        <v>-1175.92</v>
      </c>
      <c r="X7" s="515">
        <v>71</v>
      </c>
      <c r="Y7" s="516">
        <v>1.25</v>
      </c>
      <c r="Z7" s="517">
        <v>8151</v>
      </c>
      <c r="AA7" s="588"/>
      <c r="AB7" s="524">
        <v>556431</v>
      </c>
      <c r="AC7" s="337">
        <f>AB7/VPI!R7</f>
        <v>2.8988001010207585</v>
      </c>
      <c r="AD7" s="339">
        <f t="shared" ref="AD7:AD70" si="2">AF7-AB7</f>
        <v>2429803</v>
      </c>
      <c r="AE7" s="337">
        <f>AD7/VPI!R7</f>
        <v>12.658376657412227</v>
      </c>
      <c r="AF7" s="524">
        <v>2986234</v>
      </c>
      <c r="AG7" s="524">
        <v>1868074</v>
      </c>
      <c r="AH7" s="524">
        <v>111410</v>
      </c>
      <c r="AI7" s="589"/>
      <c r="AJ7" s="519">
        <v>0</v>
      </c>
      <c r="AK7" s="337">
        <f>AJ7/VPI!R7</f>
        <v>0</v>
      </c>
      <c r="AL7" s="339">
        <f t="shared" ref="AL7:AL70" si="3">AN7-AJ7</f>
        <v>630027</v>
      </c>
      <c r="AM7" s="337">
        <f>AL7/VPI!R7</f>
        <v>3.2822080927299262</v>
      </c>
      <c r="AN7" s="519">
        <v>630027</v>
      </c>
      <c r="AO7" s="589"/>
      <c r="AP7" s="532">
        <v>-7.9066774659472525</v>
      </c>
      <c r="AR7" s="591">
        <v>1</v>
      </c>
    </row>
    <row r="8" spans="1:47" x14ac:dyDescent="0.25">
      <c r="A8" s="586">
        <v>5403</v>
      </c>
      <c r="B8" s="587" t="s">
        <v>100</v>
      </c>
      <c r="C8" s="505">
        <v>610712.13</v>
      </c>
      <c r="D8" s="505">
        <v>86795</v>
      </c>
      <c r="E8" s="505"/>
      <c r="F8" s="506"/>
      <c r="G8" s="505">
        <v>61419.55</v>
      </c>
      <c r="H8" s="505">
        <v>1423.25</v>
      </c>
      <c r="I8" s="505"/>
      <c r="J8" s="505">
        <v>41708.410000000003</v>
      </c>
      <c r="K8" s="505">
        <v>6861.1</v>
      </c>
      <c r="L8" s="505">
        <v>89263.5</v>
      </c>
      <c r="M8" s="384">
        <f t="shared" si="0"/>
        <v>898182.94000000006</v>
      </c>
      <c r="N8" s="510">
        <v>5643</v>
      </c>
      <c r="O8" s="510">
        <v>27</v>
      </c>
      <c r="P8" s="510">
        <v>15928</v>
      </c>
      <c r="Q8" s="510">
        <v>1744.89</v>
      </c>
      <c r="R8" s="510">
        <v>13392.25</v>
      </c>
      <c r="S8" s="505">
        <v>6511.95</v>
      </c>
      <c r="T8" s="384">
        <f t="shared" si="1"/>
        <v>941430.03</v>
      </c>
      <c r="U8" s="507">
        <v>-27602.83</v>
      </c>
      <c r="V8" s="510"/>
      <c r="W8" s="510">
        <v>0.59</v>
      </c>
      <c r="X8" s="515">
        <v>65</v>
      </c>
      <c r="Y8" s="518">
        <v>1</v>
      </c>
      <c r="Z8" s="519">
        <v>528</v>
      </c>
      <c r="AA8" s="588"/>
      <c r="AB8" s="524">
        <v>15214</v>
      </c>
      <c r="AC8" s="337">
        <f>AB8/VPI!R8</f>
        <v>1.1252477903936602</v>
      </c>
      <c r="AD8" s="339">
        <f t="shared" si="2"/>
        <v>37552</v>
      </c>
      <c r="AE8" s="337">
        <f>AD8/VPI!R8</f>
        <v>2.7773961499186752</v>
      </c>
      <c r="AF8" s="524">
        <v>52766</v>
      </c>
      <c r="AG8" s="524">
        <v>37986</v>
      </c>
      <c r="AH8" s="524">
        <v>10574</v>
      </c>
      <c r="AI8" s="589"/>
      <c r="AJ8" s="519">
        <v>0</v>
      </c>
      <c r="AK8" s="337">
        <f>AJ8/VPI!R8</f>
        <v>0</v>
      </c>
      <c r="AL8" s="339">
        <f t="shared" si="3"/>
        <v>44204</v>
      </c>
      <c r="AM8" s="337">
        <f>AL8/VPI!R8</f>
        <v>3.2693869676982619</v>
      </c>
      <c r="AN8" s="519">
        <v>44204</v>
      </c>
      <c r="AO8" s="589"/>
      <c r="AP8" s="532">
        <v>5.4228763779994846</v>
      </c>
      <c r="AR8" s="591">
        <v>0</v>
      </c>
    </row>
    <row r="9" spans="1:47" x14ac:dyDescent="0.25">
      <c r="A9" s="586">
        <v>5404</v>
      </c>
      <c r="B9" s="587" t="s">
        <v>101</v>
      </c>
      <c r="C9" s="505">
        <v>601627.55000000005</v>
      </c>
      <c r="D9" s="505">
        <v>168188.44</v>
      </c>
      <c r="E9" s="505"/>
      <c r="F9" s="506"/>
      <c r="G9" s="505">
        <v>-104</v>
      </c>
      <c r="H9" s="505">
        <v>6114.05</v>
      </c>
      <c r="I9" s="505"/>
      <c r="J9" s="505">
        <v>8970.39</v>
      </c>
      <c r="K9" s="505">
        <v>1763.05</v>
      </c>
      <c r="L9" s="505">
        <v>134510.15</v>
      </c>
      <c r="M9" s="384">
        <f t="shared" si="0"/>
        <v>921069.63000000012</v>
      </c>
      <c r="N9" s="510">
        <v>21844.1</v>
      </c>
      <c r="O9" s="510">
        <v>51174.400000000001</v>
      </c>
      <c r="P9" s="510">
        <v>66797</v>
      </c>
      <c r="Q9" s="510">
        <v>553.05999999999995</v>
      </c>
      <c r="R9" s="510">
        <v>78064.899999999994</v>
      </c>
      <c r="S9" s="505">
        <v>622.78</v>
      </c>
      <c r="T9" s="384">
        <f t="shared" si="1"/>
        <v>1140125.8700000001</v>
      </c>
      <c r="U9" s="507">
        <v>-12569.58</v>
      </c>
      <c r="V9" s="510"/>
      <c r="W9" s="510">
        <v>-1764.13</v>
      </c>
      <c r="X9" s="515">
        <v>74</v>
      </c>
      <c r="Y9" s="518">
        <v>1.5</v>
      </c>
      <c r="Z9" s="519">
        <v>440</v>
      </c>
      <c r="AA9" s="588"/>
      <c r="AB9" s="524">
        <v>11825</v>
      </c>
      <c r="AC9" s="337">
        <f>AB9/VPI!R9</f>
        <v>1.0138747571942497</v>
      </c>
      <c r="AD9" s="339">
        <f t="shared" si="2"/>
        <v>263075</v>
      </c>
      <c r="AE9" s="337">
        <f>AD9/VPI!R9</f>
        <v>22.556033974535076</v>
      </c>
      <c r="AF9" s="524">
        <v>274900</v>
      </c>
      <c r="AG9" s="524">
        <v>22368</v>
      </c>
      <c r="AH9" s="524">
        <v>30886</v>
      </c>
      <c r="AI9" s="589"/>
      <c r="AJ9" s="519">
        <v>0</v>
      </c>
      <c r="AK9" s="337">
        <f>AJ9/VPI!R9</f>
        <v>0</v>
      </c>
      <c r="AL9" s="339">
        <f t="shared" si="3"/>
        <v>33852</v>
      </c>
      <c r="AM9" s="337">
        <f>AL9/VPI!R9</f>
        <v>2.9024683535340166</v>
      </c>
      <c r="AN9" s="519">
        <v>33852</v>
      </c>
      <c r="AO9" s="589"/>
      <c r="AP9" s="532">
        <v>9.2107042767791061</v>
      </c>
      <c r="AR9" s="591">
        <v>0</v>
      </c>
    </row>
    <row r="10" spans="1:47" x14ac:dyDescent="0.25">
      <c r="A10" s="586">
        <v>5405</v>
      </c>
      <c r="B10" s="587" t="s">
        <v>102</v>
      </c>
      <c r="C10" s="505">
        <v>2950143.31</v>
      </c>
      <c r="D10" s="505">
        <v>1392264.01</v>
      </c>
      <c r="E10" s="505"/>
      <c r="F10" s="506"/>
      <c r="G10" s="505">
        <v>118714.4</v>
      </c>
      <c r="H10" s="505">
        <v>7888.8</v>
      </c>
      <c r="I10" s="505">
        <v>84568.01</v>
      </c>
      <c r="J10" s="505">
        <v>155104.95000000001</v>
      </c>
      <c r="K10" s="505">
        <v>21060.9</v>
      </c>
      <c r="L10" s="505">
        <v>1237857.6499999999</v>
      </c>
      <c r="M10" s="384">
        <f t="shared" si="0"/>
        <v>5967602.0300000012</v>
      </c>
      <c r="N10" s="510">
        <v>3649.4</v>
      </c>
      <c r="O10" s="510">
        <v>95435.85</v>
      </c>
      <c r="P10" s="510">
        <v>683664.85</v>
      </c>
      <c r="Q10" s="510">
        <v>101969.08</v>
      </c>
      <c r="R10" s="510">
        <v>405427.85</v>
      </c>
      <c r="S10" s="505">
        <v>13118.98</v>
      </c>
      <c r="T10" s="384">
        <f t="shared" si="1"/>
        <v>7270868.040000001</v>
      </c>
      <c r="U10" s="507">
        <v>-276779.18</v>
      </c>
      <c r="V10" s="510"/>
      <c r="W10" s="510">
        <v>-6866.63</v>
      </c>
      <c r="X10" s="515">
        <v>73.5</v>
      </c>
      <c r="Y10" s="518">
        <v>1.5</v>
      </c>
      <c r="Z10" s="519">
        <v>1389</v>
      </c>
      <c r="AA10" s="588"/>
      <c r="AB10" s="524">
        <v>191054</v>
      </c>
      <c r="AC10" s="337">
        <f>AB10/VPI!R10</f>
        <v>2.6070109274498958</v>
      </c>
      <c r="AD10" s="339">
        <f t="shared" si="2"/>
        <v>999392</v>
      </c>
      <c r="AE10" s="337">
        <f>AD10/VPI!R10</f>
        <v>13.637117594010101</v>
      </c>
      <c r="AF10" s="524">
        <v>1190446</v>
      </c>
      <c r="AG10" s="524">
        <v>140836</v>
      </c>
      <c r="AH10" s="524">
        <v>59095</v>
      </c>
      <c r="AI10" s="589"/>
      <c r="AJ10" s="519">
        <v>0</v>
      </c>
      <c r="AK10" s="337">
        <f>AJ10/VPI!R10</f>
        <v>0</v>
      </c>
      <c r="AL10" s="339">
        <f t="shared" si="3"/>
        <v>12343</v>
      </c>
      <c r="AM10" s="337">
        <f>AL10/VPI!R10</f>
        <v>0.16842534507267087</v>
      </c>
      <c r="AN10" s="519">
        <v>12343</v>
      </c>
      <c r="AO10" s="589"/>
      <c r="AP10" s="532">
        <v>30.788844510903331</v>
      </c>
      <c r="AR10" s="591">
        <v>0</v>
      </c>
    </row>
    <row r="11" spans="1:47" x14ac:dyDescent="0.25">
      <c r="A11" s="586">
        <v>5406</v>
      </c>
      <c r="B11" s="587" t="s">
        <v>103</v>
      </c>
      <c r="C11" s="505">
        <v>1145090.74</v>
      </c>
      <c r="D11" s="505">
        <v>179611.47</v>
      </c>
      <c r="E11" s="505"/>
      <c r="F11" s="506"/>
      <c r="G11" s="505">
        <v>32208.25</v>
      </c>
      <c r="H11" s="505">
        <v>11480.95</v>
      </c>
      <c r="I11" s="505"/>
      <c r="J11" s="505">
        <v>43829.760000000002</v>
      </c>
      <c r="K11" s="505">
        <v>6049.5</v>
      </c>
      <c r="L11" s="505">
        <v>209774.8</v>
      </c>
      <c r="M11" s="384">
        <f t="shared" si="0"/>
        <v>1628045.47</v>
      </c>
      <c r="N11" s="510">
        <v>9333.2999999999993</v>
      </c>
      <c r="O11" s="510">
        <v>145168.4</v>
      </c>
      <c r="P11" s="510">
        <v>101511.5</v>
      </c>
      <c r="Q11" s="510">
        <v>16420.2</v>
      </c>
      <c r="R11" s="510">
        <v>82417.8</v>
      </c>
      <c r="S11" s="505">
        <v>4527.2</v>
      </c>
      <c r="T11" s="384">
        <f t="shared" si="1"/>
        <v>1987423.8699999999</v>
      </c>
      <c r="U11" s="507">
        <v>-19647.5</v>
      </c>
      <c r="V11" s="510"/>
      <c r="W11" s="510">
        <v>0</v>
      </c>
      <c r="X11" s="515">
        <v>71.5</v>
      </c>
      <c r="Y11" s="518">
        <v>1.3</v>
      </c>
      <c r="Z11" s="519">
        <v>979</v>
      </c>
      <c r="AA11" s="588"/>
      <c r="AB11" s="524">
        <v>85197</v>
      </c>
      <c r="AC11" s="337">
        <f>AB11/VPI!R11</f>
        <v>3.8531517200357142</v>
      </c>
      <c r="AD11" s="339">
        <f t="shared" si="2"/>
        <v>232391</v>
      </c>
      <c r="AE11" s="337">
        <f>AD11/VPI!R11</f>
        <v>10.510203192258174</v>
      </c>
      <c r="AF11" s="524">
        <v>317588</v>
      </c>
      <c r="AG11" s="524">
        <v>49221</v>
      </c>
      <c r="AH11" s="524">
        <v>35300</v>
      </c>
      <c r="AI11" s="589"/>
      <c r="AJ11" s="519">
        <v>0</v>
      </c>
      <c r="AK11" s="337">
        <f>AJ11/VPI!R11</f>
        <v>0</v>
      </c>
      <c r="AL11" s="339">
        <f t="shared" si="3"/>
        <v>24861</v>
      </c>
      <c r="AM11" s="337">
        <f>AL11/VPI!R11</f>
        <v>1.1243729815816037</v>
      </c>
      <c r="AN11" s="519">
        <v>24861</v>
      </c>
      <c r="AO11" s="589"/>
      <c r="AP11" s="532">
        <v>2.6445384240781182</v>
      </c>
      <c r="AR11" s="591">
        <v>0</v>
      </c>
    </row>
    <row r="12" spans="1:47" x14ac:dyDescent="0.25">
      <c r="A12" s="586">
        <v>5407</v>
      </c>
      <c r="B12" s="587" t="s">
        <v>104</v>
      </c>
      <c r="C12" s="505">
        <v>4358008.05</v>
      </c>
      <c r="D12" s="505">
        <v>1099725.3999999999</v>
      </c>
      <c r="E12" s="505"/>
      <c r="F12" s="506"/>
      <c r="G12" s="505">
        <v>-18129.7</v>
      </c>
      <c r="H12" s="505">
        <v>106052.05</v>
      </c>
      <c r="I12" s="505">
        <v>79181.899999999994</v>
      </c>
      <c r="J12" s="505">
        <v>524661.31999999995</v>
      </c>
      <c r="K12" s="505">
        <v>66066.5</v>
      </c>
      <c r="L12" s="505">
        <v>1288236.7</v>
      </c>
      <c r="M12" s="384">
        <f t="shared" si="0"/>
        <v>7503802.2199999997</v>
      </c>
      <c r="N12" s="510">
        <v>86933</v>
      </c>
      <c r="O12" s="510">
        <v>42968.2</v>
      </c>
      <c r="P12" s="510">
        <v>498300.4</v>
      </c>
      <c r="Q12" s="510">
        <v>7665.81</v>
      </c>
      <c r="R12" s="510">
        <v>357891.85</v>
      </c>
      <c r="S12" s="505">
        <v>9110.77</v>
      </c>
      <c r="T12" s="384">
        <f t="shared" si="1"/>
        <v>8506672.25</v>
      </c>
      <c r="U12" s="507">
        <v>-79299.17</v>
      </c>
      <c r="V12" s="510"/>
      <c r="W12" s="510">
        <v>-4314.79</v>
      </c>
      <c r="X12" s="515">
        <v>78</v>
      </c>
      <c r="Y12" s="518">
        <v>1.5</v>
      </c>
      <c r="Z12" s="519">
        <v>3743</v>
      </c>
      <c r="AA12" s="588"/>
      <c r="AB12" s="524">
        <v>328237</v>
      </c>
      <c r="AC12" s="337">
        <f>AB12/VPI!R12</f>
        <v>3.6535560183512517</v>
      </c>
      <c r="AD12" s="339">
        <f t="shared" si="2"/>
        <v>1823824</v>
      </c>
      <c r="AE12" s="337">
        <f>AD12/VPI!R12</f>
        <v>20.300706963606945</v>
      </c>
      <c r="AF12" s="524">
        <v>2152061</v>
      </c>
      <c r="AG12" s="524">
        <v>463297</v>
      </c>
      <c r="AH12" s="524">
        <v>228246</v>
      </c>
      <c r="AI12" s="589"/>
      <c r="AJ12" s="519">
        <v>0</v>
      </c>
      <c r="AK12" s="337">
        <f>AJ12/VPI!R12</f>
        <v>0</v>
      </c>
      <c r="AL12" s="339">
        <f t="shared" si="3"/>
        <v>85561</v>
      </c>
      <c r="AM12" s="337">
        <f>AL12/VPI!R12</f>
        <v>0.95236645011425114</v>
      </c>
      <c r="AN12" s="519">
        <v>85561</v>
      </c>
      <c r="AO12" s="589"/>
      <c r="AP12" s="532">
        <v>-3.4641732228358393</v>
      </c>
      <c r="AR12" s="591">
        <v>0</v>
      </c>
    </row>
    <row r="13" spans="1:47" x14ac:dyDescent="0.25">
      <c r="A13" s="586">
        <v>5408</v>
      </c>
      <c r="B13" s="587" t="s">
        <v>105</v>
      </c>
      <c r="C13" s="505">
        <v>2195150.2400000002</v>
      </c>
      <c r="D13" s="505">
        <v>299927.24</v>
      </c>
      <c r="E13" s="505"/>
      <c r="F13" s="506"/>
      <c r="G13" s="505">
        <v>209194.4</v>
      </c>
      <c r="H13" s="505">
        <v>9099.15</v>
      </c>
      <c r="I13" s="505"/>
      <c r="J13" s="505">
        <v>45375.89</v>
      </c>
      <c r="K13" s="505">
        <v>13990.5</v>
      </c>
      <c r="L13" s="505">
        <v>531149.05000000005</v>
      </c>
      <c r="M13" s="384">
        <f t="shared" si="0"/>
        <v>3303886.4700000007</v>
      </c>
      <c r="N13" s="510">
        <v>164080.04999999999</v>
      </c>
      <c r="O13" s="510">
        <v>7562.2</v>
      </c>
      <c r="P13" s="510">
        <v>98069.1</v>
      </c>
      <c r="Q13" s="510">
        <v>10805.47</v>
      </c>
      <c r="R13" s="510">
        <v>51863.85</v>
      </c>
      <c r="S13" s="505">
        <v>22620.2</v>
      </c>
      <c r="T13" s="384">
        <f t="shared" si="1"/>
        <v>3658887.3400000012</v>
      </c>
      <c r="U13" s="507">
        <v>-12136.44</v>
      </c>
      <c r="V13" s="510"/>
      <c r="W13" s="510">
        <v>-315.11</v>
      </c>
      <c r="X13" s="515">
        <v>75</v>
      </c>
      <c r="Y13" s="518">
        <v>1.5</v>
      </c>
      <c r="Z13" s="519">
        <v>1169</v>
      </c>
      <c r="AA13" s="588"/>
      <c r="AB13" s="524">
        <v>104739</v>
      </c>
      <c r="AC13" s="337">
        <f>AB13/VPI!R13</f>
        <v>2.4955199765536098</v>
      </c>
      <c r="AD13" s="339">
        <f t="shared" si="2"/>
        <v>259793</v>
      </c>
      <c r="AE13" s="337">
        <f>AD13/VPI!R13</f>
        <v>6.1898492564258962</v>
      </c>
      <c r="AF13" s="524">
        <v>364532</v>
      </c>
      <c r="AG13" s="524">
        <v>89347</v>
      </c>
      <c r="AH13" s="524">
        <v>30061</v>
      </c>
      <c r="AI13" s="589"/>
      <c r="AJ13" s="519">
        <v>0</v>
      </c>
      <c r="AK13" s="337">
        <f>AJ13/VPI!R13</f>
        <v>0</v>
      </c>
      <c r="AL13" s="339">
        <f t="shared" si="3"/>
        <v>65637</v>
      </c>
      <c r="AM13" s="337">
        <f>AL13/VPI!R13</f>
        <v>1.5638725279127097</v>
      </c>
      <c r="AN13" s="519">
        <v>65637</v>
      </c>
      <c r="AO13" s="589"/>
      <c r="AP13" s="532">
        <v>18.662762680547161</v>
      </c>
      <c r="AR13" s="591">
        <v>0</v>
      </c>
    </row>
    <row r="14" spans="1:47" x14ac:dyDescent="0.25">
      <c r="A14" s="586">
        <v>5409</v>
      </c>
      <c r="B14" s="587" t="s">
        <v>106</v>
      </c>
      <c r="C14" s="505">
        <v>14213777.109999999</v>
      </c>
      <c r="D14" s="505">
        <v>6463406.6299999999</v>
      </c>
      <c r="E14" s="505"/>
      <c r="F14" s="506"/>
      <c r="G14" s="505">
        <v>564073.30000000005</v>
      </c>
      <c r="H14" s="505">
        <v>99268.85</v>
      </c>
      <c r="I14" s="505">
        <v>2125016.7000000002</v>
      </c>
      <c r="J14" s="505">
        <v>750992.26</v>
      </c>
      <c r="K14" s="505">
        <v>32427.4</v>
      </c>
      <c r="L14" s="505">
        <v>4359080.3499999996</v>
      </c>
      <c r="M14" s="384">
        <f t="shared" si="0"/>
        <v>28608042.600000001</v>
      </c>
      <c r="N14" s="510">
        <v>96927.8</v>
      </c>
      <c r="O14" s="510">
        <v>1110.04999999999</v>
      </c>
      <c r="P14" s="510">
        <v>2773112.95</v>
      </c>
      <c r="Q14" s="510">
        <v>154857.75</v>
      </c>
      <c r="R14" s="510">
        <v>2058006.65</v>
      </c>
      <c r="S14" s="505">
        <v>68737.39</v>
      </c>
      <c r="T14" s="384">
        <f t="shared" si="1"/>
        <v>33760795.190000005</v>
      </c>
      <c r="U14" s="507">
        <v>-188383.66</v>
      </c>
      <c r="V14" s="510"/>
      <c r="W14" s="510">
        <v>-34093.519999999997</v>
      </c>
      <c r="X14" s="515">
        <v>68</v>
      </c>
      <c r="Y14" s="518">
        <v>1.3</v>
      </c>
      <c r="Z14" s="519">
        <v>7967</v>
      </c>
      <c r="AA14" s="588"/>
      <c r="AB14" s="524">
        <v>985958</v>
      </c>
      <c r="AC14" s="337">
        <f>AB14/VPI!R14</f>
        <v>2.4288886069362032</v>
      </c>
      <c r="AD14" s="339">
        <f t="shared" si="2"/>
        <v>3899273</v>
      </c>
      <c r="AE14" s="337">
        <f>AD14/VPI!R14</f>
        <v>9.6057841865819338</v>
      </c>
      <c r="AF14" s="524">
        <v>4885231</v>
      </c>
      <c r="AG14" s="524">
        <f>1006846.2+810484</f>
        <v>1817330.2</v>
      </c>
      <c r="AH14" s="524">
        <v>312040</v>
      </c>
      <c r="AI14" s="589"/>
      <c r="AJ14" s="519">
        <v>49898</v>
      </c>
      <c r="AK14" s="337">
        <f>AJ14/VPI!R14</f>
        <v>0.12292276517752548</v>
      </c>
      <c r="AL14" s="339">
        <f t="shared" si="3"/>
        <v>1287717</v>
      </c>
      <c r="AM14" s="337">
        <f>AL14/VPI!R14</f>
        <v>3.1722661109885686</v>
      </c>
      <c r="AN14" s="519">
        <v>1337615</v>
      </c>
      <c r="AO14" s="589"/>
      <c r="AP14" s="532">
        <v>24.943680204152038</v>
      </c>
      <c r="AR14" s="591">
        <v>1</v>
      </c>
    </row>
    <row r="15" spans="1:47" x14ac:dyDescent="0.25">
      <c r="A15" s="586">
        <v>5410</v>
      </c>
      <c r="B15" s="587" t="s">
        <v>116</v>
      </c>
      <c r="C15" s="505">
        <v>1823445.22</v>
      </c>
      <c r="D15" s="505">
        <v>693296.76</v>
      </c>
      <c r="E15" s="505"/>
      <c r="F15" s="506"/>
      <c r="G15" s="505">
        <v>33514.699999999997</v>
      </c>
      <c r="H15" s="505">
        <v>3813.1</v>
      </c>
      <c r="I15" s="505"/>
      <c r="J15" s="505">
        <v>69775.56</v>
      </c>
      <c r="K15" s="505">
        <v>11208</v>
      </c>
      <c r="L15" s="505">
        <v>597560.5</v>
      </c>
      <c r="M15" s="384">
        <f t="shared" si="0"/>
        <v>3232613.8400000003</v>
      </c>
      <c r="N15" s="510">
        <v>10917.9</v>
      </c>
      <c r="O15" s="510">
        <v>8213.4</v>
      </c>
      <c r="P15" s="510">
        <v>226879.85</v>
      </c>
      <c r="Q15" s="510">
        <v>19210.84</v>
      </c>
      <c r="R15" s="510">
        <v>275733.95</v>
      </c>
      <c r="S15" s="505">
        <v>3868.01</v>
      </c>
      <c r="T15" s="384">
        <f t="shared" si="1"/>
        <v>3777437.79</v>
      </c>
      <c r="U15" s="507">
        <v>-98476.02</v>
      </c>
      <c r="V15" s="510"/>
      <c r="W15" s="510">
        <v>-234.34</v>
      </c>
      <c r="X15" s="515">
        <v>77</v>
      </c>
      <c r="Y15" s="518">
        <v>1.5</v>
      </c>
      <c r="Z15" s="519">
        <v>1178</v>
      </c>
      <c r="AA15" s="588"/>
      <c r="AB15" s="524">
        <v>286960</v>
      </c>
      <c r="AC15" s="337">
        <f>AB15/VPI!R15</f>
        <v>7.4704015287403545</v>
      </c>
      <c r="AD15" s="339">
        <f t="shared" si="2"/>
        <v>1004868</v>
      </c>
      <c r="AE15" s="337">
        <f>AD15/VPI!R15</f>
        <v>26.159630064755586</v>
      </c>
      <c r="AF15" s="524">
        <v>1291828</v>
      </c>
      <c r="AG15" s="524">
        <v>118417</v>
      </c>
      <c r="AH15" s="524">
        <v>53834</v>
      </c>
      <c r="AI15" s="589"/>
      <c r="AJ15" s="519">
        <v>0</v>
      </c>
      <c r="AK15" s="337">
        <f>AJ15/VPI!R15</f>
        <v>0</v>
      </c>
      <c r="AL15" s="339">
        <f t="shared" si="3"/>
        <v>90384</v>
      </c>
      <c r="AM15" s="337">
        <f>AL15/VPI!R15</f>
        <v>2.3529578051772657</v>
      </c>
      <c r="AN15" s="519">
        <v>90384</v>
      </c>
      <c r="AO15" s="589"/>
      <c r="AP15" s="532">
        <v>16.63742128345277</v>
      </c>
      <c r="AR15" s="591">
        <v>0</v>
      </c>
    </row>
    <row r="16" spans="1:47" x14ac:dyDescent="0.25">
      <c r="A16" s="586">
        <v>5411</v>
      </c>
      <c r="B16" s="587" t="s">
        <v>117</v>
      </c>
      <c r="C16" s="505">
        <v>3145328.99</v>
      </c>
      <c r="D16" s="505">
        <v>1368979.96</v>
      </c>
      <c r="E16" s="505"/>
      <c r="F16" s="506"/>
      <c r="G16" s="505">
        <v>107878.5</v>
      </c>
      <c r="H16" s="505">
        <v>22875.4</v>
      </c>
      <c r="I16" s="505">
        <v>97632</v>
      </c>
      <c r="J16" s="505">
        <v>192715.39</v>
      </c>
      <c r="K16" s="505">
        <v>6193.95</v>
      </c>
      <c r="L16" s="505">
        <v>1308316.05</v>
      </c>
      <c r="M16" s="384">
        <f t="shared" si="0"/>
        <v>6249920.2400000002</v>
      </c>
      <c r="N16" s="510">
        <v>2113.6</v>
      </c>
      <c r="O16" s="510">
        <v>33515.599999999999</v>
      </c>
      <c r="P16" s="510">
        <v>675993.5</v>
      </c>
      <c r="Q16" s="510">
        <v>-9292.84</v>
      </c>
      <c r="R16" s="510">
        <v>491117.8</v>
      </c>
      <c r="S16" s="505">
        <v>13549.09</v>
      </c>
      <c r="T16" s="384">
        <f t="shared" si="1"/>
        <v>7456916.9899999993</v>
      </c>
      <c r="U16" s="507">
        <v>-28821.02</v>
      </c>
      <c r="V16" s="510"/>
      <c r="W16" s="510">
        <v>-1094.0899999999999</v>
      </c>
      <c r="X16" s="515">
        <v>76</v>
      </c>
      <c r="Y16" s="518">
        <v>1.5</v>
      </c>
      <c r="Z16" s="519">
        <v>1425</v>
      </c>
      <c r="AA16" s="588"/>
      <c r="AB16" s="524">
        <v>251733</v>
      </c>
      <c r="AC16" s="337">
        <f>AB16/VPI!R16</f>
        <v>3.305320019163339</v>
      </c>
      <c r="AD16" s="339">
        <f t="shared" si="2"/>
        <v>1047058</v>
      </c>
      <c r="AE16" s="337">
        <f>AD16/VPI!R16</f>
        <v>13.748144933819274</v>
      </c>
      <c r="AF16" s="524">
        <v>1298791</v>
      </c>
      <c r="AG16" s="524">
        <v>147868</v>
      </c>
      <c r="AH16" s="524">
        <v>64696</v>
      </c>
      <c r="AI16" s="589"/>
      <c r="AJ16" s="519"/>
      <c r="AK16" s="337">
        <f>AJ16/VPI!R16</f>
        <v>0</v>
      </c>
      <c r="AL16" s="339">
        <f t="shared" si="3"/>
        <v>95299</v>
      </c>
      <c r="AM16" s="337">
        <f>AL16/VPI!R16</f>
        <v>1.2513007532037796</v>
      </c>
      <c r="AN16" s="519">
        <v>95299</v>
      </c>
      <c r="AO16" s="589"/>
      <c r="AP16" s="532">
        <v>29.745810710423967</v>
      </c>
      <c r="AR16" s="591">
        <v>0</v>
      </c>
    </row>
    <row r="17" spans="1:44" x14ac:dyDescent="0.25">
      <c r="A17" s="586">
        <v>5412</v>
      </c>
      <c r="B17" s="587" t="s">
        <v>118</v>
      </c>
      <c r="C17" s="505">
        <v>1354929.8</v>
      </c>
      <c r="D17" s="505">
        <v>131174.24</v>
      </c>
      <c r="E17" s="505"/>
      <c r="F17" s="506"/>
      <c r="G17" s="505">
        <v>298253.40000000002</v>
      </c>
      <c r="H17" s="505">
        <v>9101.35</v>
      </c>
      <c r="I17" s="505">
        <v>37.049999999999301</v>
      </c>
      <c r="J17" s="505">
        <v>109928.61</v>
      </c>
      <c r="K17" s="505">
        <v>49964.95</v>
      </c>
      <c r="L17" s="505">
        <v>287918.09999999998</v>
      </c>
      <c r="M17" s="384">
        <f t="shared" si="0"/>
        <v>2241307.5</v>
      </c>
      <c r="N17" s="510">
        <v>916742.45</v>
      </c>
      <c r="O17" s="510"/>
      <c r="P17" s="510">
        <v>136161.15</v>
      </c>
      <c r="Q17" s="510">
        <v>19765.23</v>
      </c>
      <c r="R17" s="510">
        <v>167139.70000000001</v>
      </c>
      <c r="S17" s="505">
        <v>31848.97</v>
      </c>
      <c r="T17" s="384">
        <f t="shared" si="1"/>
        <v>3512965.0000000005</v>
      </c>
      <c r="U17" s="507">
        <v>-68314.45</v>
      </c>
      <c r="V17" s="510"/>
      <c r="W17" s="510">
        <v>-288.02999999999997</v>
      </c>
      <c r="X17" s="515">
        <v>69</v>
      </c>
      <c r="Y17" s="518">
        <v>1</v>
      </c>
      <c r="Z17" s="519">
        <v>929</v>
      </c>
      <c r="AA17" s="588"/>
      <c r="AB17" s="524">
        <v>57316</v>
      </c>
      <c r="AC17" s="337">
        <f>AB17/VPI!R17</f>
        <v>1.7779840071696182</v>
      </c>
      <c r="AD17" s="339">
        <f t="shared" si="2"/>
        <v>181339</v>
      </c>
      <c r="AE17" s="337">
        <f>AD17/VPI!R17</f>
        <v>5.6252676717867853</v>
      </c>
      <c r="AF17" s="524">
        <v>238655</v>
      </c>
      <c r="AG17" s="524">
        <v>67488</v>
      </c>
      <c r="AH17" s="524">
        <v>22357</v>
      </c>
      <c r="AI17" s="589"/>
      <c r="AJ17" s="519">
        <v>0</v>
      </c>
      <c r="AK17" s="337">
        <f>AJ17/VPI!R17</f>
        <v>0</v>
      </c>
      <c r="AL17" s="339">
        <f t="shared" si="3"/>
        <v>41740</v>
      </c>
      <c r="AM17" s="337">
        <f>AL17/VPI!R17</f>
        <v>1.2948051584070741</v>
      </c>
      <c r="AN17" s="519">
        <v>41740</v>
      </c>
      <c r="AO17" s="589"/>
      <c r="AP17" s="532">
        <v>19.161138475972958</v>
      </c>
      <c r="AR17" s="591">
        <v>0</v>
      </c>
    </row>
    <row r="18" spans="1:44" x14ac:dyDescent="0.25">
      <c r="A18" s="586">
        <v>5413</v>
      </c>
      <c r="B18" s="587" t="s">
        <v>119</v>
      </c>
      <c r="C18" s="505">
        <v>1862633.55</v>
      </c>
      <c r="D18" s="505">
        <v>252779.5</v>
      </c>
      <c r="E18" s="505"/>
      <c r="F18" s="506"/>
      <c r="G18" s="505">
        <v>386867.3</v>
      </c>
      <c r="H18" s="505">
        <v>2647.4</v>
      </c>
      <c r="I18" s="505"/>
      <c r="J18" s="505">
        <v>68420.490000000005</v>
      </c>
      <c r="K18" s="505">
        <v>35152.550000000003</v>
      </c>
      <c r="L18" s="505">
        <v>357353.05</v>
      </c>
      <c r="M18" s="384">
        <f t="shared" si="0"/>
        <v>2965853.8399999994</v>
      </c>
      <c r="N18" s="510">
        <v>281315.65000000002</v>
      </c>
      <c r="O18" s="510">
        <v>247581.1</v>
      </c>
      <c r="P18" s="510">
        <v>306784.2</v>
      </c>
      <c r="Q18" s="510">
        <v>42942.97</v>
      </c>
      <c r="R18" s="510">
        <v>86863.8</v>
      </c>
      <c r="S18" s="505">
        <v>40362.620000000003</v>
      </c>
      <c r="T18" s="384">
        <f t="shared" si="1"/>
        <v>3971704.1799999997</v>
      </c>
      <c r="U18" s="507">
        <v>-92620.88</v>
      </c>
      <c r="V18" s="510"/>
      <c r="W18" s="510">
        <v>-751.62</v>
      </c>
      <c r="X18" s="515">
        <v>68</v>
      </c>
      <c r="Y18" s="518">
        <v>1.2</v>
      </c>
      <c r="Z18" s="519">
        <v>1940</v>
      </c>
      <c r="AA18" s="588"/>
      <c r="AB18" s="524">
        <v>46478</v>
      </c>
      <c r="AC18" s="337">
        <f>AB18/VPI!R18</f>
        <v>1.0912483076630706</v>
      </c>
      <c r="AD18" s="339">
        <f t="shared" si="2"/>
        <v>133936</v>
      </c>
      <c r="AE18" s="337">
        <f>AD18/VPI!R18</f>
        <v>3.1446584047325836</v>
      </c>
      <c r="AF18" s="524">
        <v>180414</v>
      </c>
      <c r="AG18" s="524">
        <v>238718</v>
      </c>
      <c r="AH18" s="524">
        <v>50731</v>
      </c>
      <c r="AI18" s="589"/>
      <c r="AJ18" s="519">
        <v>490</v>
      </c>
      <c r="AK18" s="337">
        <f>AJ18/VPI!R18</f>
        <v>1.1504618760594358E-2</v>
      </c>
      <c r="AL18" s="339">
        <f t="shared" si="3"/>
        <v>15864</v>
      </c>
      <c r="AM18" s="337">
        <f>AL18/VPI!R18</f>
        <v>0.37246790207769165</v>
      </c>
      <c r="AN18" s="519">
        <v>16354</v>
      </c>
      <c r="AO18" s="589"/>
      <c r="AP18" s="532">
        <v>1.6759077723913745</v>
      </c>
      <c r="AR18" s="591">
        <v>0</v>
      </c>
    </row>
    <row r="19" spans="1:44" x14ac:dyDescent="0.25">
      <c r="A19" s="586">
        <v>5414</v>
      </c>
      <c r="B19" s="587" t="s">
        <v>120</v>
      </c>
      <c r="C19" s="505">
        <v>7187601.9100000001</v>
      </c>
      <c r="D19" s="505">
        <v>1250872.48</v>
      </c>
      <c r="E19" s="505"/>
      <c r="F19" s="506"/>
      <c r="G19" s="505">
        <v>854112.45</v>
      </c>
      <c r="H19" s="505">
        <v>50021.7</v>
      </c>
      <c r="I19" s="505">
        <v>72086.37</v>
      </c>
      <c r="J19" s="505">
        <v>361921.52</v>
      </c>
      <c r="K19" s="505">
        <v>194451.05</v>
      </c>
      <c r="L19" s="505">
        <v>1299724.3500000001</v>
      </c>
      <c r="M19" s="384">
        <f t="shared" si="0"/>
        <v>11270791.829999998</v>
      </c>
      <c r="N19" s="510">
        <v>1394258.5</v>
      </c>
      <c r="O19" s="510">
        <v>212518.9</v>
      </c>
      <c r="P19" s="510">
        <v>574545</v>
      </c>
      <c r="Q19" s="510">
        <v>134096.78</v>
      </c>
      <c r="R19" s="510">
        <v>495243.45</v>
      </c>
      <c r="S19" s="505">
        <v>93688.94</v>
      </c>
      <c r="T19" s="384">
        <f t="shared" si="1"/>
        <v>14175143.399999997</v>
      </c>
      <c r="U19" s="507">
        <v>-300306.08</v>
      </c>
      <c r="V19" s="510"/>
      <c r="W19" s="510">
        <v>-2070.16</v>
      </c>
      <c r="X19" s="515">
        <v>67.5</v>
      </c>
      <c r="Y19" s="518">
        <v>1</v>
      </c>
      <c r="Z19" s="519">
        <v>5979</v>
      </c>
      <c r="AA19" s="588"/>
      <c r="AB19" s="524">
        <v>505669</v>
      </c>
      <c r="AC19" s="337">
        <f>AB19/VPI!R19</f>
        <v>3.0485926927299958</v>
      </c>
      <c r="AD19" s="339">
        <f t="shared" si="2"/>
        <v>1698405</v>
      </c>
      <c r="AE19" s="337">
        <f>AD19/VPI!R19</f>
        <v>10.239395874170828</v>
      </c>
      <c r="AF19" s="524">
        <v>2204074</v>
      </c>
      <c r="AG19" s="524">
        <v>1538836</v>
      </c>
      <c r="AH19" s="524">
        <v>138044</v>
      </c>
      <c r="AI19" s="589"/>
      <c r="AJ19" s="519">
        <v>69009</v>
      </c>
      <c r="AK19" s="337">
        <f>AJ19/VPI!R19</f>
        <v>0.41604356433280321</v>
      </c>
      <c r="AL19" s="339">
        <f t="shared" si="3"/>
        <v>73056</v>
      </c>
      <c r="AM19" s="337">
        <f>AL19/VPI!R19</f>
        <v>0.44044224138731575</v>
      </c>
      <c r="AN19" s="519">
        <v>142065</v>
      </c>
      <c r="AO19" s="589"/>
      <c r="AP19" s="532">
        <v>9.125915539564863</v>
      </c>
      <c r="AR19" s="591">
        <v>0</v>
      </c>
    </row>
    <row r="20" spans="1:44" x14ac:dyDescent="0.25">
      <c r="A20" s="586">
        <v>5415</v>
      </c>
      <c r="B20" s="587" t="s">
        <v>66</v>
      </c>
      <c r="C20" s="505">
        <v>1616560.87</v>
      </c>
      <c r="D20" s="505">
        <v>375090.91</v>
      </c>
      <c r="E20" s="505"/>
      <c r="F20" s="506"/>
      <c r="G20" s="505">
        <v>152423.29999999999</v>
      </c>
      <c r="H20" s="505">
        <v>2862.75</v>
      </c>
      <c r="I20" s="505">
        <v>461.9</v>
      </c>
      <c r="J20" s="505">
        <v>39610.120000000003</v>
      </c>
      <c r="K20" s="505">
        <v>3493.65</v>
      </c>
      <c r="L20" s="505">
        <v>355505.15</v>
      </c>
      <c r="M20" s="384">
        <f t="shared" si="0"/>
        <v>2546008.65</v>
      </c>
      <c r="N20" s="510">
        <v>34023.050000000003</v>
      </c>
      <c r="O20" s="510">
        <v>-822.1</v>
      </c>
      <c r="P20" s="510">
        <v>215767.45</v>
      </c>
      <c r="Q20" s="510">
        <v>5102.67</v>
      </c>
      <c r="R20" s="510">
        <v>154098.6</v>
      </c>
      <c r="S20" s="505">
        <v>16091.18</v>
      </c>
      <c r="T20" s="384">
        <f t="shared" si="1"/>
        <v>2970269.5</v>
      </c>
      <c r="U20" s="507">
        <v>-38678.86</v>
      </c>
      <c r="V20" s="510"/>
      <c r="W20" s="510">
        <v>-2359.54</v>
      </c>
      <c r="X20" s="515">
        <v>71.5</v>
      </c>
      <c r="Y20" s="518">
        <v>1.5</v>
      </c>
      <c r="Z20" s="519">
        <v>1088</v>
      </c>
      <c r="AA20" s="588"/>
      <c r="AB20" s="524">
        <v>35439</v>
      </c>
      <c r="AC20" s="337">
        <f>AB20/VPI!R20</f>
        <v>1.0524268342357499</v>
      </c>
      <c r="AD20" s="339">
        <f t="shared" si="2"/>
        <v>308486</v>
      </c>
      <c r="AE20" s="337">
        <f>AD20/VPI!R20</f>
        <v>9.1610639235319713</v>
      </c>
      <c r="AF20" s="524">
        <v>343925</v>
      </c>
      <c r="AG20" s="524">
        <v>190974</v>
      </c>
      <c r="AH20" s="524">
        <v>205665</v>
      </c>
      <c r="AI20" s="589"/>
      <c r="AJ20" s="519">
        <v>0</v>
      </c>
      <c r="AK20" s="337">
        <f>AJ20/VPI!R20</f>
        <v>0</v>
      </c>
      <c r="AL20" s="339">
        <f t="shared" si="3"/>
        <v>47758</v>
      </c>
      <c r="AM20" s="337">
        <f>AL20/VPI!R20</f>
        <v>1.4182623874666596</v>
      </c>
      <c r="AN20" s="519">
        <v>47758</v>
      </c>
      <c r="AO20" s="589"/>
      <c r="AP20" s="532">
        <v>20.121173634428207</v>
      </c>
      <c r="AR20" s="591">
        <v>0</v>
      </c>
    </row>
    <row r="21" spans="1:44" x14ac:dyDescent="0.25">
      <c r="A21" s="586">
        <v>5422</v>
      </c>
      <c r="B21" s="587" t="s">
        <v>67</v>
      </c>
      <c r="C21" s="505">
        <v>10695811.07</v>
      </c>
      <c r="D21" s="505">
        <v>1808817.53</v>
      </c>
      <c r="E21" s="505"/>
      <c r="F21" s="506"/>
      <c r="G21" s="505">
        <v>4060143.34</v>
      </c>
      <c r="H21" s="505">
        <v>2271901.15</v>
      </c>
      <c r="I21" s="505">
        <v>193473.85</v>
      </c>
      <c r="J21" s="505">
        <v>318744.96999999997</v>
      </c>
      <c r="K21" s="505">
        <v>-164194.9</v>
      </c>
      <c r="L21" s="505">
        <v>1146763.26</v>
      </c>
      <c r="M21" s="384">
        <f t="shared" si="0"/>
        <v>20331460.270000003</v>
      </c>
      <c r="N21" s="510">
        <v>752200.65</v>
      </c>
      <c r="O21" s="510">
        <v>23610.400000000001</v>
      </c>
      <c r="P21" s="510">
        <v>1665237.9</v>
      </c>
      <c r="Q21" s="510">
        <v>11207.14</v>
      </c>
      <c r="R21" s="510">
        <v>894114.85</v>
      </c>
      <c r="S21" s="505">
        <v>656144.42000000004</v>
      </c>
      <c r="T21" s="384">
        <f t="shared" si="1"/>
        <v>24333975.630000003</v>
      </c>
      <c r="U21" s="507">
        <v>-166116.07</v>
      </c>
      <c r="V21" s="510">
        <v>-1249.2</v>
      </c>
      <c r="W21" s="510">
        <v>-4446.88</v>
      </c>
      <c r="X21" s="515">
        <v>70</v>
      </c>
      <c r="Y21" s="518">
        <v>1</v>
      </c>
      <c r="Z21" s="519">
        <v>3792</v>
      </c>
      <c r="AA21" s="588"/>
      <c r="AB21" s="524">
        <v>239094</v>
      </c>
      <c r="AC21" s="337">
        <f>AB21/VPI!R21</f>
        <v>0.80360014678792169</v>
      </c>
      <c r="AD21" s="339">
        <f t="shared" si="2"/>
        <v>1243041</v>
      </c>
      <c r="AE21" s="337">
        <f>AD21/VPI!R21</f>
        <v>4.1778879020945947</v>
      </c>
      <c r="AF21" s="524">
        <v>1482135</v>
      </c>
      <c r="AG21" s="524">
        <v>193480</v>
      </c>
      <c r="AH21" s="524">
        <v>410556</v>
      </c>
      <c r="AI21" s="589"/>
      <c r="AJ21" s="519">
        <v>0</v>
      </c>
      <c r="AK21" s="337">
        <f>AJ21/VPI!R21</f>
        <v>0</v>
      </c>
      <c r="AL21" s="339">
        <f t="shared" si="3"/>
        <v>45133</v>
      </c>
      <c r="AM21" s="337">
        <f>AL21/VPI!R21</f>
        <v>0.15169299700109273</v>
      </c>
      <c r="AN21" s="519">
        <v>45133</v>
      </c>
      <c r="AO21" s="589"/>
      <c r="AP21" s="532">
        <v>36.468066841771545</v>
      </c>
      <c r="AR21" s="591">
        <v>0</v>
      </c>
    </row>
    <row r="22" spans="1:44" x14ac:dyDescent="0.25">
      <c r="A22" s="586">
        <v>5423</v>
      </c>
      <c r="B22" s="587" t="s">
        <v>68</v>
      </c>
      <c r="C22" s="505">
        <v>1008834.6</v>
      </c>
      <c r="D22" s="505">
        <v>134407.63</v>
      </c>
      <c r="E22" s="505"/>
      <c r="F22" s="506"/>
      <c r="G22" s="505">
        <v>27801.35</v>
      </c>
      <c r="H22" s="505">
        <v>-669.65</v>
      </c>
      <c r="I22" s="505"/>
      <c r="J22" s="505">
        <v>32880.81</v>
      </c>
      <c r="K22" s="505">
        <v>2460.35</v>
      </c>
      <c r="L22" s="505">
        <v>41766.550000000003</v>
      </c>
      <c r="M22" s="384">
        <f t="shared" si="0"/>
        <v>1247481.6400000004</v>
      </c>
      <c r="N22" s="510">
        <v>31754.2</v>
      </c>
      <c r="O22" s="510">
        <v>19850.7</v>
      </c>
      <c r="P22" s="510">
        <v>75481.3</v>
      </c>
      <c r="Q22" s="510">
        <v>16.34</v>
      </c>
      <c r="R22" s="510">
        <v>112773.2</v>
      </c>
      <c r="S22" s="505">
        <v>2811.46</v>
      </c>
      <c r="T22" s="384">
        <f t="shared" si="1"/>
        <v>1490168.8400000003</v>
      </c>
      <c r="U22" s="507">
        <v>-25849.9</v>
      </c>
      <c r="V22" s="510"/>
      <c r="W22" s="510">
        <v>-0.02</v>
      </c>
      <c r="X22" s="515">
        <v>73</v>
      </c>
      <c r="Y22" s="518">
        <v>0.5</v>
      </c>
      <c r="Z22" s="519">
        <v>590</v>
      </c>
      <c r="AA22" s="588"/>
      <c r="AB22" s="524">
        <v>39073</v>
      </c>
      <c r="AC22" s="337">
        <f>AB22/VPI!R22</f>
        <v>2.2526222351432073</v>
      </c>
      <c r="AD22" s="339">
        <f t="shared" si="2"/>
        <v>65103</v>
      </c>
      <c r="AE22" s="337">
        <f>AD22/VPI!R22</f>
        <v>3.7532942280994095</v>
      </c>
      <c r="AF22" s="524">
        <v>104176</v>
      </c>
      <c r="AG22" s="524">
        <v>55651</v>
      </c>
      <c r="AH22" s="524">
        <v>72383</v>
      </c>
      <c r="AI22" s="589"/>
      <c r="AJ22" s="519">
        <v>0</v>
      </c>
      <c r="AK22" s="337">
        <f>AJ22/VPI!R22</f>
        <v>0</v>
      </c>
      <c r="AL22" s="339">
        <f t="shared" si="3"/>
        <v>22991</v>
      </c>
      <c r="AM22" s="337">
        <f>AL22/VPI!R22</f>
        <v>1.3254686819076467</v>
      </c>
      <c r="AN22" s="519">
        <v>22991</v>
      </c>
      <c r="AO22" s="589"/>
      <c r="AP22" s="532">
        <v>13.01793065419586</v>
      </c>
      <c r="AR22" s="591">
        <v>0</v>
      </c>
    </row>
    <row r="23" spans="1:44" x14ac:dyDescent="0.25">
      <c r="A23" s="586">
        <v>5424</v>
      </c>
      <c r="B23" s="587" t="s">
        <v>69</v>
      </c>
      <c r="C23" s="505">
        <v>597470.13</v>
      </c>
      <c r="D23" s="505">
        <v>77744.039999999994</v>
      </c>
      <c r="E23" s="505"/>
      <c r="F23" s="506"/>
      <c r="G23" s="505">
        <v>1174.0999999999999</v>
      </c>
      <c r="H23" s="505">
        <v>586.20000000000005</v>
      </c>
      <c r="I23" s="505">
        <v>38264.25</v>
      </c>
      <c r="J23" s="505">
        <v>-1499</v>
      </c>
      <c r="K23" s="505">
        <v>766</v>
      </c>
      <c r="L23" s="505">
        <v>53487.5</v>
      </c>
      <c r="M23" s="384">
        <f t="shared" si="0"/>
        <v>767993.22</v>
      </c>
      <c r="N23" s="510">
        <v>0</v>
      </c>
      <c r="O23" s="510">
        <v>646.20000000000005</v>
      </c>
      <c r="P23" s="510">
        <v>37391.75</v>
      </c>
      <c r="Q23" s="510">
        <v>6810</v>
      </c>
      <c r="R23" s="510">
        <v>39056.9</v>
      </c>
      <c r="S23" s="505">
        <v>182.41</v>
      </c>
      <c r="T23" s="384">
        <f t="shared" si="1"/>
        <v>852080.48</v>
      </c>
      <c r="U23" s="507">
        <v>-111.48</v>
      </c>
      <c r="V23" s="510"/>
      <c r="W23" s="510">
        <v>0</v>
      </c>
      <c r="X23" s="515">
        <v>75.5</v>
      </c>
      <c r="Y23" s="518">
        <v>1</v>
      </c>
      <c r="Z23" s="519">
        <v>303</v>
      </c>
      <c r="AA23" s="588"/>
      <c r="AB23" s="524">
        <v>29894</v>
      </c>
      <c r="AC23" s="337">
        <f>AB23/VPI!R23</f>
        <v>2.9127271828593067</v>
      </c>
      <c r="AD23" s="339">
        <f t="shared" si="2"/>
        <v>56702</v>
      </c>
      <c r="AE23" s="337">
        <f>AD23/VPI!R23</f>
        <v>5.5247694093292434</v>
      </c>
      <c r="AF23" s="524">
        <v>86596</v>
      </c>
      <c r="AG23" s="524">
        <v>12298</v>
      </c>
      <c r="AH23" s="524">
        <v>42137</v>
      </c>
      <c r="AI23" s="589"/>
      <c r="AJ23" s="519">
        <v>48523</v>
      </c>
      <c r="AK23" s="337">
        <f>AJ23/VPI!R23</f>
        <v>4.7278470962026535</v>
      </c>
      <c r="AL23" s="339">
        <f t="shared" si="3"/>
        <v>15328</v>
      </c>
      <c r="AM23" s="337">
        <f>AL23/VPI!R23</f>
        <v>1.4934863938873169</v>
      </c>
      <c r="AN23" s="519">
        <v>63851</v>
      </c>
      <c r="AO23" s="589"/>
      <c r="AP23" s="532">
        <v>9.4636049238019151</v>
      </c>
      <c r="AR23" s="591">
        <v>0</v>
      </c>
    </row>
    <row r="24" spans="1:44" x14ac:dyDescent="0.25">
      <c r="A24" s="586">
        <v>5425</v>
      </c>
      <c r="B24" s="587" t="s">
        <v>70</v>
      </c>
      <c r="C24" s="505">
        <v>2160647.2999999998</v>
      </c>
      <c r="D24" s="505">
        <v>271953.24</v>
      </c>
      <c r="E24" s="505"/>
      <c r="F24" s="506"/>
      <c r="G24" s="505">
        <v>78711.899999999994</v>
      </c>
      <c r="H24" s="505">
        <v>28924.400000000001</v>
      </c>
      <c r="I24" s="505"/>
      <c r="J24" s="505">
        <v>173871.27</v>
      </c>
      <c r="K24" s="505">
        <v>19403.400000000001</v>
      </c>
      <c r="L24" s="505">
        <v>127659.55</v>
      </c>
      <c r="M24" s="384">
        <f t="shared" si="0"/>
        <v>2861171.0599999996</v>
      </c>
      <c r="N24" s="510">
        <v>82325.3</v>
      </c>
      <c r="O24" s="510">
        <v>6176.3</v>
      </c>
      <c r="P24" s="510">
        <v>92313.600000000006</v>
      </c>
      <c r="Q24" s="510">
        <v>6954.73</v>
      </c>
      <c r="R24" s="510">
        <v>88751.2</v>
      </c>
      <c r="S24" s="505">
        <v>11153.58</v>
      </c>
      <c r="T24" s="384">
        <f t="shared" si="1"/>
        <v>3148845.7699999996</v>
      </c>
      <c r="U24" s="507">
        <v>-56647.21</v>
      </c>
      <c r="V24" s="510"/>
      <c r="W24" s="510">
        <v>-61.34</v>
      </c>
      <c r="X24" s="515">
        <v>69</v>
      </c>
      <c r="Y24" s="518">
        <v>0.57999999999999996</v>
      </c>
      <c r="Z24" s="519">
        <v>1683</v>
      </c>
      <c r="AA24" s="588"/>
      <c r="AB24" s="524">
        <v>159708</v>
      </c>
      <c r="AC24" s="337">
        <f>AB24/VPI!R24</f>
        <v>3.7803771157523012</v>
      </c>
      <c r="AD24" s="339">
        <f t="shared" si="2"/>
        <v>397446</v>
      </c>
      <c r="AE24" s="337">
        <f>AD24/VPI!R24</f>
        <v>9.4077676957152363</v>
      </c>
      <c r="AF24" s="524">
        <v>557154</v>
      </c>
      <c r="AG24" s="524">
        <v>160378</v>
      </c>
      <c r="AH24" s="524">
        <v>232482</v>
      </c>
      <c r="AI24" s="589"/>
      <c r="AJ24" s="519">
        <v>0</v>
      </c>
      <c r="AK24" s="337">
        <f>AJ24/VPI!R24</f>
        <v>0</v>
      </c>
      <c r="AL24" s="339">
        <f t="shared" si="3"/>
        <v>150905</v>
      </c>
      <c r="AM24" s="337">
        <f>AL24/VPI!R24</f>
        <v>3.5720052135935645</v>
      </c>
      <c r="AN24" s="519">
        <v>150905</v>
      </c>
      <c r="AO24" s="589"/>
      <c r="AP24" s="532">
        <v>9.2056380737059982</v>
      </c>
      <c r="AR24" s="591">
        <v>0</v>
      </c>
    </row>
    <row r="25" spans="1:44" x14ac:dyDescent="0.25">
      <c r="A25" s="586">
        <v>5426</v>
      </c>
      <c r="B25" s="587" t="s">
        <v>65</v>
      </c>
      <c r="C25" s="505">
        <v>1920880.01</v>
      </c>
      <c r="D25" s="505">
        <v>681331.04</v>
      </c>
      <c r="E25" s="505"/>
      <c r="F25" s="506"/>
      <c r="G25" s="505">
        <v>21884.6</v>
      </c>
      <c r="H25" s="505">
        <v>3082.55</v>
      </c>
      <c r="I25" s="505">
        <v>1066523.6599999999</v>
      </c>
      <c r="J25" s="505">
        <v>35545.279999999999</v>
      </c>
      <c r="K25" s="505">
        <v>2681.7</v>
      </c>
      <c r="L25" s="505">
        <v>329767.59999999998</v>
      </c>
      <c r="M25" s="384">
        <f t="shared" si="0"/>
        <v>4061696.4399999995</v>
      </c>
      <c r="N25" s="510">
        <v>14437.65</v>
      </c>
      <c r="O25" s="510">
        <v>116610.8</v>
      </c>
      <c r="P25" s="510">
        <v>220528</v>
      </c>
      <c r="Q25" s="510"/>
      <c r="R25" s="510">
        <v>372045.25</v>
      </c>
      <c r="S25" s="505">
        <v>2587.16</v>
      </c>
      <c r="T25" s="384">
        <f t="shared" si="1"/>
        <v>4787905.2999999989</v>
      </c>
      <c r="U25" s="507">
        <v>-10082.870000000001</v>
      </c>
      <c r="V25" s="510"/>
      <c r="W25" s="510">
        <v>-3803.7</v>
      </c>
      <c r="X25" s="515">
        <v>64.5</v>
      </c>
      <c r="Y25" s="518">
        <v>1.2</v>
      </c>
      <c r="Z25" s="519">
        <v>506</v>
      </c>
      <c r="AA25" s="588"/>
      <c r="AB25" s="524"/>
      <c r="AC25" s="337">
        <f>AB25/VPI!R25</f>
        <v>0</v>
      </c>
      <c r="AD25" s="339">
        <f t="shared" si="2"/>
        <v>0</v>
      </c>
      <c r="AE25" s="337">
        <f>AD25/VPI!R25</f>
        <v>0</v>
      </c>
      <c r="AF25" s="524"/>
      <c r="AG25" s="524"/>
      <c r="AH25" s="524"/>
      <c r="AI25" s="589"/>
      <c r="AJ25" s="519"/>
      <c r="AK25" s="337">
        <f>AJ25/VPI!R25</f>
        <v>0</v>
      </c>
      <c r="AL25" s="339">
        <f t="shared" si="3"/>
        <v>0</v>
      </c>
      <c r="AM25" s="337">
        <f>AL25/VPI!R25</f>
        <v>0</v>
      </c>
      <c r="AN25" s="519"/>
      <c r="AO25" s="589"/>
      <c r="AP25" s="532">
        <v>43.60737895001273</v>
      </c>
      <c r="AR25" s="591">
        <v>0</v>
      </c>
    </row>
    <row r="26" spans="1:44" x14ac:dyDescent="0.25">
      <c r="A26" s="586">
        <v>5427</v>
      </c>
      <c r="B26" s="587" t="s">
        <v>290</v>
      </c>
      <c r="C26" s="505">
        <v>3354687.6</v>
      </c>
      <c r="D26" s="505">
        <v>1037828.45</v>
      </c>
      <c r="E26" s="505"/>
      <c r="F26" s="506"/>
      <c r="G26" s="505">
        <v>41587.800000000003</v>
      </c>
      <c r="H26" s="505">
        <v>10488.35</v>
      </c>
      <c r="I26" s="505">
        <v>744144.35</v>
      </c>
      <c r="J26" s="505">
        <v>13997.29</v>
      </c>
      <c r="K26" s="505">
        <v>5658.95</v>
      </c>
      <c r="L26" s="505">
        <v>480025.3</v>
      </c>
      <c r="M26" s="384">
        <f t="shared" si="0"/>
        <v>5688418.0899999989</v>
      </c>
      <c r="N26" s="510">
        <v>11648.35</v>
      </c>
      <c r="O26" s="510">
        <v>0</v>
      </c>
      <c r="P26" s="510">
        <v>216118.15</v>
      </c>
      <c r="Q26" s="510"/>
      <c r="R26" s="510">
        <v>314012.7</v>
      </c>
      <c r="S26" s="505">
        <v>5396.28</v>
      </c>
      <c r="T26" s="384">
        <f t="shared" si="1"/>
        <v>6235593.5699999994</v>
      </c>
      <c r="U26" s="507">
        <v>-19.190000000000001</v>
      </c>
      <c r="V26" s="510"/>
      <c r="W26" s="510">
        <v>-20051.25</v>
      </c>
      <c r="X26" s="515">
        <v>64</v>
      </c>
      <c r="Y26" s="518">
        <v>1.3</v>
      </c>
      <c r="Z26" s="519">
        <v>887</v>
      </c>
      <c r="AA26" s="588"/>
      <c r="AB26" s="524">
        <v>3684</v>
      </c>
      <c r="AC26" s="337">
        <f>AB26/VPI!R26</f>
        <v>4.2383124173626531E-2</v>
      </c>
      <c r="AD26" s="339">
        <f t="shared" si="2"/>
        <v>175981</v>
      </c>
      <c r="AE26" s="337">
        <f>AD26/VPI!R26</f>
        <v>2.0245995046685588</v>
      </c>
      <c r="AF26" s="524">
        <v>179665</v>
      </c>
      <c r="AG26" s="524">
        <v>45696</v>
      </c>
      <c r="AH26" s="524">
        <v>94371</v>
      </c>
      <c r="AI26" s="589"/>
      <c r="AJ26" s="519">
        <v>0</v>
      </c>
      <c r="AK26" s="337">
        <f>AJ26/VPI!R26</f>
        <v>0</v>
      </c>
      <c r="AL26" s="339">
        <f t="shared" si="3"/>
        <v>4213</v>
      </c>
      <c r="AM26" s="337">
        <f>AL26/VPI!R26</f>
        <v>4.8469083100838375E-2</v>
      </c>
      <c r="AN26" s="519">
        <v>4213</v>
      </c>
      <c r="AO26" s="589"/>
      <c r="AP26" s="532">
        <v>41.861543949471631</v>
      </c>
      <c r="AR26" s="591">
        <v>0</v>
      </c>
    </row>
    <row r="27" spans="1:44" x14ac:dyDescent="0.25">
      <c r="A27" s="586">
        <v>5428</v>
      </c>
      <c r="B27" s="587" t="s">
        <v>291</v>
      </c>
      <c r="C27" s="505">
        <v>4215495.59</v>
      </c>
      <c r="D27" s="505">
        <v>526680.52</v>
      </c>
      <c r="E27" s="505"/>
      <c r="F27" s="506"/>
      <c r="G27" s="505">
        <v>28864</v>
      </c>
      <c r="H27" s="505">
        <v>14804.4</v>
      </c>
      <c r="I27" s="505"/>
      <c r="J27" s="505">
        <v>161676.75</v>
      </c>
      <c r="K27" s="505">
        <v>23087.1</v>
      </c>
      <c r="L27" s="505">
        <v>513280.05</v>
      </c>
      <c r="M27" s="384">
        <f t="shared" si="0"/>
        <v>5483888.4099999992</v>
      </c>
      <c r="N27" s="510">
        <v>239748.8</v>
      </c>
      <c r="O27" s="510">
        <v>196758.9</v>
      </c>
      <c r="P27" s="510">
        <v>271683.20000000001</v>
      </c>
      <c r="Q27" s="510">
        <v>26663.84</v>
      </c>
      <c r="R27" s="510">
        <v>283286.55</v>
      </c>
      <c r="S27" s="505">
        <v>4525.04</v>
      </c>
      <c r="T27" s="384">
        <f t="shared" si="1"/>
        <v>6506554.7399999993</v>
      </c>
      <c r="U27" s="507">
        <v>-113343</v>
      </c>
      <c r="V27" s="510"/>
      <c r="W27" s="510">
        <v>-85.84</v>
      </c>
      <c r="X27" s="515">
        <v>74.5</v>
      </c>
      <c r="Y27" s="518">
        <v>1.2</v>
      </c>
      <c r="Z27" s="519">
        <v>2414</v>
      </c>
      <c r="AA27" s="588"/>
      <c r="AB27" s="524">
        <v>246503</v>
      </c>
      <c r="AC27" s="337">
        <f>AB27/VPI!R27</f>
        <v>3.4544999846245421</v>
      </c>
      <c r="AD27" s="339">
        <f t="shared" si="2"/>
        <v>636837</v>
      </c>
      <c r="AE27" s="337">
        <f>AD27/VPI!R27</f>
        <v>8.9246516541719156</v>
      </c>
      <c r="AF27" s="524">
        <v>883340</v>
      </c>
      <c r="AG27" s="524">
        <v>122914</v>
      </c>
      <c r="AH27" s="524">
        <v>281369</v>
      </c>
      <c r="AI27" s="589"/>
      <c r="AJ27" s="519">
        <v>0</v>
      </c>
      <c r="AK27" s="337">
        <f>AJ27/VPI!R27</f>
        <v>0</v>
      </c>
      <c r="AL27" s="339">
        <f t="shared" si="3"/>
        <v>24699</v>
      </c>
      <c r="AM27" s="337">
        <f>AL27/VPI!R27</f>
        <v>0.34613248163406357</v>
      </c>
      <c r="AN27" s="519">
        <v>24699</v>
      </c>
      <c r="AO27" s="589"/>
      <c r="AP27" s="532">
        <v>8.9593954446447146</v>
      </c>
      <c r="AR27" s="591">
        <v>0</v>
      </c>
    </row>
    <row r="28" spans="1:44" x14ac:dyDescent="0.25">
      <c r="A28" s="586">
        <v>5429</v>
      </c>
      <c r="B28" s="587" t="s">
        <v>302</v>
      </c>
      <c r="C28" s="505">
        <v>1064813.8600000001</v>
      </c>
      <c r="D28" s="505">
        <v>143506.15</v>
      </c>
      <c r="E28" s="505"/>
      <c r="F28" s="506"/>
      <c r="G28" s="505">
        <v>33397.75</v>
      </c>
      <c r="H28" s="505">
        <v>4100.8</v>
      </c>
      <c r="I28" s="505"/>
      <c r="J28" s="505">
        <v>-731.21</v>
      </c>
      <c r="K28" s="505">
        <v>752.55</v>
      </c>
      <c r="L28" s="505">
        <v>111739.05</v>
      </c>
      <c r="M28" s="384">
        <f t="shared" si="0"/>
        <v>1357578.9500000002</v>
      </c>
      <c r="N28" s="510">
        <v>15883.15</v>
      </c>
      <c r="O28" s="510">
        <v>0</v>
      </c>
      <c r="P28" s="510">
        <v>32387</v>
      </c>
      <c r="Q28" s="510">
        <v>0</v>
      </c>
      <c r="R28" s="510">
        <v>79501.100000000006</v>
      </c>
      <c r="S28" s="505">
        <v>3885.71</v>
      </c>
      <c r="T28" s="384">
        <f t="shared" si="1"/>
        <v>1489235.9100000001</v>
      </c>
      <c r="U28" s="507">
        <v>-32963.19</v>
      </c>
      <c r="V28" s="510"/>
      <c r="W28" s="510">
        <v>0</v>
      </c>
      <c r="X28" s="515">
        <v>77.5</v>
      </c>
      <c r="Y28" s="518">
        <v>1</v>
      </c>
      <c r="Z28" s="519">
        <v>541</v>
      </c>
      <c r="AA28" s="588"/>
      <c r="AB28" s="524">
        <v>0</v>
      </c>
      <c r="AC28" s="337">
        <f>AB28/VPI!R28</f>
        <v>0</v>
      </c>
      <c r="AD28" s="339">
        <f t="shared" si="2"/>
        <v>142921</v>
      </c>
      <c r="AE28" s="337">
        <f>AD28/VPI!R28</f>
        <v>8.337497360842212</v>
      </c>
      <c r="AF28" s="524">
        <v>142921</v>
      </c>
      <c r="AG28" s="524">
        <v>26609</v>
      </c>
      <c r="AH28" s="524">
        <v>49483</v>
      </c>
      <c r="AI28" s="589"/>
      <c r="AJ28" s="519">
        <v>0</v>
      </c>
      <c r="AK28" s="337">
        <f>AJ28/VPI!R28</f>
        <v>0</v>
      </c>
      <c r="AL28" s="339">
        <f t="shared" si="3"/>
        <v>24891</v>
      </c>
      <c r="AM28" s="337">
        <f>AL28/VPI!R28</f>
        <v>1.4520514606581503</v>
      </c>
      <c r="AN28" s="519">
        <v>24891</v>
      </c>
      <c r="AO28" s="589"/>
      <c r="AP28" s="532">
        <v>20.158043431095685</v>
      </c>
      <c r="AR28" s="591">
        <v>0</v>
      </c>
    </row>
    <row r="29" spans="1:44" x14ac:dyDescent="0.25">
      <c r="A29" s="586">
        <v>5430</v>
      </c>
      <c r="B29" s="587" t="s">
        <v>303</v>
      </c>
      <c r="C29" s="505">
        <v>1095883.99</v>
      </c>
      <c r="D29" s="505">
        <v>131569.31</v>
      </c>
      <c r="E29" s="505"/>
      <c r="F29" s="506"/>
      <c r="G29" s="505">
        <v>-783.5</v>
      </c>
      <c r="H29" s="505">
        <v>1960.55</v>
      </c>
      <c r="I29" s="505"/>
      <c r="J29" s="505">
        <v>7017.17</v>
      </c>
      <c r="K29" s="505">
        <v>-1384.5</v>
      </c>
      <c r="L29" s="505">
        <v>95036.5</v>
      </c>
      <c r="M29" s="384">
        <f t="shared" si="0"/>
        <v>1329299.52</v>
      </c>
      <c r="N29" s="510">
        <v>11206.4</v>
      </c>
      <c r="O29" s="510"/>
      <c r="P29" s="510">
        <v>49907</v>
      </c>
      <c r="Q29" s="510"/>
      <c r="R29" s="510">
        <v>64624.45</v>
      </c>
      <c r="S29" s="505">
        <v>121.97</v>
      </c>
      <c r="T29" s="384">
        <f t="shared" si="1"/>
        <v>1455159.3399999999</v>
      </c>
      <c r="U29" s="507">
        <v>-2398.1999999999998</v>
      </c>
      <c r="V29" s="510"/>
      <c r="W29" s="510">
        <v>-91.38</v>
      </c>
      <c r="X29" s="515">
        <v>77.5</v>
      </c>
      <c r="Y29" s="518">
        <v>1</v>
      </c>
      <c r="Z29" s="519">
        <v>499</v>
      </c>
      <c r="AA29" s="588"/>
      <c r="AB29" s="524">
        <v>45818</v>
      </c>
      <c r="AC29" s="337">
        <f>AB29/VPI!R29</f>
        <v>2.6760189978399112</v>
      </c>
      <c r="AD29" s="339">
        <f t="shared" si="2"/>
        <v>100803</v>
      </c>
      <c r="AE29" s="337">
        <f>AD29/VPI!R29</f>
        <v>5.8874403736360508</v>
      </c>
      <c r="AF29" s="524">
        <v>146621</v>
      </c>
      <c r="AG29" s="524">
        <v>24818</v>
      </c>
      <c r="AH29" s="524">
        <v>45041</v>
      </c>
      <c r="AI29" s="589"/>
      <c r="AJ29" s="519">
        <v>0</v>
      </c>
      <c r="AK29" s="337">
        <f>AJ29/VPI!R29</f>
        <v>0</v>
      </c>
      <c r="AL29" s="339">
        <f t="shared" si="3"/>
        <v>-16342</v>
      </c>
      <c r="AM29" s="337">
        <f>AL29/VPI!R29</f>
        <v>-0.95446118256361756</v>
      </c>
      <c r="AN29" s="519">
        <v>-16342</v>
      </c>
      <c r="AO29" s="589"/>
      <c r="AP29" s="532">
        <v>16.151497022509005</v>
      </c>
      <c r="AR29" s="591">
        <v>0</v>
      </c>
    </row>
    <row r="30" spans="1:44" x14ac:dyDescent="0.25">
      <c r="A30" s="586">
        <v>5431</v>
      </c>
      <c r="B30" s="587" t="s">
        <v>304</v>
      </c>
      <c r="C30" s="505">
        <v>531387.01</v>
      </c>
      <c r="D30" s="505">
        <v>79637.86</v>
      </c>
      <c r="E30" s="505"/>
      <c r="F30" s="506"/>
      <c r="G30" s="505">
        <v>-448.55</v>
      </c>
      <c r="H30" s="505">
        <v>327.7</v>
      </c>
      <c r="I30" s="505"/>
      <c r="J30" s="505">
        <v>38582.04</v>
      </c>
      <c r="K30" s="505">
        <v>799.5</v>
      </c>
      <c r="L30" s="505">
        <v>54478.400000000001</v>
      </c>
      <c r="M30" s="384">
        <f t="shared" si="0"/>
        <v>704763.96</v>
      </c>
      <c r="N30" s="510">
        <v>266.60000000000002</v>
      </c>
      <c r="O30" s="510"/>
      <c r="P30" s="510">
        <v>45650</v>
      </c>
      <c r="Q30" s="510"/>
      <c r="R30" s="510">
        <v>12397.6</v>
      </c>
      <c r="S30" s="505">
        <v>0</v>
      </c>
      <c r="T30" s="384">
        <f t="shared" si="1"/>
        <v>763078.15999999992</v>
      </c>
      <c r="U30" s="507">
        <v>-762.06</v>
      </c>
      <c r="V30" s="510"/>
      <c r="W30" s="510">
        <v>-2835.6</v>
      </c>
      <c r="X30" s="515">
        <v>74</v>
      </c>
      <c r="Y30" s="518">
        <v>1</v>
      </c>
      <c r="Z30" s="519">
        <v>324</v>
      </c>
      <c r="AA30" s="588"/>
      <c r="AB30" s="524">
        <v>0</v>
      </c>
      <c r="AC30" s="337">
        <f>AB30/VPI!R30</f>
        <v>0</v>
      </c>
      <c r="AD30" s="339">
        <f t="shared" si="2"/>
        <v>65836</v>
      </c>
      <c r="AE30" s="337">
        <f>AD30/VPI!R30</f>
        <v>6.948228972213867</v>
      </c>
      <c r="AF30" s="524">
        <v>65836</v>
      </c>
      <c r="AG30" s="524">
        <v>12524</v>
      </c>
      <c r="AH30" s="524">
        <v>36060</v>
      </c>
      <c r="AI30" s="589"/>
      <c r="AJ30" s="519">
        <v>0</v>
      </c>
      <c r="AK30" s="337">
        <f>AJ30/VPI!R30</f>
        <v>0</v>
      </c>
      <c r="AL30" s="339">
        <f t="shared" si="3"/>
        <v>47143</v>
      </c>
      <c r="AM30" s="337">
        <f>AL30/VPI!R30</f>
        <v>4.975398846179572</v>
      </c>
      <c r="AN30" s="519">
        <v>47143</v>
      </c>
      <c r="AO30" s="589"/>
      <c r="AP30" s="532">
        <v>17.954235818633091</v>
      </c>
      <c r="AR30" s="591">
        <v>0</v>
      </c>
    </row>
    <row r="31" spans="1:44" x14ac:dyDescent="0.25">
      <c r="A31" s="586">
        <v>5434</v>
      </c>
      <c r="B31" s="587" t="s">
        <v>305</v>
      </c>
      <c r="C31" s="505">
        <v>2578778.56</v>
      </c>
      <c r="D31" s="505">
        <v>0</v>
      </c>
      <c r="E31" s="505">
        <v>0</v>
      </c>
      <c r="F31" s="506">
        <v>0</v>
      </c>
      <c r="G31" s="505">
        <v>-1253.8</v>
      </c>
      <c r="H31" s="505">
        <v>3483.9</v>
      </c>
      <c r="I31" s="505">
        <v>0</v>
      </c>
      <c r="J31" s="505">
        <v>36211.4</v>
      </c>
      <c r="K31" s="505">
        <v>4647.2</v>
      </c>
      <c r="L31" s="505">
        <v>295266.05</v>
      </c>
      <c r="M31" s="384">
        <f t="shared" si="0"/>
        <v>2917133.31</v>
      </c>
      <c r="N31" s="510">
        <v>22601.85</v>
      </c>
      <c r="O31" s="510">
        <v>139609.20000000001</v>
      </c>
      <c r="P31" s="510">
        <v>322846.05</v>
      </c>
      <c r="Q31" s="510">
        <v>862.13</v>
      </c>
      <c r="R31" s="510">
        <v>203304.95</v>
      </c>
      <c r="S31" s="505">
        <v>231.09</v>
      </c>
      <c r="T31" s="384">
        <f t="shared" si="1"/>
        <v>3606588.58</v>
      </c>
      <c r="U31" s="507">
        <v>-22698.36</v>
      </c>
      <c r="V31" s="510"/>
      <c r="W31" s="510">
        <v>-3042.95</v>
      </c>
      <c r="X31" s="515">
        <v>69.5</v>
      </c>
      <c r="Y31" s="518">
        <v>1.2</v>
      </c>
      <c r="Z31" s="519">
        <v>1069</v>
      </c>
      <c r="AA31" s="588"/>
      <c r="AB31" s="524">
        <v>12088</v>
      </c>
      <c r="AC31" s="337">
        <f>AB31/VPI!R31</f>
        <v>0.29547484254342882</v>
      </c>
      <c r="AD31" s="339">
        <f t="shared" si="2"/>
        <v>345104</v>
      </c>
      <c r="AE31" s="337">
        <f>AD31/VPI!R31</f>
        <v>8.4356014279539586</v>
      </c>
      <c r="AF31" s="524">
        <v>357192</v>
      </c>
      <c r="AG31" s="524">
        <v>54856</v>
      </c>
      <c r="AH31" s="524">
        <v>124429</v>
      </c>
      <c r="AI31" s="589"/>
      <c r="AJ31" s="519">
        <v>0</v>
      </c>
      <c r="AK31" s="337">
        <f>AJ31/VPI!R31</f>
        <v>0</v>
      </c>
      <c r="AL31" s="339">
        <f t="shared" si="3"/>
        <v>7747</v>
      </c>
      <c r="AM31" s="337">
        <f>AL31/VPI!R31</f>
        <v>0.18936495741098139</v>
      </c>
      <c r="AN31" s="519">
        <v>7747</v>
      </c>
      <c r="AO31" s="589"/>
      <c r="AP31" s="532">
        <v>24.940108815966411</v>
      </c>
      <c r="AR31" s="591">
        <v>0</v>
      </c>
    </row>
    <row r="32" spans="1:44" x14ac:dyDescent="0.25">
      <c r="A32" s="586">
        <v>5435</v>
      </c>
      <c r="B32" s="587" t="s">
        <v>292</v>
      </c>
      <c r="C32" s="505">
        <v>1407184.07</v>
      </c>
      <c r="D32" s="505">
        <v>187388.19</v>
      </c>
      <c r="E32" s="505"/>
      <c r="F32" s="506"/>
      <c r="G32" s="505">
        <v>17704.150000000001</v>
      </c>
      <c r="H32" s="505">
        <v>232.35</v>
      </c>
      <c r="I32" s="505"/>
      <c r="J32" s="505">
        <v>15499.66</v>
      </c>
      <c r="K32" s="505"/>
      <c r="L32" s="505">
        <v>133937</v>
      </c>
      <c r="M32" s="384">
        <f t="shared" si="0"/>
        <v>1761945.42</v>
      </c>
      <c r="N32" s="510">
        <v>13664.5</v>
      </c>
      <c r="O32" s="510">
        <v>0</v>
      </c>
      <c r="P32" s="510">
        <v>289235.40000000002</v>
      </c>
      <c r="Q32" s="510">
        <v>309.2</v>
      </c>
      <c r="R32" s="510">
        <v>64137.7</v>
      </c>
      <c r="S32" s="505">
        <v>1858.63</v>
      </c>
      <c r="T32" s="384">
        <f t="shared" si="1"/>
        <v>2131150.8499999996</v>
      </c>
      <c r="U32" s="507">
        <v>-7116.05</v>
      </c>
      <c r="V32" s="510"/>
      <c r="W32" s="510">
        <v>-114.89</v>
      </c>
      <c r="X32" s="515">
        <v>69</v>
      </c>
      <c r="Y32" s="518">
        <v>1</v>
      </c>
      <c r="Z32" s="519">
        <v>697</v>
      </c>
      <c r="AA32" s="588"/>
      <c r="AB32" s="524">
        <v>15000</v>
      </c>
      <c r="AC32" s="337">
        <f>AB32/VPI!R32</f>
        <v>0.58911174306263014</v>
      </c>
      <c r="AD32" s="339">
        <f t="shared" si="2"/>
        <v>133686</v>
      </c>
      <c r="AE32" s="337">
        <f>AD32/VPI!R32</f>
        <v>5.2503994988713849</v>
      </c>
      <c r="AF32" s="524">
        <v>148686</v>
      </c>
      <c r="AG32" s="524">
        <v>26461</v>
      </c>
      <c r="AH32" s="524">
        <v>73661</v>
      </c>
      <c r="AI32" s="589"/>
      <c r="AJ32" s="519">
        <v>0</v>
      </c>
      <c r="AK32" s="337">
        <f>AJ32/VPI!R32</f>
        <v>0</v>
      </c>
      <c r="AL32" s="339">
        <f t="shared" si="3"/>
        <v>14756</v>
      </c>
      <c r="AM32" s="337">
        <f>AL32/VPI!R32</f>
        <v>0.57952885870881132</v>
      </c>
      <c r="AN32" s="519">
        <v>14756</v>
      </c>
      <c r="AO32" s="589"/>
      <c r="AP32" s="532">
        <v>23.864061164624179</v>
      </c>
      <c r="AR32" s="591">
        <v>0</v>
      </c>
    </row>
    <row r="33" spans="1:44" x14ac:dyDescent="0.25">
      <c r="A33" s="586">
        <v>5436</v>
      </c>
      <c r="B33" s="587" t="s">
        <v>293</v>
      </c>
      <c r="C33" s="505">
        <v>1157078.4099999999</v>
      </c>
      <c r="D33" s="505">
        <v>71073.45</v>
      </c>
      <c r="E33" s="505"/>
      <c r="F33" s="506"/>
      <c r="G33" s="505">
        <v>6882.65</v>
      </c>
      <c r="H33" s="505">
        <v>-653.85</v>
      </c>
      <c r="I33" s="505"/>
      <c r="J33" s="505">
        <v>-7518.66</v>
      </c>
      <c r="K33" s="505"/>
      <c r="L33" s="505">
        <v>73775.600000000006</v>
      </c>
      <c r="M33" s="384">
        <f t="shared" si="0"/>
        <v>1300637.5999999999</v>
      </c>
      <c r="N33" s="510">
        <v>851</v>
      </c>
      <c r="O33" s="510"/>
      <c r="P33" s="510">
        <v>9986.9500000000007</v>
      </c>
      <c r="Q33" s="510"/>
      <c r="R33" s="510">
        <v>33519.65</v>
      </c>
      <c r="S33" s="505">
        <v>645.44000000000005</v>
      </c>
      <c r="T33" s="384">
        <f t="shared" si="1"/>
        <v>1345640.6399999997</v>
      </c>
      <c r="U33" s="507">
        <v>-21037.62</v>
      </c>
      <c r="V33" s="510"/>
      <c r="W33" s="510">
        <v>-1090.45</v>
      </c>
      <c r="X33" s="515">
        <v>79</v>
      </c>
      <c r="Y33" s="518">
        <v>0.8</v>
      </c>
      <c r="Z33" s="519">
        <v>456</v>
      </c>
      <c r="AA33" s="588"/>
      <c r="AB33" s="524">
        <v>0</v>
      </c>
      <c r="AC33" s="337">
        <f>AB33/VPI!R33</f>
        <v>0</v>
      </c>
      <c r="AD33" s="339">
        <f t="shared" si="2"/>
        <v>47304</v>
      </c>
      <c r="AE33" s="337">
        <f>AD33/VPI!R33</f>
        <v>2.8799470209156395</v>
      </c>
      <c r="AF33" s="524">
        <v>47304</v>
      </c>
      <c r="AG33" s="524">
        <v>15624</v>
      </c>
      <c r="AH33" s="524">
        <v>42524</v>
      </c>
      <c r="AI33" s="589"/>
      <c r="AJ33" s="519">
        <v>0</v>
      </c>
      <c r="AK33" s="337">
        <f>AJ33/VPI!R33</f>
        <v>0</v>
      </c>
      <c r="AL33" s="339">
        <f t="shared" si="3"/>
        <v>10360</v>
      </c>
      <c r="AM33" s="337">
        <f>AL33/VPI!R33</f>
        <v>0.6307342114131157</v>
      </c>
      <c r="AN33" s="519">
        <v>10360</v>
      </c>
      <c r="AO33" s="589"/>
      <c r="AP33" s="532">
        <v>20.570165204417506</v>
      </c>
      <c r="AR33" s="591">
        <v>0</v>
      </c>
    </row>
    <row r="34" spans="1:44" x14ac:dyDescent="0.25">
      <c r="A34" s="586">
        <v>5437</v>
      </c>
      <c r="B34" s="587" t="s">
        <v>294</v>
      </c>
      <c r="C34" s="505">
        <v>845950.34</v>
      </c>
      <c r="D34" s="505">
        <v>86086.080000000002</v>
      </c>
      <c r="E34" s="505"/>
      <c r="F34" s="506"/>
      <c r="G34" s="505">
        <v>-4928.3999999999996</v>
      </c>
      <c r="H34" s="505">
        <v>2441.8000000000002</v>
      </c>
      <c r="I34" s="505"/>
      <c r="J34" s="505">
        <v>14839.82</v>
      </c>
      <c r="K34" s="505">
        <v>3141.85</v>
      </c>
      <c r="L34" s="505">
        <v>76554.8</v>
      </c>
      <c r="M34" s="384">
        <f t="shared" si="0"/>
        <v>1024086.2899999999</v>
      </c>
      <c r="N34" s="510">
        <v>0</v>
      </c>
      <c r="O34" s="510"/>
      <c r="P34" s="510">
        <v>81643.7</v>
      </c>
      <c r="Q34" s="510">
        <v>4123.3</v>
      </c>
      <c r="R34" s="510">
        <v>87754.9</v>
      </c>
      <c r="S34" s="505">
        <v>0</v>
      </c>
      <c r="T34" s="384">
        <f t="shared" si="1"/>
        <v>1197608.19</v>
      </c>
      <c r="U34" s="507">
        <v>-57716.35</v>
      </c>
      <c r="V34" s="510"/>
      <c r="W34" s="510">
        <v>0</v>
      </c>
      <c r="X34" s="515">
        <v>80</v>
      </c>
      <c r="Y34" s="518">
        <v>1</v>
      </c>
      <c r="Z34" s="519">
        <v>449</v>
      </c>
      <c r="AA34" s="588"/>
      <c r="AB34" s="524">
        <v>0</v>
      </c>
      <c r="AC34" s="337">
        <f>AB34/VPI!R34</f>
        <v>0</v>
      </c>
      <c r="AD34" s="339">
        <f t="shared" si="2"/>
        <v>34826</v>
      </c>
      <c r="AE34" s="337">
        <f>AD34/VPI!R34</f>
        <v>2.870787641962349</v>
      </c>
      <c r="AF34" s="524">
        <v>34826</v>
      </c>
      <c r="AG34" s="524">
        <v>15147</v>
      </c>
      <c r="AH34" s="524">
        <v>51890</v>
      </c>
      <c r="AI34" s="589"/>
      <c r="AJ34" s="519">
        <v>0</v>
      </c>
      <c r="AK34" s="337">
        <f>AJ34/VPI!R34</f>
        <v>0</v>
      </c>
      <c r="AL34" s="339">
        <f t="shared" si="3"/>
        <v>-53001</v>
      </c>
      <c r="AM34" s="337">
        <f>AL34/VPI!R34</f>
        <v>-4.3689948834677104</v>
      </c>
      <c r="AN34" s="519">
        <v>-53001</v>
      </c>
      <c r="AO34" s="589"/>
      <c r="AP34" s="532">
        <v>13.160939831357055</v>
      </c>
      <c r="AR34" s="591">
        <v>0</v>
      </c>
    </row>
    <row r="35" spans="1:44" x14ac:dyDescent="0.25">
      <c r="A35" s="586">
        <v>5451</v>
      </c>
      <c r="B35" s="587" t="s">
        <v>295</v>
      </c>
      <c r="C35" s="505">
        <v>5152890.21</v>
      </c>
      <c r="D35" s="505">
        <v>545375.56000000006</v>
      </c>
      <c r="E35" s="505"/>
      <c r="F35" s="506"/>
      <c r="G35" s="505">
        <v>2158979.0499999998</v>
      </c>
      <c r="H35" s="505">
        <v>62490.8</v>
      </c>
      <c r="I35" s="505"/>
      <c r="J35" s="505">
        <v>429329.45</v>
      </c>
      <c r="K35" s="505">
        <v>122620.35</v>
      </c>
      <c r="L35" s="505">
        <v>1510091.2</v>
      </c>
      <c r="M35" s="384">
        <f t="shared" si="0"/>
        <v>9981776.6199999992</v>
      </c>
      <c r="N35" s="510">
        <v>576515.75</v>
      </c>
      <c r="O35" s="510">
        <v>44969.4</v>
      </c>
      <c r="P35" s="510">
        <v>521329.3</v>
      </c>
      <c r="Q35" s="510">
        <v>136481.04999999999</v>
      </c>
      <c r="R35" s="510">
        <v>291093.59999999998</v>
      </c>
      <c r="S35" s="505">
        <v>230195.01</v>
      </c>
      <c r="T35" s="384">
        <f t="shared" si="1"/>
        <v>11782360.73</v>
      </c>
      <c r="U35" s="507">
        <v>-361384.15</v>
      </c>
      <c r="V35" s="510"/>
      <c r="W35" s="510">
        <v>-562.54</v>
      </c>
      <c r="X35" s="515">
        <v>66.5</v>
      </c>
      <c r="Y35" s="518">
        <v>1.5</v>
      </c>
      <c r="Z35" s="519">
        <v>4696</v>
      </c>
      <c r="AA35" s="588"/>
      <c r="AB35" s="524">
        <v>517265</v>
      </c>
      <c r="AC35" s="337">
        <f>AB35/VPI!R35</f>
        <v>3.6272916264456607</v>
      </c>
      <c r="AD35" s="339">
        <f t="shared" si="2"/>
        <v>1084625</v>
      </c>
      <c r="AE35" s="337">
        <f>AD35/VPI!R35</f>
        <v>7.6058716138413089</v>
      </c>
      <c r="AF35" s="524">
        <v>1601890</v>
      </c>
      <c r="AG35" s="524">
        <v>746313</v>
      </c>
      <c r="AH35" s="524">
        <v>461591</v>
      </c>
      <c r="AI35" s="589"/>
      <c r="AJ35" s="519">
        <v>0</v>
      </c>
      <c r="AK35" s="337">
        <f>AJ35/VPI!R35</f>
        <v>0</v>
      </c>
      <c r="AL35" s="339">
        <f t="shared" si="3"/>
        <v>75745</v>
      </c>
      <c r="AM35" s="337">
        <f>AL35/VPI!R35</f>
        <v>0.53115753867964499</v>
      </c>
      <c r="AN35" s="519">
        <v>75745</v>
      </c>
      <c r="AO35" s="589"/>
      <c r="AP35" s="532">
        <v>9.0399431735586528</v>
      </c>
      <c r="AR35" s="591">
        <v>0</v>
      </c>
    </row>
    <row r="36" spans="1:44" x14ac:dyDescent="0.25">
      <c r="A36" s="586">
        <v>5456</v>
      </c>
      <c r="B36" s="587" t="s">
        <v>296</v>
      </c>
      <c r="C36" s="505">
        <v>2992922.87</v>
      </c>
      <c r="D36" s="505">
        <v>333421.40999999997</v>
      </c>
      <c r="E36" s="505"/>
      <c r="F36" s="506"/>
      <c r="G36" s="505">
        <v>60766.2</v>
      </c>
      <c r="H36" s="505">
        <v>3213.7</v>
      </c>
      <c r="I36" s="505"/>
      <c r="J36" s="505">
        <v>28027.279999999999</v>
      </c>
      <c r="K36" s="505">
        <v>11289.55</v>
      </c>
      <c r="L36" s="505">
        <v>552212.85</v>
      </c>
      <c r="M36" s="384">
        <f t="shared" si="0"/>
        <v>3981853.8600000003</v>
      </c>
      <c r="N36" s="510">
        <v>1727.7</v>
      </c>
      <c r="O36" s="510">
        <v>157402.4</v>
      </c>
      <c r="P36" s="510">
        <v>293421.75</v>
      </c>
      <c r="Q36" s="510">
        <v>-11425.02</v>
      </c>
      <c r="R36" s="510">
        <v>195572.25</v>
      </c>
      <c r="S36" s="505">
        <v>6629.78</v>
      </c>
      <c r="T36" s="384">
        <f t="shared" si="1"/>
        <v>4625182.7200000016</v>
      </c>
      <c r="U36" s="507">
        <v>-13342.6</v>
      </c>
      <c r="V36" s="510"/>
      <c r="W36" s="510">
        <v>-138.75</v>
      </c>
      <c r="X36" s="515">
        <v>59</v>
      </c>
      <c r="Y36" s="518">
        <v>1.5</v>
      </c>
      <c r="Z36" s="519">
        <v>1876</v>
      </c>
      <c r="AA36" s="588"/>
      <c r="AB36" s="524">
        <v>67404</v>
      </c>
      <c r="AC36" s="337">
        <f>AB36/VPI!R36</f>
        <v>1.0522104378965558</v>
      </c>
      <c r="AD36" s="339">
        <f t="shared" si="2"/>
        <v>367050</v>
      </c>
      <c r="AE36" s="337">
        <f>AD36/VPI!R36</f>
        <v>5.7298356363113587</v>
      </c>
      <c r="AF36" s="524">
        <v>434454</v>
      </c>
      <c r="AG36" s="524">
        <v>105117</v>
      </c>
      <c r="AH36" s="524">
        <v>177279</v>
      </c>
      <c r="AI36" s="589"/>
      <c r="AJ36" s="519">
        <v>0</v>
      </c>
      <c r="AK36" s="337">
        <f>AJ36/VPI!R36</f>
        <v>0</v>
      </c>
      <c r="AL36" s="339">
        <f t="shared" si="3"/>
        <v>24459</v>
      </c>
      <c r="AM36" s="337">
        <f>AL36/VPI!R36</f>
        <v>0.38181732687246839</v>
      </c>
      <c r="AN36" s="519">
        <v>24459</v>
      </c>
      <c r="AO36" s="589"/>
      <c r="AP36" s="532">
        <v>20.081377015719141</v>
      </c>
      <c r="AR36" s="591">
        <v>0</v>
      </c>
    </row>
    <row r="37" spans="1:44" x14ac:dyDescent="0.25">
      <c r="A37" s="586">
        <v>5458</v>
      </c>
      <c r="B37" s="587" t="s">
        <v>297</v>
      </c>
      <c r="C37" s="505">
        <v>1563109.5</v>
      </c>
      <c r="D37" s="505">
        <v>297452.43</v>
      </c>
      <c r="E37" s="505"/>
      <c r="F37" s="506"/>
      <c r="G37" s="505">
        <v>22083.3</v>
      </c>
      <c r="H37" s="505">
        <v>879.7</v>
      </c>
      <c r="I37" s="505"/>
      <c r="J37" s="505">
        <v>55674.5</v>
      </c>
      <c r="K37" s="505">
        <v>13000.75</v>
      </c>
      <c r="L37" s="505">
        <v>290191.40000000002</v>
      </c>
      <c r="M37" s="384">
        <f t="shared" si="0"/>
        <v>2242391.58</v>
      </c>
      <c r="N37" s="510">
        <v>3372.25</v>
      </c>
      <c r="O37" s="510">
        <v>1540.4</v>
      </c>
      <c r="P37" s="510">
        <v>96690</v>
      </c>
      <c r="Q37" s="510"/>
      <c r="R37" s="510">
        <v>62069.1</v>
      </c>
      <c r="S37" s="505">
        <v>2379.4899999999998</v>
      </c>
      <c r="T37" s="384">
        <f t="shared" si="1"/>
        <v>2408442.8200000003</v>
      </c>
      <c r="U37" s="507">
        <v>-26814.48</v>
      </c>
      <c r="V37" s="510"/>
      <c r="W37" s="510">
        <v>-236.55</v>
      </c>
      <c r="X37" s="515">
        <v>65</v>
      </c>
      <c r="Y37" s="518">
        <v>1.5</v>
      </c>
      <c r="Z37" s="519">
        <v>903</v>
      </c>
      <c r="AA37" s="588"/>
      <c r="AB37" s="524">
        <v>17382</v>
      </c>
      <c r="AC37" s="337">
        <f>AB37/VPI!R37</f>
        <v>0.53269003025996331</v>
      </c>
      <c r="AD37" s="339">
        <f t="shared" si="2"/>
        <v>223923</v>
      </c>
      <c r="AE37" s="337">
        <f>AD37/VPI!R37</f>
        <v>6.8623604674894585</v>
      </c>
      <c r="AF37" s="524">
        <v>241305</v>
      </c>
      <c r="AG37" s="524">
        <v>82636</v>
      </c>
      <c r="AH37" s="524">
        <v>85479</v>
      </c>
      <c r="AI37" s="589"/>
      <c r="AJ37" s="519">
        <v>0</v>
      </c>
      <c r="AK37" s="337">
        <f>AJ37/VPI!R37</f>
        <v>0</v>
      </c>
      <c r="AL37" s="339">
        <f t="shared" si="3"/>
        <v>16403</v>
      </c>
      <c r="AM37" s="337">
        <f>AL37/VPI!R37</f>
        <v>0.50268752539144967</v>
      </c>
      <c r="AN37" s="519">
        <v>16403</v>
      </c>
      <c r="AO37" s="589"/>
      <c r="AP37" s="532">
        <v>25.455914121842106</v>
      </c>
      <c r="AR37" s="591">
        <v>0</v>
      </c>
    </row>
    <row r="38" spans="1:44" x14ac:dyDescent="0.25">
      <c r="A38" s="586">
        <v>5464</v>
      </c>
      <c r="B38" s="587" t="s">
        <v>344</v>
      </c>
      <c r="C38" s="505">
        <v>5718811.5</v>
      </c>
      <c r="D38" s="505">
        <v>1149532.08</v>
      </c>
      <c r="E38" s="505"/>
      <c r="F38" s="506"/>
      <c r="G38" s="505">
        <v>81691.25</v>
      </c>
      <c r="H38" s="505">
        <v>6859</v>
      </c>
      <c r="I38" s="505">
        <v>66178.7</v>
      </c>
      <c r="J38" s="505">
        <v>156752.70000000001</v>
      </c>
      <c r="K38" s="505">
        <v>10687.4</v>
      </c>
      <c r="L38" s="505">
        <v>1119010.6499999999</v>
      </c>
      <c r="M38" s="384">
        <f t="shared" si="0"/>
        <v>8309523.2800000012</v>
      </c>
      <c r="N38" s="510">
        <v>4335.55</v>
      </c>
      <c r="O38" s="510">
        <v>22233.4</v>
      </c>
      <c r="P38" s="510">
        <v>530402.15</v>
      </c>
      <c r="Q38" s="510">
        <v>34715.74</v>
      </c>
      <c r="R38" s="510">
        <v>481524.45</v>
      </c>
      <c r="S38" s="505">
        <v>9175.83</v>
      </c>
      <c r="T38" s="384">
        <f t="shared" si="1"/>
        <v>9391910.4000000004</v>
      </c>
      <c r="U38" s="507">
        <v>-78050.41</v>
      </c>
      <c r="V38" s="510"/>
      <c r="W38" s="510">
        <v>-898.05</v>
      </c>
      <c r="X38" s="515">
        <v>67</v>
      </c>
      <c r="Y38" s="518">
        <v>1.5</v>
      </c>
      <c r="Z38" s="519">
        <v>3540</v>
      </c>
      <c r="AA38" s="588"/>
      <c r="AB38" s="524">
        <v>152622</v>
      </c>
      <c r="AC38" s="337">
        <f>AB38/VPI!R38</f>
        <v>1.2941494767568886</v>
      </c>
      <c r="AD38" s="339">
        <f t="shared" si="2"/>
        <v>786639</v>
      </c>
      <c r="AE38" s="337">
        <f>AD38/VPI!R38</f>
        <v>6.6702601869098963</v>
      </c>
      <c r="AF38" s="524">
        <v>939261</v>
      </c>
      <c r="AG38" s="524">
        <v>198383</v>
      </c>
      <c r="AH38" s="524">
        <v>326000</v>
      </c>
      <c r="AI38" s="589"/>
      <c r="AJ38" s="519">
        <v>0</v>
      </c>
      <c r="AK38" s="337">
        <f>AJ38/VPI!R38</f>
        <v>0</v>
      </c>
      <c r="AL38" s="339">
        <f t="shared" si="3"/>
        <v>36274</v>
      </c>
      <c r="AM38" s="337">
        <f>AL38/VPI!R38</f>
        <v>0.30758329808205487</v>
      </c>
      <c r="AN38" s="519">
        <v>36274</v>
      </c>
      <c r="AO38" s="589"/>
      <c r="AP38" s="532">
        <v>15.754119757257948</v>
      </c>
      <c r="AR38" s="591">
        <v>0</v>
      </c>
    </row>
    <row r="39" spans="1:44" x14ac:dyDescent="0.25">
      <c r="A39" s="586">
        <v>5471</v>
      </c>
      <c r="B39" s="587" t="s">
        <v>298</v>
      </c>
      <c r="C39" s="505">
        <v>1257740.8999999999</v>
      </c>
      <c r="D39" s="505">
        <v>145639.14000000001</v>
      </c>
      <c r="E39" s="505"/>
      <c r="F39" s="506"/>
      <c r="G39" s="505">
        <v>18437.349999999999</v>
      </c>
      <c r="H39" s="505">
        <v>3698.4</v>
      </c>
      <c r="I39" s="505"/>
      <c r="J39" s="505">
        <v>23462.41</v>
      </c>
      <c r="K39" s="505">
        <v>4233.25</v>
      </c>
      <c r="L39" s="505">
        <v>123461.45</v>
      </c>
      <c r="M39" s="384">
        <f t="shared" si="0"/>
        <v>1576672.9</v>
      </c>
      <c r="N39" s="510">
        <v>13213</v>
      </c>
      <c r="O39" s="510"/>
      <c r="P39" s="510">
        <v>50509.1</v>
      </c>
      <c r="Q39" s="510">
        <v>1223.46</v>
      </c>
      <c r="R39" s="510">
        <v>18159.45</v>
      </c>
      <c r="S39" s="505">
        <v>2293.77</v>
      </c>
      <c r="T39" s="384">
        <f t="shared" si="1"/>
        <v>1662071.68</v>
      </c>
      <c r="U39" s="507">
        <v>-5274.52</v>
      </c>
      <c r="V39" s="510"/>
      <c r="W39" s="510">
        <v>-192.96</v>
      </c>
      <c r="X39" s="515">
        <v>70</v>
      </c>
      <c r="Y39" s="518">
        <v>0.9</v>
      </c>
      <c r="Z39" s="519">
        <v>650</v>
      </c>
      <c r="AA39" s="588"/>
      <c r="AB39" s="524"/>
      <c r="AC39" s="337">
        <f>AB39/VPI!R39</f>
        <v>0</v>
      </c>
      <c r="AD39" s="339">
        <f t="shared" si="2"/>
        <v>0</v>
      </c>
      <c r="AE39" s="337">
        <f>AD39/VPI!R39</f>
        <v>0</v>
      </c>
      <c r="AF39" s="524"/>
      <c r="AG39" s="524"/>
      <c r="AH39" s="524"/>
      <c r="AI39" s="589"/>
      <c r="AJ39" s="519"/>
      <c r="AK39" s="337">
        <f>AJ39/VPI!R39</f>
        <v>0</v>
      </c>
      <c r="AL39" s="339">
        <f t="shared" si="3"/>
        <v>0</v>
      </c>
      <c r="AM39" s="337">
        <f>AL39/VPI!R39</f>
        <v>0</v>
      </c>
      <c r="AN39" s="519"/>
      <c r="AO39" s="589"/>
      <c r="AP39" s="532">
        <v>22.357319397213995</v>
      </c>
      <c r="AR39" s="591">
        <v>0</v>
      </c>
    </row>
    <row r="40" spans="1:44" x14ac:dyDescent="0.25">
      <c r="A40" s="586">
        <v>5472</v>
      </c>
      <c r="B40" s="587" t="s">
        <v>299</v>
      </c>
      <c r="C40" s="505">
        <v>1129838.18</v>
      </c>
      <c r="D40" s="505">
        <v>121155.13</v>
      </c>
      <c r="E40" s="505"/>
      <c r="F40" s="506"/>
      <c r="G40" s="505">
        <v>1007.7</v>
      </c>
      <c r="H40" s="505">
        <v>652.04999999999995</v>
      </c>
      <c r="I40" s="505"/>
      <c r="J40" s="505">
        <v>-2898.71</v>
      </c>
      <c r="K40" s="505">
        <v>516.5</v>
      </c>
      <c r="L40" s="505">
        <v>115912.35</v>
      </c>
      <c r="M40" s="384">
        <f t="shared" si="0"/>
        <v>1366183.2000000002</v>
      </c>
      <c r="N40" s="510">
        <v>0</v>
      </c>
      <c r="O40" s="510"/>
      <c r="P40" s="510">
        <v>74159.5</v>
      </c>
      <c r="Q40" s="510"/>
      <c r="R40" s="510">
        <v>68811.55</v>
      </c>
      <c r="S40" s="505">
        <v>171.99</v>
      </c>
      <c r="T40" s="384">
        <f t="shared" si="1"/>
        <v>1509326.2400000002</v>
      </c>
      <c r="U40" s="507">
        <v>-7354</v>
      </c>
      <c r="V40" s="510"/>
      <c r="W40" s="510">
        <v>-713.76</v>
      </c>
      <c r="X40" s="515">
        <v>68</v>
      </c>
      <c r="Y40" s="518">
        <v>1</v>
      </c>
      <c r="Z40" s="519">
        <v>514</v>
      </c>
      <c r="AA40" s="588"/>
      <c r="AB40" s="524">
        <v>48628</v>
      </c>
      <c r="AC40" s="337">
        <f>AB40/VPI!R40</f>
        <v>2.4344655828847648</v>
      </c>
      <c r="AD40" s="339">
        <f t="shared" si="2"/>
        <v>56304</v>
      </c>
      <c r="AE40" s="337">
        <f>AD40/VPI!R40</f>
        <v>2.8187494895686398</v>
      </c>
      <c r="AF40" s="524">
        <v>104932</v>
      </c>
      <c r="AG40" s="524">
        <v>29476</v>
      </c>
      <c r="AH40" s="524">
        <v>22609</v>
      </c>
      <c r="AI40" s="589"/>
      <c r="AJ40" s="519">
        <v>0</v>
      </c>
      <c r="AK40" s="337">
        <f>AJ40/VPI!R40</f>
        <v>0</v>
      </c>
      <c r="AL40" s="339">
        <f t="shared" si="3"/>
        <v>30215</v>
      </c>
      <c r="AM40" s="337">
        <f>AL40/VPI!R40</f>
        <v>1.5126547994337249</v>
      </c>
      <c r="AN40" s="519">
        <v>30215</v>
      </c>
      <c r="AO40" s="589"/>
      <c r="AP40" s="532">
        <v>27.039093441955636</v>
      </c>
      <c r="AR40" s="591">
        <v>0</v>
      </c>
    </row>
    <row r="41" spans="1:44" x14ac:dyDescent="0.25">
      <c r="A41" s="586">
        <v>5473</v>
      </c>
      <c r="B41" s="587" t="s">
        <v>188</v>
      </c>
      <c r="C41" s="505">
        <v>2126946.9</v>
      </c>
      <c r="D41" s="505">
        <v>258995.71</v>
      </c>
      <c r="E41" s="505"/>
      <c r="F41" s="506"/>
      <c r="G41" s="505">
        <v>34170.199999999997</v>
      </c>
      <c r="H41" s="505">
        <v>3257.95</v>
      </c>
      <c r="I41" s="505"/>
      <c r="J41" s="505">
        <v>19304.5</v>
      </c>
      <c r="K41" s="505">
        <v>6131.35</v>
      </c>
      <c r="L41" s="505">
        <v>196363</v>
      </c>
      <c r="M41" s="384">
        <f t="shared" si="0"/>
        <v>2645169.6100000003</v>
      </c>
      <c r="N41" s="510">
        <v>3562.05</v>
      </c>
      <c r="O41" s="510">
        <v>21026.799999999999</v>
      </c>
      <c r="P41" s="510">
        <v>102850</v>
      </c>
      <c r="Q41" s="510">
        <v>1344.55</v>
      </c>
      <c r="R41" s="510">
        <v>95465.600000000006</v>
      </c>
      <c r="S41" s="505">
        <v>3878.41</v>
      </c>
      <c r="T41" s="384">
        <f t="shared" si="1"/>
        <v>2873297.02</v>
      </c>
      <c r="U41" s="507">
        <v>-7258.88</v>
      </c>
      <c r="V41" s="510"/>
      <c r="W41" s="510">
        <v>-316.5</v>
      </c>
      <c r="X41" s="515">
        <v>66</v>
      </c>
      <c r="Y41" s="518">
        <v>1</v>
      </c>
      <c r="Z41" s="519">
        <v>1009</v>
      </c>
      <c r="AA41" s="588"/>
      <c r="AB41" s="524"/>
      <c r="AC41" s="337">
        <f>AB41/VPI!R41</f>
        <v>0</v>
      </c>
      <c r="AD41" s="339">
        <f t="shared" si="2"/>
        <v>0</v>
      </c>
      <c r="AE41" s="337">
        <f>AD41/VPI!R41</f>
        <v>0</v>
      </c>
      <c r="AF41" s="524"/>
      <c r="AG41" s="524"/>
      <c r="AH41" s="524"/>
      <c r="AI41" s="589"/>
      <c r="AJ41" s="519"/>
      <c r="AK41" s="337">
        <f>AJ41/VPI!R41</f>
        <v>0</v>
      </c>
      <c r="AL41" s="339">
        <f t="shared" si="3"/>
        <v>0</v>
      </c>
      <c r="AM41" s="337">
        <f>AL41/VPI!R41</f>
        <v>0</v>
      </c>
      <c r="AN41" s="519"/>
      <c r="AO41" s="589"/>
      <c r="AP41" s="532">
        <v>23.118548014427315</v>
      </c>
      <c r="AR41" s="591">
        <v>0</v>
      </c>
    </row>
    <row r="42" spans="1:44" x14ac:dyDescent="0.25">
      <c r="A42" s="586">
        <v>5474</v>
      </c>
      <c r="B42" s="587" t="s">
        <v>189</v>
      </c>
      <c r="C42" s="505">
        <v>885402.24</v>
      </c>
      <c r="D42" s="505">
        <v>113382.9</v>
      </c>
      <c r="E42" s="505"/>
      <c r="F42" s="506"/>
      <c r="G42" s="505">
        <v>6401.15</v>
      </c>
      <c r="H42" s="505">
        <v>6039.25</v>
      </c>
      <c r="I42" s="505">
        <v>-37654</v>
      </c>
      <c r="J42" s="505">
        <v>5133.25</v>
      </c>
      <c r="K42" s="505">
        <v>-725.5</v>
      </c>
      <c r="L42" s="505">
        <v>90392.35</v>
      </c>
      <c r="M42" s="384">
        <f t="shared" si="0"/>
        <v>1068371.6400000001</v>
      </c>
      <c r="N42" s="510">
        <v>3011.65</v>
      </c>
      <c r="O42" s="510">
        <v>1949.5</v>
      </c>
      <c r="P42" s="510">
        <v>46347.25</v>
      </c>
      <c r="Q42" s="510"/>
      <c r="R42" s="510">
        <v>40659.85</v>
      </c>
      <c r="S42" s="505">
        <v>1289.1099999999999</v>
      </c>
      <c r="T42" s="384">
        <f t="shared" si="1"/>
        <v>1161629.0000000002</v>
      </c>
      <c r="U42" s="507">
        <v>-750.54</v>
      </c>
      <c r="V42" s="510"/>
      <c r="W42" s="510">
        <v>-304.55</v>
      </c>
      <c r="X42" s="515">
        <v>76</v>
      </c>
      <c r="Y42" s="518">
        <v>1.2</v>
      </c>
      <c r="Z42" s="519">
        <v>412</v>
      </c>
      <c r="AA42" s="588"/>
      <c r="AB42" s="524">
        <v>102215</v>
      </c>
      <c r="AC42" s="337">
        <f>AB42/VPI!R42</f>
        <v>7.3735577400275965</v>
      </c>
      <c r="AD42" s="339">
        <f t="shared" si="2"/>
        <v>129762</v>
      </c>
      <c r="AE42" s="337">
        <f>AD42/VPI!R42</f>
        <v>9.3607356988843211</v>
      </c>
      <c r="AF42" s="524">
        <v>231977</v>
      </c>
      <c r="AG42" s="524">
        <v>15626</v>
      </c>
      <c r="AH42" s="524">
        <v>96154</v>
      </c>
      <c r="AI42" s="589"/>
      <c r="AJ42" s="519">
        <v>0</v>
      </c>
      <c r="AK42" s="337">
        <f>AJ42/VPI!R42</f>
        <v>0</v>
      </c>
      <c r="AL42" s="339">
        <f t="shared" si="3"/>
        <v>7743</v>
      </c>
      <c r="AM42" s="337">
        <f>AL42/VPI!R42</f>
        <v>0.5585624182461838</v>
      </c>
      <c r="AN42" s="519">
        <v>7743</v>
      </c>
      <c r="AO42" s="589"/>
      <c r="AP42" s="532">
        <v>16.957558731693489</v>
      </c>
      <c r="AR42" s="591">
        <v>0</v>
      </c>
    </row>
    <row r="43" spans="1:44" x14ac:dyDescent="0.25">
      <c r="A43" s="586">
        <v>5475</v>
      </c>
      <c r="B43" s="587" t="s">
        <v>306</v>
      </c>
      <c r="C43" s="505">
        <v>235601.32</v>
      </c>
      <c r="D43" s="505">
        <v>46788.68</v>
      </c>
      <c r="E43" s="505"/>
      <c r="F43" s="506"/>
      <c r="G43" s="505">
        <v>4742.2</v>
      </c>
      <c r="H43" s="505">
        <v>12.65</v>
      </c>
      <c r="I43" s="505"/>
      <c r="J43" s="505">
        <v>8839.4500000000007</v>
      </c>
      <c r="K43" s="505"/>
      <c r="L43" s="505">
        <v>25625.3</v>
      </c>
      <c r="M43" s="384">
        <f t="shared" si="0"/>
        <v>321609.60000000003</v>
      </c>
      <c r="N43" s="510">
        <v>0</v>
      </c>
      <c r="O43" s="510"/>
      <c r="P43" s="510">
        <v>22220</v>
      </c>
      <c r="Q43" s="510">
        <v>-25.04</v>
      </c>
      <c r="R43" s="510"/>
      <c r="S43" s="505">
        <v>492.71</v>
      </c>
      <c r="T43" s="384">
        <f t="shared" si="1"/>
        <v>344297.27000000008</v>
      </c>
      <c r="U43" s="507">
        <v>208.89</v>
      </c>
      <c r="V43" s="510"/>
      <c r="W43" s="510">
        <v>0</v>
      </c>
      <c r="X43" s="515">
        <v>75</v>
      </c>
      <c r="Y43" s="518">
        <v>1</v>
      </c>
      <c r="Z43" s="519">
        <v>163</v>
      </c>
      <c r="AA43" s="588"/>
      <c r="AB43" s="524">
        <v>904</v>
      </c>
      <c r="AC43" s="337">
        <f>AB43/VPI!R43</f>
        <v>0.21037204948546342</v>
      </c>
      <c r="AD43" s="339">
        <f t="shared" si="2"/>
        <v>29121</v>
      </c>
      <c r="AE43" s="337">
        <f>AD43/VPI!R43</f>
        <v>6.7768190852501995</v>
      </c>
      <c r="AF43" s="524">
        <v>30025</v>
      </c>
      <c r="AG43" s="524">
        <v>6085</v>
      </c>
      <c r="AH43" s="524">
        <v>39736</v>
      </c>
      <c r="AI43" s="589"/>
      <c r="AJ43" s="519">
        <v>0</v>
      </c>
      <c r="AK43" s="337">
        <f>AJ43/VPI!R43</f>
        <v>0</v>
      </c>
      <c r="AL43" s="339">
        <f t="shared" si="3"/>
        <v>29301</v>
      </c>
      <c r="AM43" s="337">
        <f>AL43/VPI!R43</f>
        <v>6.8187073251919958</v>
      </c>
      <c r="AN43" s="519">
        <v>29301</v>
      </c>
      <c r="AO43" s="589"/>
      <c r="AP43" s="532">
        <v>10.737900920173892</v>
      </c>
      <c r="AR43" s="591">
        <v>0</v>
      </c>
    </row>
    <row r="44" spans="1:44" x14ac:dyDescent="0.25">
      <c r="A44" s="586">
        <v>5476</v>
      </c>
      <c r="B44" s="587" t="s">
        <v>307</v>
      </c>
      <c r="C44" s="505">
        <v>793889.55</v>
      </c>
      <c r="D44" s="505">
        <v>128195.48</v>
      </c>
      <c r="E44" s="505"/>
      <c r="F44" s="506"/>
      <c r="G44" s="505">
        <v>-3.75</v>
      </c>
      <c r="H44" s="505">
        <v>399.65</v>
      </c>
      <c r="I44" s="505"/>
      <c r="J44" s="505">
        <v>4675.37</v>
      </c>
      <c r="K44" s="505">
        <v>0</v>
      </c>
      <c r="L44" s="505">
        <v>62237.8</v>
      </c>
      <c r="M44" s="384">
        <f t="shared" si="0"/>
        <v>989394.10000000009</v>
      </c>
      <c r="N44" s="510">
        <v>0</v>
      </c>
      <c r="O44" s="510">
        <v>0</v>
      </c>
      <c r="P44" s="510">
        <v>38247.800000000003</v>
      </c>
      <c r="Q44" s="510">
        <v>0</v>
      </c>
      <c r="R44" s="510">
        <v>20128.7</v>
      </c>
      <c r="S44" s="505">
        <v>41.02</v>
      </c>
      <c r="T44" s="384">
        <f t="shared" si="1"/>
        <v>1047811.6200000001</v>
      </c>
      <c r="U44" s="507">
        <v>-6447.63</v>
      </c>
      <c r="V44" s="510"/>
      <c r="W44" s="510">
        <v>0</v>
      </c>
      <c r="X44" s="515">
        <v>72.5</v>
      </c>
      <c r="Y44" s="518">
        <v>1</v>
      </c>
      <c r="Z44" s="519">
        <v>331</v>
      </c>
      <c r="AA44" s="588"/>
      <c r="AB44" s="524">
        <v>0</v>
      </c>
      <c r="AC44" s="337">
        <f>AB44/VPI!R44</f>
        <v>0</v>
      </c>
      <c r="AD44" s="339">
        <f t="shared" si="2"/>
        <v>33303</v>
      </c>
      <c r="AE44" s="337">
        <f>AD44/VPI!R44</f>
        <v>2.4562545551825892</v>
      </c>
      <c r="AF44" s="524">
        <v>33303</v>
      </c>
      <c r="AG44" s="524">
        <v>12642</v>
      </c>
      <c r="AH44" s="524">
        <v>38234</v>
      </c>
      <c r="AI44" s="589"/>
      <c r="AJ44" s="519">
        <v>0</v>
      </c>
      <c r="AK44" s="337">
        <f>AJ44/VPI!R44</f>
        <v>0</v>
      </c>
      <c r="AL44" s="339">
        <f t="shared" si="3"/>
        <v>1912</v>
      </c>
      <c r="AM44" s="337">
        <f>AL44/VPI!R44</f>
        <v>0.14101908865595023</v>
      </c>
      <c r="AN44" s="519">
        <v>1912</v>
      </c>
      <c r="AO44" s="589"/>
      <c r="AP44" s="532">
        <v>22.708839751423511</v>
      </c>
      <c r="AR44" s="591">
        <v>0</v>
      </c>
    </row>
    <row r="45" spans="1:44" x14ac:dyDescent="0.25">
      <c r="A45" s="586">
        <v>5477</v>
      </c>
      <c r="B45" s="587" t="s">
        <v>308</v>
      </c>
      <c r="C45" s="505">
        <v>7724815.7400000002</v>
      </c>
      <c r="D45" s="505">
        <v>1178168.01</v>
      </c>
      <c r="E45" s="505"/>
      <c r="F45" s="506"/>
      <c r="G45" s="505">
        <v>430747.7</v>
      </c>
      <c r="H45" s="505">
        <v>12246.8</v>
      </c>
      <c r="I45" s="505">
        <v>0</v>
      </c>
      <c r="J45" s="505">
        <v>177524.42</v>
      </c>
      <c r="K45" s="505">
        <v>48032.55</v>
      </c>
      <c r="L45" s="505">
        <v>755157.25</v>
      </c>
      <c r="M45" s="384">
        <f t="shared" si="0"/>
        <v>10326692.470000001</v>
      </c>
      <c r="N45" s="510">
        <v>98390.45</v>
      </c>
      <c r="O45" s="510">
        <v>614394.19999999995</v>
      </c>
      <c r="P45" s="510">
        <v>496044.45</v>
      </c>
      <c r="Q45" s="510">
        <v>7693.11</v>
      </c>
      <c r="R45" s="510">
        <v>364819.4</v>
      </c>
      <c r="S45" s="505">
        <v>45904.34</v>
      </c>
      <c r="T45" s="384">
        <f t="shared" si="1"/>
        <v>11953938.419999998</v>
      </c>
      <c r="U45" s="507">
        <v>-78338.600000000006</v>
      </c>
      <c r="V45" s="510"/>
      <c r="W45" s="510">
        <v>-986.22</v>
      </c>
      <c r="X45" s="515">
        <v>68</v>
      </c>
      <c r="Y45" s="518">
        <v>1</v>
      </c>
      <c r="Z45" s="519">
        <v>4389</v>
      </c>
      <c r="AA45" s="588"/>
      <c r="AB45" s="524">
        <v>170077</v>
      </c>
      <c r="AC45" s="337">
        <f>AB45/VPI!R45</f>
        <v>1.1227332475866751</v>
      </c>
      <c r="AD45" s="339">
        <f t="shared" si="2"/>
        <v>938064</v>
      </c>
      <c r="AE45" s="337">
        <f>AD45/VPI!R45</f>
        <v>6.1924636556627108</v>
      </c>
      <c r="AF45" s="524">
        <v>1108141</v>
      </c>
      <c r="AG45" s="524">
        <v>424599</v>
      </c>
      <c r="AH45" s="524">
        <v>930463</v>
      </c>
      <c r="AI45" s="589"/>
      <c r="AJ45" s="519">
        <v>0</v>
      </c>
      <c r="AK45" s="337">
        <f>AJ45/VPI!R45</f>
        <v>0</v>
      </c>
      <c r="AL45" s="339">
        <f t="shared" si="3"/>
        <v>73393</v>
      </c>
      <c r="AM45" s="337">
        <f>AL45/VPI!R45</f>
        <v>0.48449091435131647</v>
      </c>
      <c r="AN45" s="519">
        <v>73393</v>
      </c>
      <c r="AO45" s="589"/>
      <c r="AP45" s="532">
        <v>12.434916007559464</v>
      </c>
      <c r="AR45" s="591">
        <v>0</v>
      </c>
    </row>
    <row r="46" spans="1:44" x14ac:dyDescent="0.25">
      <c r="A46" s="586">
        <v>5479</v>
      </c>
      <c r="B46" s="587" t="s">
        <v>215</v>
      </c>
      <c r="C46" s="505">
        <v>873307.84</v>
      </c>
      <c r="D46" s="505">
        <v>115556.62</v>
      </c>
      <c r="E46" s="505"/>
      <c r="F46" s="506"/>
      <c r="G46" s="505">
        <v>26138.2</v>
      </c>
      <c r="H46" s="505">
        <v>663</v>
      </c>
      <c r="I46" s="505"/>
      <c r="J46" s="505">
        <v>20361.759999999998</v>
      </c>
      <c r="K46" s="505">
        <v>1640.55</v>
      </c>
      <c r="L46" s="505">
        <v>96364.95</v>
      </c>
      <c r="M46" s="384">
        <f t="shared" si="0"/>
        <v>1134032.92</v>
      </c>
      <c r="N46" s="510">
        <v>8152</v>
      </c>
      <c r="O46" s="510"/>
      <c r="P46" s="510">
        <v>47908.5</v>
      </c>
      <c r="Q46" s="510">
        <v>1193.68</v>
      </c>
      <c r="R46" s="510">
        <v>63203.9</v>
      </c>
      <c r="S46" s="505">
        <v>2777.22</v>
      </c>
      <c r="T46" s="384">
        <f t="shared" si="1"/>
        <v>1257268.2199999997</v>
      </c>
      <c r="U46" s="507">
        <v>-34030.400000000001</v>
      </c>
      <c r="V46" s="510"/>
      <c r="W46" s="510">
        <v>-484.05</v>
      </c>
      <c r="X46" s="515">
        <v>77</v>
      </c>
      <c r="Y46" s="518">
        <v>1</v>
      </c>
      <c r="Z46" s="519">
        <v>545</v>
      </c>
      <c r="AA46" s="588"/>
      <c r="AB46" s="524">
        <v>24090</v>
      </c>
      <c r="AC46" s="337">
        <f>AB46/VPI!R46</f>
        <v>1.6809677106359437</v>
      </c>
      <c r="AD46" s="339">
        <f t="shared" si="2"/>
        <v>228283</v>
      </c>
      <c r="AE46" s="337">
        <f>AD46/VPI!R46</f>
        <v>15.92927986247842</v>
      </c>
      <c r="AF46" s="524">
        <v>252373</v>
      </c>
      <c r="AG46" s="524">
        <v>20847</v>
      </c>
      <c r="AH46" s="524">
        <v>118455</v>
      </c>
      <c r="AI46" s="589"/>
      <c r="AJ46" s="519">
        <v>0</v>
      </c>
      <c r="AK46" s="337">
        <f>AJ46/VPI!R46</f>
        <v>0</v>
      </c>
      <c r="AL46" s="339">
        <f t="shared" si="3"/>
        <v>64229</v>
      </c>
      <c r="AM46" s="337">
        <f>AL46/VPI!R46</f>
        <v>4.4818129965311764</v>
      </c>
      <c r="AN46" s="519">
        <v>64229</v>
      </c>
      <c r="AO46" s="589"/>
      <c r="AP46" s="532">
        <v>18.330069075162456</v>
      </c>
      <c r="AR46" s="591">
        <v>0</v>
      </c>
    </row>
    <row r="47" spans="1:44" x14ac:dyDescent="0.25">
      <c r="A47" s="586">
        <v>5480</v>
      </c>
      <c r="B47" s="587" t="s">
        <v>216</v>
      </c>
      <c r="C47" s="505">
        <v>2151349.85</v>
      </c>
      <c r="D47" s="505">
        <v>323734.49</v>
      </c>
      <c r="E47" s="505"/>
      <c r="F47" s="506"/>
      <c r="G47" s="505">
        <v>-32230.7</v>
      </c>
      <c r="H47" s="505">
        <v>19085.900000000001</v>
      </c>
      <c r="I47" s="505"/>
      <c r="J47" s="505">
        <v>42307.86</v>
      </c>
      <c r="K47" s="505">
        <v>13103.7</v>
      </c>
      <c r="L47" s="505">
        <v>397690.9</v>
      </c>
      <c r="M47" s="384">
        <f t="shared" si="0"/>
        <v>2915041.9999999995</v>
      </c>
      <c r="N47" s="510">
        <v>226810.45</v>
      </c>
      <c r="O47" s="510">
        <v>514650</v>
      </c>
      <c r="P47" s="510">
        <v>113415.5</v>
      </c>
      <c r="Q47" s="510">
        <v>10741.02</v>
      </c>
      <c r="R47" s="510">
        <v>116838.65</v>
      </c>
      <c r="S47" s="505">
        <v>0</v>
      </c>
      <c r="T47" s="384">
        <f t="shared" si="1"/>
        <v>3897497.6199999996</v>
      </c>
      <c r="U47" s="507">
        <v>-37786.35</v>
      </c>
      <c r="V47" s="510"/>
      <c r="W47" s="510">
        <v>-803.63</v>
      </c>
      <c r="X47" s="515">
        <v>66</v>
      </c>
      <c r="Y47" s="518">
        <v>1.2</v>
      </c>
      <c r="Z47" s="519">
        <v>1057</v>
      </c>
      <c r="AA47" s="588"/>
      <c r="AB47" s="524">
        <v>211325</v>
      </c>
      <c r="AC47" s="337">
        <f>AB47/VPI!R47</f>
        <v>4.944306607252595</v>
      </c>
      <c r="AD47" s="339">
        <f t="shared" si="2"/>
        <v>78841</v>
      </c>
      <c r="AE47" s="337">
        <f>AD47/VPI!R47</f>
        <v>1.8446188440667304</v>
      </c>
      <c r="AF47" s="524">
        <v>290166</v>
      </c>
      <c r="AG47" s="524">
        <v>41263</v>
      </c>
      <c r="AH47" s="524">
        <v>116723</v>
      </c>
      <c r="AI47" s="589"/>
      <c r="AJ47" s="519">
        <v>0</v>
      </c>
      <c r="AK47" s="337">
        <f>AJ47/VPI!R47</f>
        <v>0</v>
      </c>
      <c r="AL47" s="339">
        <f t="shared" si="3"/>
        <v>66527</v>
      </c>
      <c r="AM47" s="337">
        <f>AL47/VPI!R47</f>
        <v>1.5565119397169922</v>
      </c>
      <c r="AN47" s="519">
        <v>66527</v>
      </c>
      <c r="AO47" s="589"/>
      <c r="AP47" s="532">
        <v>24.597281244080513</v>
      </c>
      <c r="AR47" s="591">
        <v>0</v>
      </c>
    </row>
    <row r="48" spans="1:44" x14ac:dyDescent="0.25">
      <c r="A48" s="586">
        <v>5481</v>
      </c>
      <c r="B48" s="587" t="s">
        <v>217</v>
      </c>
      <c r="C48" s="505">
        <v>441344.57</v>
      </c>
      <c r="D48" s="505">
        <v>85978.85</v>
      </c>
      <c r="E48" s="505"/>
      <c r="F48" s="506"/>
      <c r="G48" s="505">
        <v>61552.6</v>
      </c>
      <c r="H48" s="505">
        <v>197.85</v>
      </c>
      <c r="I48" s="505"/>
      <c r="J48" s="505">
        <v>3040.76</v>
      </c>
      <c r="K48" s="505"/>
      <c r="L48" s="505">
        <v>39166.15</v>
      </c>
      <c r="M48" s="384">
        <f t="shared" si="0"/>
        <v>631280.78</v>
      </c>
      <c r="N48" s="510">
        <v>0</v>
      </c>
      <c r="O48" s="510"/>
      <c r="P48" s="510">
        <v>21282.45</v>
      </c>
      <c r="Q48" s="510">
        <v>5315.58</v>
      </c>
      <c r="R48" s="510">
        <v>21690.799999999999</v>
      </c>
      <c r="S48" s="505">
        <v>6398.75</v>
      </c>
      <c r="T48" s="384">
        <f t="shared" si="1"/>
        <v>685968.36</v>
      </c>
      <c r="U48" s="507">
        <v>-1595.93</v>
      </c>
      <c r="V48" s="510"/>
      <c r="W48" s="510">
        <v>0</v>
      </c>
      <c r="X48" s="515">
        <v>75</v>
      </c>
      <c r="Y48" s="518">
        <v>1</v>
      </c>
      <c r="Z48" s="519">
        <v>232</v>
      </c>
      <c r="AA48" s="588"/>
      <c r="AB48" s="524">
        <v>0</v>
      </c>
      <c r="AC48" s="337">
        <f>AB48/VPI!R48</f>
        <v>0</v>
      </c>
      <c r="AD48" s="339">
        <f t="shared" si="2"/>
        <v>46144</v>
      </c>
      <c r="AE48" s="337">
        <f>AD48/VPI!R48</f>
        <v>5.3957038111586</v>
      </c>
      <c r="AF48" s="524">
        <v>46144</v>
      </c>
      <c r="AG48" s="524">
        <v>8833</v>
      </c>
      <c r="AH48" s="524">
        <v>55882</v>
      </c>
      <c r="AI48" s="589"/>
      <c r="AJ48" s="519">
        <v>0</v>
      </c>
      <c r="AK48" s="337">
        <f>AJ48/VPI!R48</f>
        <v>0</v>
      </c>
      <c r="AL48" s="339">
        <f t="shared" si="3"/>
        <v>7367</v>
      </c>
      <c r="AM48" s="337">
        <f>AL48/VPI!R48</f>
        <v>0.86143702272896594</v>
      </c>
      <c r="AN48" s="519">
        <v>7367</v>
      </c>
      <c r="AO48" s="589"/>
      <c r="AP48" s="532">
        <v>21.025948001125855</v>
      </c>
      <c r="AR48" s="591">
        <v>0</v>
      </c>
    </row>
    <row r="49" spans="1:44" x14ac:dyDescent="0.25">
      <c r="A49" s="586">
        <v>5482</v>
      </c>
      <c r="B49" s="587" t="s">
        <v>218</v>
      </c>
      <c r="C49" s="505">
        <v>1360639.32</v>
      </c>
      <c r="D49" s="505">
        <v>169271.49</v>
      </c>
      <c r="E49" s="505"/>
      <c r="F49" s="506"/>
      <c r="G49" s="505">
        <v>131005.75</v>
      </c>
      <c r="H49" s="505">
        <v>24516.25</v>
      </c>
      <c r="I49" s="505"/>
      <c r="J49" s="505">
        <v>77595.570000000007</v>
      </c>
      <c r="K49" s="505">
        <v>20132.7</v>
      </c>
      <c r="L49" s="505">
        <v>442642.7</v>
      </c>
      <c r="M49" s="384">
        <f t="shared" si="0"/>
        <v>2225803.7800000003</v>
      </c>
      <c r="N49" s="510">
        <v>483265.35</v>
      </c>
      <c r="O49" s="510">
        <v>22632.5</v>
      </c>
      <c r="P49" s="510">
        <v>47345.75</v>
      </c>
      <c r="Q49" s="510">
        <v>5995.82</v>
      </c>
      <c r="R49" s="510">
        <v>80115.55</v>
      </c>
      <c r="S49" s="505">
        <v>16115.63</v>
      </c>
      <c r="T49" s="384">
        <f t="shared" si="1"/>
        <v>2881274.38</v>
      </c>
      <c r="U49" s="507">
        <v>-24600.62</v>
      </c>
      <c r="V49" s="510"/>
      <c r="W49" s="510">
        <v>-982.8</v>
      </c>
      <c r="X49" s="515">
        <v>46</v>
      </c>
      <c r="Y49" s="518">
        <v>1</v>
      </c>
      <c r="Z49" s="519">
        <v>1199</v>
      </c>
      <c r="AA49" s="588"/>
      <c r="AB49" s="524">
        <v>132748</v>
      </c>
      <c r="AC49" s="337">
        <f>AB49/VPI!R49</f>
        <v>2.7477480961765113</v>
      </c>
      <c r="AD49" s="339">
        <f t="shared" si="2"/>
        <v>143614</v>
      </c>
      <c r="AE49" s="337">
        <f>AD49/VPI!R49</f>
        <v>2.9726632046003969</v>
      </c>
      <c r="AF49" s="524">
        <v>276362</v>
      </c>
      <c r="AG49" s="524">
        <v>117584</v>
      </c>
      <c r="AH49" s="524">
        <v>138497</v>
      </c>
      <c r="AI49" s="589"/>
      <c r="AJ49" s="519">
        <v>9180</v>
      </c>
      <c r="AK49" s="337">
        <f>AJ49/VPI!R49</f>
        <v>0.19001662942492822</v>
      </c>
      <c r="AL49" s="339">
        <f t="shared" si="3"/>
        <v>84959</v>
      </c>
      <c r="AM49" s="337">
        <f>AL49/VPI!R49</f>
        <v>1.7585645772671543</v>
      </c>
      <c r="AN49" s="519">
        <v>94139</v>
      </c>
      <c r="AO49" s="589"/>
      <c r="AP49" s="532">
        <v>27.764644799867938</v>
      </c>
      <c r="AR49" s="591">
        <v>0</v>
      </c>
    </row>
    <row r="50" spans="1:44" x14ac:dyDescent="0.25">
      <c r="A50" s="586">
        <v>5483</v>
      </c>
      <c r="B50" s="587" t="s">
        <v>125</v>
      </c>
      <c r="C50" s="505">
        <v>643859.4</v>
      </c>
      <c r="D50" s="505">
        <v>70751.89</v>
      </c>
      <c r="E50" s="505"/>
      <c r="F50" s="506"/>
      <c r="G50" s="505">
        <v>6935.2</v>
      </c>
      <c r="H50" s="505">
        <v>990.4</v>
      </c>
      <c r="I50" s="505"/>
      <c r="J50" s="505">
        <v>2104.39</v>
      </c>
      <c r="K50" s="505">
        <v>175.5</v>
      </c>
      <c r="L50" s="505">
        <v>60060.4</v>
      </c>
      <c r="M50" s="384">
        <f t="shared" si="0"/>
        <v>784877.18</v>
      </c>
      <c r="N50" s="510">
        <v>0</v>
      </c>
      <c r="O50" s="510"/>
      <c r="P50" s="510">
        <v>4070</v>
      </c>
      <c r="Q50" s="510"/>
      <c r="R50" s="510">
        <v>7380.3</v>
      </c>
      <c r="S50" s="505">
        <v>821.27</v>
      </c>
      <c r="T50" s="384">
        <f t="shared" si="1"/>
        <v>797148.75000000012</v>
      </c>
      <c r="U50" s="507">
        <v>-3086.18</v>
      </c>
      <c r="V50" s="510"/>
      <c r="W50" s="510">
        <v>-1013.74</v>
      </c>
      <c r="X50" s="515">
        <v>76</v>
      </c>
      <c r="Y50" s="518">
        <v>1</v>
      </c>
      <c r="Z50" s="519">
        <v>308</v>
      </c>
      <c r="AA50" s="588"/>
      <c r="AB50" s="524">
        <v>0</v>
      </c>
      <c r="AC50" s="337">
        <f>AB50/VPI!R50</f>
        <v>0</v>
      </c>
      <c r="AD50" s="339">
        <f t="shared" si="2"/>
        <v>34776</v>
      </c>
      <c r="AE50" s="337">
        <f>AD50/VPI!R50</f>
        <v>3.3815007303045972</v>
      </c>
      <c r="AF50" s="524">
        <v>34776</v>
      </c>
      <c r="AG50" s="524">
        <v>12524</v>
      </c>
      <c r="AH50" s="524">
        <v>35577</v>
      </c>
      <c r="AI50" s="589"/>
      <c r="AJ50" s="519">
        <v>0</v>
      </c>
      <c r="AK50" s="337">
        <f>AJ50/VPI!R50</f>
        <v>0</v>
      </c>
      <c r="AL50" s="339">
        <f t="shared" si="3"/>
        <v>3208</v>
      </c>
      <c r="AM50" s="337">
        <f>AL50/VPI!R50</f>
        <v>0.31193508002119702</v>
      </c>
      <c r="AN50" s="519">
        <v>3208</v>
      </c>
      <c r="AO50" s="589"/>
      <c r="AP50" s="532">
        <v>17.659117476184679</v>
      </c>
      <c r="AR50" s="591">
        <v>0</v>
      </c>
    </row>
    <row r="51" spans="1:44" x14ac:dyDescent="0.25">
      <c r="A51" s="586">
        <v>5484</v>
      </c>
      <c r="B51" s="587" t="s">
        <v>126</v>
      </c>
      <c r="C51" s="505">
        <v>1930383.18</v>
      </c>
      <c r="D51" s="505">
        <v>226514</v>
      </c>
      <c r="E51" s="505"/>
      <c r="F51" s="506"/>
      <c r="G51" s="505">
        <v>45709.3</v>
      </c>
      <c r="H51" s="505">
        <v>2770</v>
      </c>
      <c r="I51" s="505"/>
      <c r="J51" s="505">
        <v>19714.080000000002</v>
      </c>
      <c r="K51" s="505">
        <v>6304.65</v>
      </c>
      <c r="L51" s="505">
        <v>196784.3</v>
      </c>
      <c r="M51" s="384">
        <f t="shared" si="0"/>
        <v>2428179.5099999993</v>
      </c>
      <c r="N51" s="510">
        <v>32016.55</v>
      </c>
      <c r="O51" s="510">
        <v>7846.2</v>
      </c>
      <c r="P51" s="510">
        <v>131062.95</v>
      </c>
      <c r="Q51" s="510">
        <v>766.99</v>
      </c>
      <c r="R51" s="510">
        <v>63765.8</v>
      </c>
      <c r="S51" s="505">
        <v>5023.5600000000004</v>
      </c>
      <c r="T51" s="384">
        <f t="shared" si="1"/>
        <v>2668661.5599999996</v>
      </c>
      <c r="U51" s="507">
        <v>-21376.39</v>
      </c>
      <c r="V51" s="510"/>
      <c r="W51" s="510">
        <v>-112.8</v>
      </c>
      <c r="X51" s="515">
        <v>74</v>
      </c>
      <c r="Y51" s="518">
        <v>1</v>
      </c>
      <c r="Z51" s="519">
        <v>1033</v>
      </c>
      <c r="AA51" s="588"/>
      <c r="AB51" s="524">
        <v>71241</v>
      </c>
      <c r="AC51" s="337">
        <f>AB51/VPI!R51</f>
        <v>2.1852334936856934</v>
      </c>
      <c r="AD51" s="339">
        <f t="shared" si="2"/>
        <v>268604</v>
      </c>
      <c r="AE51" s="337">
        <f>AD51/VPI!R51</f>
        <v>8.2391103063959221</v>
      </c>
      <c r="AF51" s="524">
        <v>339845</v>
      </c>
      <c r="AG51" s="524">
        <v>39967</v>
      </c>
      <c r="AH51" s="524">
        <v>210751</v>
      </c>
      <c r="AI51" s="589"/>
      <c r="AJ51" s="519">
        <v>0</v>
      </c>
      <c r="AK51" s="337">
        <f>AJ51/VPI!R51</f>
        <v>0</v>
      </c>
      <c r="AL51" s="339">
        <f t="shared" si="3"/>
        <v>75011</v>
      </c>
      <c r="AM51" s="337">
        <f>AL51/VPI!R51</f>
        <v>2.3008737888976505</v>
      </c>
      <c r="AN51" s="519">
        <v>75011</v>
      </c>
      <c r="AO51" s="589"/>
      <c r="AP51" s="532">
        <v>20.387354320931248</v>
      </c>
      <c r="AR51" s="591">
        <v>0</v>
      </c>
    </row>
    <row r="52" spans="1:44" x14ac:dyDescent="0.25">
      <c r="A52" s="586">
        <v>5485</v>
      </c>
      <c r="B52" s="587" t="s">
        <v>127</v>
      </c>
      <c r="C52" s="505">
        <v>1032776.12</v>
      </c>
      <c r="D52" s="505">
        <v>169867.35</v>
      </c>
      <c r="E52" s="505"/>
      <c r="F52" s="506"/>
      <c r="G52" s="505">
        <v>20659.150000000001</v>
      </c>
      <c r="H52" s="505">
        <v>6204.6</v>
      </c>
      <c r="I52" s="505"/>
      <c r="J52" s="505">
        <v>7958.97</v>
      </c>
      <c r="K52" s="505">
        <v>74.8</v>
      </c>
      <c r="L52" s="505">
        <v>91269.1</v>
      </c>
      <c r="M52" s="384">
        <f t="shared" si="0"/>
        <v>1328810.0900000001</v>
      </c>
      <c r="N52" s="510">
        <v>5968.6</v>
      </c>
      <c r="O52" s="510">
        <v>4988.6000000000004</v>
      </c>
      <c r="P52" s="510">
        <v>61818.35</v>
      </c>
      <c r="Q52" s="510">
        <v>150.24</v>
      </c>
      <c r="R52" s="510">
        <v>11571.35</v>
      </c>
      <c r="S52" s="505">
        <v>2783.7</v>
      </c>
      <c r="T52" s="384">
        <f t="shared" si="1"/>
        <v>1416090.9300000004</v>
      </c>
      <c r="U52" s="507">
        <v>-4270.97</v>
      </c>
      <c r="V52" s="510"/>
      <c r="W52" s="510">
        <v>-200.13</v>
      </c>
      <c r="X52" s="515">
        <v>70</v>
      </c>
      <c r="Y52" s="518">
        <v>1</v>
      </c>
      <c r="Z52" s="519">
        <v>489</v>
      </c>
      <c r="AA52" s="588"/>
      <c r="AB52" s="524">
        <v>0</v>
      </c>
      <c r="AC52" s="337">
        <f>AB52/VPI!R52</f>
        <v>0</v>
      </c>
      <c r="AD52" s="339">
        <f t="shared" si="2"/>
        <v>57962</v>
      </c>
      <c r="AE52" s="337">
        <f>AD52/VPI!R52</f>
        <v>3.0568995330900024</v>
      </c>
      <c r="AF52" s="524">
        <v>57962</v>
      </c>
      <c r="AG52" s="524">
        <v>17471</v>
      </c>
      <c r="AH52" s="524">
        <v>114230</v>
      </c>
      <c r="AI52" s="589"/>
      <c r="AJ52" s="519">
        <v>0</v>
      </c>
      <c r="AK52" s="337">
        <f>AJ52/VPI!R52</f>
        <v>0</v>
      </c>
      <c r="AL52" s="339">
        <f t="shared" si="3"/>
        <v>79838</v>
      </c>
      <c r="AM52" s="337">
        <f>AL52/VPI!R52</f>
        <v>4.210633603444319</v>
      </c>
      <c r="AN52" s="519">
        <v>79838</v>
      </c>
      <c r="AO52" s="589"/>
      <c r="AP52" s="532">
        <v>31.434850277191252</v>
      </c>
      <c r="AR52" s="591">
        <v>0</v>
      </c>
    </row>
    <row r="53" spans="1:44" x14ac:dyDescent="0.25">
      <c r="A53" s="586">
        <v>5486</v>
      </c>
      <c r="B53" s="587" t="s">
        <v>0</v>
      </c>
      <c r="C53" s="505">
        <v>1871161.04</v>
      </c>
      <c r="D53" s="505">
        <v>433203.85</v>
      </c>
      <c r="E53" s="505"/>
      <c r="F53" s="506"/>
      <c r="G53" s="505">
        <v>62270.6</v>
      </c>
      <c r="H53" s="505">
        <v>1711.6</v>
      </c>
      <c r="I53" s="505"/>
      <c r="J53" s="505">
        <v>33904.49</v>
      </c>
      <c r="K53" s="505">
        <v>11661.2</v>
      </c>
      <c r="L53" s="505">
        <v>203693.1</v>
      </c>
      <c r="M53" s="384">
        <f t="shared" si="0"/>
        <v>2617605.8800000008</v>
      </c>
      <c r="N53" s="510">
        <v>89687.85</v>
      </c>
      <c r="O53" s="510">
        <v>12584.3</v>
      </c>
      <c r="P53" s="510">
        <v>195518.9</v>
      </c>
      <c r="Q53" s="510">
        <v>424.79</v>
      </c>
      <c r="R53" s="510">
        <v>100886.1</v>
      </c>
      <c r="S53" s="505">
        <v>6630.01</v>
      </c>
      <c r="T53" s="384">
        <f t="shared" si="1"/>
        <v>3023337.8300000005</v>
      </c>
      <c r="U53" s="507">
        <v>-18000.98</v>
      </c>
      <c r="V53" s="510"/>
      <c r="W53" s="510">
        <v>0</v>
      </c>
      <c r="X53" s="515">
        <v>75</v>
      </c>
      <c r="Y53" s="518">
        <v>1</v>
      </c>
      <c r="Z53" s="519">
        <v>1095</v>
      </c>
      <c r="AA53" s="588"/>
      <c r="AB53" s="524">
        <v>175464</v>
      </c>
      <c r="AC53" s="337">
        <f>AB53/VPI!R53</f>
        <v>5.0485301169155292</v>
      </c>
      <c r="AD53" s="339">
        <f t="shared" si="2"/>
        <v>138368</v>
      </c>
      <c r="AE53" s="337">
        <f>AD53/VPI!R53</f>
        <v>3.9811871108453465</v>
      </c>
      <c r="AF53" s="524">
        <v>313832</v>
      </c>
      <c r="AG53" s="524">
        <v>84724</v>
      </c>
      <c r="AH53" s="524">
        <v>226585</v>
      </c>
      <c r="AI53" s="589"/>
      <c r="AJ53" s="519">
        <v>0</v>
      </c>
      <c r="AK53" s="337">
        <f>AJ53/VPI!R53</f>
        <v>0</v>
      </c>
      <c r="AL53" s="339">
        <f t="shared" si="3"/>
        <v>162179</v>
      </c>
      <c r="AM53" s="337">
        <f>AL53/VPI!R53</f>
        <v>4.6662880467289218</v>
      </c>
      <c r="AN53" s="519">
        <v>162179</v>
      </c>
      <c r="AO53" s="589"/>
      <c r="AP53" s="532">
        <v>9.29233572793256</v>
      </c>
      <c r="AR53" s="591">
        <v>0</v>
      </c>
    </row>
    <row r="54" spans="1:44" x14ac:dyDescent="0.25">
      <c r="A54" s="586">
        <v>5487</v>
      </c>
      <c r="B54" s="587" t="s">
        <v>1</v>
      </c>
      <c r="C54" s="505">
        <v>738968.87</v>
      </c>
      <c r="D54" s="505">
        <v>74988.84</v>
      </c>
      <c r="E54" s="505"/>
      <c r="F54" s="506"/>
      <c r="G54" s="505">
        <v>3473.8</v>
      </c>
      <c r="H54" s="505">
        <v>71.8</v>
      </c>
      <c r="I54" s="505"/>
      <c r="J54" s="505">
        <v>3474.05</v>
      </c>
      <c r="K54" s="505">
        <v>993.25</v>
      </c>
      <c r="L54" s="505">
        <v>82655.350000000006</v>
      </c>
      <c r="M54" s="384">
        <f t="shared" si="0"/>
        <v>904625.96000000008</v>
      </c>
      <c r="N54" s="510">
        <v>0</v>
      </c>
      <c r="O54" s="510">
        <v>661.9</v>
      </c>
      <c r="P54" s="510">
        <v>36901.9</v>
      </c>
      <c r="Q54" s="510">
        <v>13814.44</v>
      </c>
      <c r="R54" s="510">
        <v>46740.1</v>
      </c>
      <c r="S54" s="505">
        <v>367.41</v>
      </c>
      <c r="T54" s="384">
        <f t="shared" si="1"/>
        <v>1003111.7100000001</v>
      </c>
      <c r="U54" s="507">
        <v>-15614.44</v>
      </c>
      <c r="V54" s="510"/>
      <c r="W54" s="510">
        <v>0</v>
      </c>
      <c r="X54" s="515">
        <v>75</v>
      </c>
      <c r="Y54" s="518">
        <v>1</v>
      </c>
      <c r="Z54" s="519">
        <v>482</v>
      </c>
      <c r="AA54" s="588"/>
      <c r="AB54" s="524">
        <v>5100</v>
      </c>
      <c r="AC54" s="337">
        <f>AB54/VPI!R54</f>
        <v>0.42349735140327699</v>
      </c>
      <c r="AD54" s="339">
        <f t="shared" si="2"/>
        <v>38572</v>
      </c>
      <c r="AE54" s="337">
        <f>AD54/VPI!R54</f>
        <v>3.2029685957504315</v>
      </c>
      <c r="AF54" s="524">
        <v>43672</v>
      </c>
      <c r="AG54" s="524">
        <v>18649</v>
      </c>
      <c r="AH54" s="524">
        <v>40140</v>
      </c>
      <c r="AI54" s="589"/>
      <c r="AJ54" s="519">
        <v>0</v>
      </c>
      <c r="AK54" s="337">
        <f>AJ54/VPI!R54</f>
        <v>0</v>
      </c>
      <c r="AL54" s="339">
        <f t="shared" si="3"/>
        <v>11376</v>
      </c>
      <c r="AM54" s="337">
        <f>AL54/VPI!R54</f>
        <v>0.94464820971836849</v>
      </c>
      <c r="AN54" s="519">
        <v>11376</v>
      </c>
      <c r="AO54" s="589"/>
      <c r="AP54" s="532">
        <v>19.979237691184853</v>
      </c>
      <c r="AR54" s="591">
        <v>0</v>
      </c>
    </row>
    <row r="55" spans="1:44" x14ac:dyDescent="0.25">
      <c r="A55" s="586">
        <v>5488</v>
      </c>
      <c r="B55" s="587" t="s">
        <v>2</v>
      </c>
      <c r="C55" s="505">
        <v>142423.89000000001</v>
      </c>
      <c r="D55" s="505">
        <v>14587.1</v>
      </c>
      <c r="E55" s="505"/>
      <c r="F55" s="506"/>
      <c r="G55" s="505">
        <v>-135.6</v>
      </c>
      <c r="H55" s="505">
        <v>234.75</v>
      </c>
      <c r="I55" s="505"/>
      <c r="J55" s="505">
        <v>458</v>
      </c>
      <c r="K55" s="505"/>
      <c r="L55" s="505">
        <v>8987</v>
      </c>
      <c r="M55" s="384">
        <f t="shared" si="0"/>
        <v>166555.14000000001</v>
      </c>
      <c r="N55" s="510">
        <v>0</v>
      </c>
      <c r="O55" s="510"/>
      <c r="P55" s="510"/>
      <c r="Q55" s="510"/>
      <c r="R55" s="510">
        <v>38854.550000000003</v>
      </c>
      <c r="S55" s="505">
        <v>10.28</v>
      </c>
      <c r="T55" s="384">
        <f t="shared" si="1"/>
        <v>205419.97</v>
      </c>
      <c r="U55" s="507">
        <v>-2431.8200000000002</v>
      </c>
      <c r="V55" s="510"/>
      <c r="W55" s="510">
        <v>0</v>
      </c>
      <c r="X55" s="515">
        <v>77</v>
      </c>
      <c r="Y55" s="518">
        <v>1</v>
      </c>
      <c r="Z55" s="519">
        <v>65</v>
      </c>
      <c r="AA55" s="588"/>
      <c r="AB55" s="524">
        <v>0</v>
      </c>
      <c r="AC55" s="337">
        <f>AB55/VPI!R55</f>
        <v>0</v>
      </c>
      <c r="AD55" s="339">
        <f t="shared" si="2"/>
        <v>1633</v>
      </c>
      <c r="AE55" s="337">
        <f>AD55/VPI!R55</f>
        <v>0.76608933210506558</v>
      </c>
      <c r="AF55" s="524">
        <v>1633</v>
      </c>
      <c r="AG55" s="524">
        <v>0</v>
      </c>
      <c r="AH55" s="524">
        <v>2267</v>
      </c>
      <c r="AI55" s="589"/>
      <c r="AJ55" s="519">
        <v>0</v>
      </c>
      <c r="AK55" s="337">
        <f>AJ55/VPI!R55</f>
        <v>0</v>
      </c>
      <c r="AL55" s="339">
        <f t="shared" si="3"/>
        <v>0</v>
      </c>
      <c r="AM55" s="337">
        <f>AL55/VPI!R55</f>
        <v>0</v>
      </c>
      <c r="AN55" s="519">
        <v>0</v>
      </c>
      <c r="AO55" s="589"/>
      <c r="AP55" s="532">
        <v>11.788958703352574</v>
      </c>
      <c r="AR55" s="591">
        <v>0</v>
      </c>
    </row>
    <row r="56" spans="1:44" x14ac:dyDescent="0.25">
      <c r="A56" s="586">
        <v>5489</v>
      </c>
      <c r="B56" s="587" t="s">
        <v>3</v>
      </c>
      <c r="C56" s="505">
        <v>2257272.61</v>
      </c>
      <c r="D56" s="505">
        <v>458949.52</v>
      </c>
      <c r="E56" s="505"/>
      <c r="F56" s="506"/>
      <c r="G56" s="505">
        <v>394869.1</v>
      </c>
      <c r="H56" s="505">
        <v>102076.15</v>
      </c>
      <c r="I56" s="505"/>
      <c r="J56" s="505">
        <v>55715.49</v>
      </c>
      <c r="K56" s="505">
        <v>6151.5</v>
      </c>
      <c r="L56" s="505">
        <v>304202.90000000002</v>
      </c>
      <c r="M56" s="384">
        <f t="shared" si="0"/>
        <v>3579237.27</v>
      </c>
      <c r="N56" s="510">
        <v>190350.55</v>
      </c>
      <c r="O56" s="510"/>
      <c r="P56" s="510">
        <v>37858.449999999997</v>
      </c>
      <c r="Q56" s="510">
        <v>1794.24</v>
      </c>
      <c r="R56" s="510">
        <v>296503.05</v>
      </c>
      <c r="S56" s="505">
        <v>25134.26</v>
      </c>
      <c r="T56" s="384">
        <f t="shared" si="1"/>
        <v>4130877.82</v>
      </c>
      <c r="U56" s="507">
        <v>-15246.03</v>
      </c>
      <c r="V56" s="510"/>
      <c r="W56" s="510">
        <v>-3666.91</v>
      </c>
      <c r="X56" s="515">
        <v>59.5</v>
      </c>
      <c r="Y56" s="518">
        <v>1</v>
      </c>
      <c r="Z56" s="519">
        <v>817</v>
      </c>
      <c r="AA56" s="588"/>
      <c r="AB56" s="524">
        <v>54890</v>
      </c>
      <c r="AC56" s="337">
        <f>AB56/VPI!R56</f>
        <v>0.91043345835202805</v>
      </c>
      <c r="AD56" s="339">
        <f t="shared" si="2"/>
        <v>146657</v>
      </c>
      <c r="AE56" s="337">
        <f>AD56/VPI!R56</f>
        <v>2.4325275952183163</v>
      </c>
      <c r="AF56" s="524">
        <v>201547</v>
      </c>
      <c r="AG56" s="524">
        <v>30813</v>
      </c>
      <c r="AH56" s="524">
        <v>68833</v>
      </c>
      <c r="AI56" s="589"/>
      <c r="AJ56" s="519">
        <v>0</v>
      </c>
      <c r="AK56" s="337">
        <f>AJ56/VPI!R56</f>
        <v>0</v>
      </c>
      <c r="AL56" s="339">
        <f t="shared" si="3"/>
        <v>26284</v>
      </c>
      <c r="AM56" s="337">
        <f>AL56/VPI!R56</f>
        <v>0.4359597926639589</v>
      </c>
      <c r="AN56" s="519">
        <v>26284</v>
      </c>
      <c r="AO56" s="589"/>
      <c r="AP56" s="532">
        <v>33.404608178951861</v>
      </c>
      <c r="AR56" s="591">
        <v>0</v>
      </c>
    </row>
    <row r="57" spans="1:44" x14ac:dyDescent="0.25">
      <c r="A57" s="586">
        <v>5490</v>
      </c>
      <c r="B57" s="587" t="s">
        <v>4</v>
      </c>
      <c r="C57" s="505">
        <v>535366.05000000005</v>
      </c>
      <c r="D57" s="505">
        <v>74676.56</v>
      </c>
      <c r="E57" s="505"/>
      <c r="F57" s="506"/>
      <c r="G57" s="505">
        <v>288.3</v>
      </c>
      <c r="H57" s="505">
        <v>761.1</v>
      </c>
      <c r="I57" s="505"/>
      <c r="J57" s="505">
        <v>1091.75</v>
      </c>
      <c r="K57" s="505"/>
      <c r="L57" s="505">
        <v>47956</v>
      </c>
      <c r="M57" s="384">
        <f t="shared" si="0"/>
        <v>660139.76000000013</v>
      </c>
      <c r="N57" s="510">
        <v>0</v>
      </c>
      <c r="O57" s="510">
        <v>0</v>
      </c>
      <c r="P57" s="510">
        <v>8012.1</v>
      </c>
      <c r="Q57" s="510">
        <v>0</v>
      </c>
      <c r="R57" s="510">
        <v>11852.6</v>
      </c>
      <c r="S57" s="505">
        <v>108.74</v>
      </c>
      <c r="T57" s="384">
        <f t="shared" si="1"/>
        <v>680113.20000000007</v>
      </c>
      <c r="U57" s="507">
        <v>-8440.4</v>
      </c>
      <c r="V57" s="510"/>
      <c r="W57" s="510">
        <v>-315.7</v>
      </c>
      <c r="X57" s="515">
        <v>77</v>
      </c>
      <c r="Y57" s="518">
        <v>1</v>
      </c>
      <c r="Z57" s="519">
        <v>296</v>
      </c>
      <c r="AA57" s="588"/>
      <c r="AB57" s="524">
        <v>11805</v>
      </c>
      <c r="AC57" s="337">
        <f>AB57/VPI!R57</f>
        <v>1.395235001973929</v>
      </c>
      <c r="AD57" s="339">
        <f t="shared" si="2"/>
        <v>59811</v>
      </c>
      <c r="AE57" s="337">
        <f>AD57/VPI!R57</f>
        <v>7.0690724864940844</v>
      </c>
      <c r="AF57" s="524">
        <v>71616</v>
      </c>
      <c r="AG57" s="524">
        <v>11817</v>
      </c>
      <c r="AH57" s="524">
        <v>34191</v>
      </c>
      <c r="AI57" s="589"/>
      <c r="AJ57" s="519">
        <v>0</v>
      </c>
      <c r="AK57" s="337">
        <f>AJ57/VPI!R57</f>
        <v>0</v>
      </c>
      <c r="AL57" s="339">
        <f t="shared" si="3"/>
        <v>-3999</v>
      </c>
      <c r="AM57" s="337">
        <f>AL57/VPI!R57</f>
        <v>-0.47264250511594597</v>
      </c>
      <c r="AN57" s="519">
        <v>-3999</v>
      </c>
      <c r="AO57" s="589"/>
      <c r="AP57" s="532">
        <v>13.456994580225846</v>
      </c>
      <c r="AR57" s="591">
        <v>0</v>
      </c>
    </row>
    <row r="58" spans="1:44" x14ac:dyDescent="0.25">
      <c r="A58" s="586">
        <v>5491</v>
      </c>
      <c r="B58" s="587" t="s">
        <v>147</v>
      </c>
      <c r="C58" s="505">
        <v>833483.45</v>
      </c>
      <c r="D58" s="505">
        <v>104080.29</v>
      </c>
      <c r="E58" s="505"/>
      <c r="F58" s="506">
        <v>2780</v>
      </c>
      <c r="G58" s="505">
        <v>28214</v>
      </c>
      <c r="H58" s="505">
        <v>1786.2</v>
      </c>
      <c r="I58" s="505"/>
      <c r="J58" s="505">
        <v>5828.18</v>
      </c>
      <c r="K58" s="505">
        <v>425</v>
      </c>
      <c r="L58" s="505">
        <v>92939.05</v>
      </c>
      <c r="M58" s="384">
        <f t="shared" si="0"/>
        <v>1069536.17</v>
      </c>
      <c r="N58" s="510">
        <v>3208.25</v>
      </c>
      <c r="O58" s="510">
        <v>2230.6999999999998</v>
      </c>
      <c r="P58" s="510">
        <v>79032.100000000006</v>
      </c>
      <c r="Q58" s="510">
        <v>13.91</v>
      </c>
      <c r="R58" s="510">
        <v>54703.3</v>
      </c>
      <c r="S58" s="505">
        <v>3108.71</v>
      </c>
      <c r="T58" s="384">
        <f t="shared" si="1"/>
        <v>1211833.1399999999</v>
      </c>
      <c r="U58" s="507">
        <v>-20652.240000000002</v>
      </c>
      <c r="V58" s="510"/>
      <c r="W58" s="510">
        <v>-24.5</v>
      </c>
      <c r="X58" s="515">
        <v>76</v>
      </c>
      <c r="Y58" s="518">
        <v>1</v>
      </c>
      <c r="Z58" s="519">
        <v>502</v>
      </c>
      <c r="AA58" s="588"/>
      <c r="AB58" s="524">
        <v>65709</v>
      </c>
      <c r="AC58" s="337">
        <f>AB58/VPI!R58</f>
        <v>4.7471190216601125</v>
      </c>
      <c r="AD58" s="339">
        <f t="shared" si="2"/>
        <v>832312</v>
      </c>
      <c r="AE58" s="337">
        <f>AD58/VPI!R58</f>
        <v>60.13002978520403</v>
      </c>
      <c r="AF58" s="524">
        <v>898021</v>
      </c>
      <c r="AG58" s="524">
        <v>19944</v>
      </c>
      <c r="AH58" s="524">
        <v>109089</v>
      </c>
      <c r="AI58" s="589"/>
      <c r="AJ58" s="519">
        <v>1058</v>
      </c>
      <c r="AK58" s="337">
        <f>AJ58/VPI!R58</f>
        <v>7.6434764262374999E-2</v>
      </c>
      <c r="AL58" s="339">
        <f t="shared" si="3"/>
        <v>-82635</v>
      </c>
      <c r="AM58" s="337">
        <f>AL58/VPI!R58</f>
        <v>-5.9699307607007173</v>
      </c>
      <c r="AN58" s="519">
        <v>-81577</v>
      </c>
      <c r="AO58" s="589"/>
      <c r="AP58" s="532">
        <v>9.0810468585818409</v>
      </c>
      <c r="AR58" s="591">
        <v>0</v>
      </c>
    </row>
    <row r="59" spans="1:44" x14ac:dyDescent="0.25">
      <c r="A59" s="586">
        <v>5492</v>
      </c>
      <c r="B59" s="587" t="s">
        <v>148</v>
      </c>
      <c r="C59" s="505">
        <v>5609980.8399999999</v>
      </c>
      <c r="D59" s="505">
        <v>3659159.38</v>
      </c>
      <c r="E59" s="505"/>
      <c r="F59" s="506"/>
      <c r="G59" s="505">
        <v>74019.5</v>
      </c>
      <c r="H59" s="505">
        <v>2188.9499999999998</v>
      </c>
      <c r="I59" s="505"/>
      <c r="J59" s="505">
        <v>-7366.98</v>
      </c>
      <c r="K59" s="505">
        <v>4857.45</v>
      </c>
      <c r="L59" s="505">
        <v>74882.55</v>
      </c>
      <c r="M59" s="384">
        <f t="shared" si="0"/>
        <v>9417721.6899999976</v>
      </c>
      <c r="N59" s="510">
        <v>10971.2</v>
      </c>
      <c r="O59" s="510">
        <v>87907.3</v>
      </c>
      <c r="P59" s="510">
        <v>68547.600000000006</v>
      </c>
      <c r="Q59" s="510">
        <v>18028.43</v>
      </c>
      <c r="R59" s="510">
        <v>74178.25</v>
      </c>
      <c r="S59" s="505">
        <v>7896.94</v>
      </c>
      <c r="T59" s="384">
        <f t="shared" si="1"/>
        <v>9685251.4099999964</v>
      </c>
      <c r="U59" s="507">
        <v>-20814.23</v>
      </c>
      <c r="V59" s="510"/>
      <c r="W59" s="510">
        <v>-3540.85</v>
      </c>
      <c r="X59" s="515">
        <v>64</v>
      </c>
      <c r="Y59" s="518">
        <v>0.3</v>
      </c>
      <c r="Z59" s="519">
        <v>978</v>
      </c>
      <c r="AA59" s="588"/>
      <c r="AB59" s="524">
        <v>0</v>
      </c>
      <c r="AC59" s="337">
        <f>AB59/VPI!R59</f>
        <v>0</v>
      </c>
      <c r="AD59" s="339">
        <f t="shared" si="2"/>
        <v>189637</v>
      </c>
      <c r="AE59" s="337">
        <f>AD59/VPI!R59</f>
        <v>1.2650349507945939</v>
      </c>
      <c r="AF59" s="524">
        <v>189637</v>
      </c>
      <c r="AG59" s="524">
        <v>91236</v>
      </c>
      <c r="AH59" s="524">
        <v>124052</v>
      </c>
      <c r="AI59" s="589"/>
      <c r="AJ59" s="519">
        <v>0</v>
      </c>
      <c r="AK59" s="337">
        <f>AJ59/VPI!R59</f>
        <v>0</v>
      </c>
      <c r="AL59" s="339">
        <f t="shared" si="3"/>
        <v>205119</v>
      </c>
      <c r="AM59" s="337">
        <f>AL59/VPI!R59</f>
        <v>1.3683126397909497</v>
      </c>
      <c r="AN59" s="519">
        <v>205119</v>
      </c>
      <c r="AO59" s="589"/>
      <c r="AP59" s="532">
        <v>52.997147416129415</v>
      </c>
      <c r="AR59" s="591">
        <v>0</v>
      </c>
    </row>
    <row r="60" spans="1:44" x14ac:dyDescent="0.25">
      <c r="A60" s="586">
        <v>5493</v>
      </c>
      <c r="B60" s="587" t="s">
        <v>149</v>
      </c>
      <c r="C60" s="505">
        <v>882424.04</v>
      </c>
      <c r="D60" s="505">
        <v>83244.75</v>
      </c>
      <c r="E60" s="505"/>
      <c r="F60" s="506"/>
      <c r="G60" s="505">
        <v>8769.1</v>
      </c>
      <c r="H60" s="505">
        <v>873.6</v>
      </c>
      <c r="I60" s="505"/>
      <c r="J60" s="505">
        <v>17420.61</v>
      </c>
      <c r="K60" s="505">
        <v>3534.35</v>
      </c>
      <c r="L60" s="505">
        <v>51985.5</v>
      </c>
      <c r="M60" s="384">
        <f t="shared" si="0"/>
        <v>1048251.95</v>
      </c>
      <c r="N60" s="510">
        <v>62678</v>
      </c>
      <c r="O60" s="510">
        <v>-6358.4</v>
      </c>
      <c r="P60" s="510">
        <v>51900</v>
      </c>
      <c r="Q60" s="510"/>
      <c r="R60" s="510">
        <v>27369.3</v>
      </c>
      <c r="S60" s="505">
        <v>999.21</v>
      </c>
      <c r="T60" s="384">
        <f t="shared" si="1"/>
        <v>1184840.06</v>
      </c>
      <c r="U60" s="507">
        <v>-8679.82</v>
      </c>
      <c r="V60" s="510"/>
      <c r="W60" s="510">
        <v>-156.4</v>
      </c>
      <c r="X60" s="515">
        <v>73</v>
      </c>
      <c r="Y60" s="518">
        <v>0.65</v>
      </c>
      <c r="Z60" s="519">
        <v>484</v>
      </c>
      <c r="AA60" s="588"/>
      <c r="AB60" s="524">
        <v>0</v>
      </c>
      <c r="AC60" s="337">
        <f>AB60/VPI!R60</f>
        <v>0</v>
      </c>
      <c r="AD60" s="339">
        <f t="shared" si="2"/>
        <v>138125</v>
      </c>
      <c r="AE60" s="337">
        <f>AD60/VPI!R60</f>
        <v>9.437530595870399</v>
      </c>
      <c r="AF60" s="524">
        <v>138125</v>
      </c>
      <c r="AG60" s="524">
        <v>18845</v>
      </c>
      <c r="AH60" s="524">
        <v>55907</v>
      </c>
      <c r="AI60" s="589"/>
      <c r="AJ60" s="519"/>
      <c r="AK60" s="337">
        <f>AJ60/VPI!R60</f>
        <v>0</v>
      </c>
      <c r="AL60" s="339">
        <f t="shared" si="3"/>
        <v>-4794</v>
      </c>
      <c r="AM60" s="337">
        <f>AL60/VPI!R60</f>
        <v>-0.32755490806590182</v>
      </c>
      <c r="AN60" s="519">
        <v>-4794</v>
      </c>
      <c r="AO60" s="589"/>
      <c r="AP60" s="532">
        <v>12.362675371408232</v>
      </c>
      <c r="AR60" s="591">
        <v>0</v>
      </c>
    </row>
    <row r="61" spans="1:44" x14ac:dyDescent="0.25">
      <c r="A61" s="586">
        <v>5495</v>
      </c>
      <c r="B61" s="587" t="s">
        <v>150</v>
      </c>
      <c r="C61" s="505">
        <v>5812084.25</v>
      </c>
      <c r="D61" s="505">
        <v>807933.72</v>
      </c>
      <c r="E61" s="505"/>
      <c r="F61" s="506"/>
      <c r="G61" s="505">
        <v>245151.45</v>
      </c>
      <c r="H61" s="505">
        <v>3454.45</v>
      </c>
      <c r="I61" s="505">
        <v>76799.7</v>
      </c>
      <c r="J61" s="505">
        <v>211972.27</v>
      </c>
      <c r="K61" s="505">
        <v>77785.600000000006</v>
      </c>
      <c r="L61" s="505">
        <v>513365.45</v>
      </c>
      <c r="M61" s="384">
        <f t="shared" si="0"/>
        <v>7748546.8899999997</v>
      </c>
      <c r="N61" s="510">
        <v>301863.25</v>
      </c>
      <c r="O61" s="510">
        <f>1567388.6-1500000</f>
        <v>67388.600000000093</v>
      </c>
      <c r="P61" s="510">
        <v>255756.65</v>
      </c>
      <c r="Q61" s="510">
        <v>23393.9</v>
      </c>
      <c r="R61" s="510">
        <v>203967.45</v>
      </c>
      <c r="S61" s="505">
        <v>25761.25</v>
      </c>
      <c r="T61" s="384">
        <f t="shared" si="1"/>
        <v>8626677.9900000002</v>
      </c>
      <c r="U61" s="507">
        <v>-171049.56</v>
      </c>
      <c r="V61" s="510"/>
      <c r="W61" s="510">
        <v>-685.49</v>
      </c>
      <c r="X61" s="515">
        <v>74</v>
      </c>
      <c r="Y61" s="518">
        <v>1</v>
      </c>
      <c r="Z61" s="519">
        <v>3214</v>
      </c>
      <c r="AA61" s="588"/>
      <c r="AB61" s="524">
        <v>314625</v>
      </c>
      <c r="AC61" s="337">
        <f>AB61/VPI!R61</f>
        <v>3.0530226567372014</v>
      </c>
      <c r="AD61" s="339">
        <f t="shared" si="2"/>
        <v>674174</v>
      </c>
      <c r="AE61" s="337">
        <f>AD61/VPI!R61</f>
        <v>6.5419737674474243</v>
      </c>
      <c r="AF61" s="524">
        <v>988799</v>
      </c>
      <c r="AG61" s="524">
        <v>315063</v>
      </c>
      <c r="AH61" s="524">
        <v>324103</v>
      </c>
      <c r="AI61" s="589"/>
      <c r="AJ61" s="519">
        <v>0</v>
      </c>
      <c r="AK61" s="337">
        <f>AJ61/VPI!R61</f>
        <v>0</v>
      </c>
      <c r="AL61" s="339">
        <f t="shared" si="3"/>
        <v>70918</v>
      </c>
      <c r="AM61" s="337">
        <f>AL61/VPI!R61</f>
        <v>0.68816610495189146</v>
      </c>
      <c r="AN61" s="519">
        <v>70918</v>
      </c>
      <c r="AO61" s="589"/>
      <c r="AP61" s="532">
        <v>8.4623531441950135</v>
      </c>
      <c r="AR61" s="591">
        <v>0</v>
      </c>
    </row>
    <row r="62" spans="1:44" x14ac:dyDescent="0.25">
      <c r="A62" s="586">
        <v>5496</v>
      </c>
      <c r="B62" s="587" t="s">
        <v>151</v>
      </c>
      <c r="C62" s="505">
        <v>3342354.25</v>
      </c>
      <c r="D62" s="505">
        <v>355513.1</v>
      </c>
      <c r="E62" s="505"/>
      <c r="F62" s="506"/>
      <c r="G62" s="505">
        <v>148593.25</v>
      </c>
      <c r="H62" s="505">
        <v>8115.25</v>
      </c>
      <c r="I62" s="505"/>
      <c r="J62" s="505">
        <v>89283.92</v>
      </c>
      <c r="K62" s="505">
        <v>25492.5</v>
      </c>
      <c r="L62" s="505">
        <v>368757.3</v>
      </c>
      <c r="M62" s="384">
        <f t="shared" si="0"/>
        <v>4338109.57</v>
      </c>
      <c r="N62" s="510">
        <v>85804.3</v>
      </c>
      <c r="O62" s="510">
        <v>203.4</v>
      </c>
      <c r="P62" s="510">
        <v>183626</v>
      </c>
      <c r="Q62" s="510">
        <v>10397.52</v>
      </c>
      <c r="R62" s="510">
        <v>80539.850000000006</v>
      </c>
      <c r="S62" s="505">
        <v>16238.58</v>
      </c>
      <c r="T62" s="384">
        <f t="shared" si="1"/>
        <v>4714919.22</v>
      </c>
      <c r="U62" s="507">
        <v>-79946.880000000005</v>
      </c>
      <c r="V62" s="510"/>
      <c r="W62" s="510">
        <v>-156.5</v>
      </c>
      <c r="X62" s="515">
        <v>69.5</v>
      </c>
      <c r="Y62" s="518">
        <v>1</v>
      </c>
      <c r="Z62" s="519">
        <v>1923</v>
      </c>
      <c r="AA62" s="588"/>
      <c r="AB62" s="524">
        <v>240482</v>
      </c>
      <c r="AC62" s="337">
        <f>AB62/VPI!R62</f>
        <v>3.9007921475750544</v>
      </c>
      <c r="AD62" s="339">
        <f t="shared" si="2"/>
        <v>147624</v>
      </c>
      <c r="AE62" s="337">
        <f>AD62/VPI!R62</f>
        <v>2.3945681589209165</v>
      </c>
      <c r="AF62" s="524">
        <v>388106</v>
      </c>
      <c r="AG62" s="524">
        <v>111303</v>
      </c>
      <c r="AH62" s="524">
        <v>208111</v>
      </c>
      <c r="AI62" s="589"/>
      <c r="AJ62" s="519">
        <v>0</v>
      </c>
      <c r="AK62" s="337">
        <f>AJ62/VPI!R62</f>
        <v>0</v>
      </c>
      <c r="AL62" s="339">
        <f t="shared" si="3"/>
        <v>15456</v>
      </c>
      <c r="AM62" s="337">
        <f>AL62/VPI!R62</f>
        <v>0.25070751005447411</v>
      </c>
      <c r="AN62" s="519">
        <v>15456</v>
      </c>
      <c r="AO62" s="589"/>
      <c r="AP62" s="532">
        <v>12.192365041966911</v>
      </c>
      <c r="AR62" s="591">
        <v>0</v>
      </c>
    </row>
    <row r="63" spans="1:44" x14ac:dyDescent="0.25">
      <c r="A63" s="586">
        <v>5497</v>
      </c>
      <c r="B63" s="587" t="s">
        <v>152</v>
      </c>
      <c r="C63" s="505">
        <v>1187821.28</v>
      </c>
      <c r="D63" s="505">
        <v>111126.98</v>
      </c>
      <c r="E63" s="505"/>
      <c r="F63" s="506"/>
      <c r="G63" s="505">
        <v>21989.75</v>
      </c>
      <c r="H63" s="505">
        <v>-1368.55</v>
      </c>
      <c r="I63" s="505"/>
      <c r="J63" s="505">
        <v>69090.25</v>
      </c>
      <c r="K63" s="505">
        <v>4013.6</v>
      </c>
      <c r="L63" s="505">
        <v>139086.20000000001</v>
      </c>
      <c r="M63" s="384">
        <f t="shared" si="0"/>
        <v>1531759.51</v>
      </c>
      <c r="N63" s="510">
        <v>202629.9</v>
      </c>
      <c r="O63" s="510">
        <v>27216.3</v>
      </c>
      <c r="P63" s="510">
        <v>26400</v>
      </c>
      <c r="Q63" s="510">
        <v>8434.52</v>
      </c>
      <c r="R63" s="510">
        <v>35411.699999999997</v>
      </c>
      <c r="S63" s="505">
        <v>2136.83</v>
      </c>
      <c r="T63" s="384">
        <f t="shared" si="1"/>
        <v>1833988.76</v>
      </c>
      <c r="U63" s="507">
        <v>-27509.43</v>
      </c>
      <c r="V63" s="510"/>
      <c r="W63" s="510">
        <v>-150.80000000000001</v>
      </c>
      <c r="X63" s="515">
        <v>66</v>
      </c>
      <c r="Y63" s="518">
        <v>1</v>
      </c>
      <c r="Z63" s="519">
        <v>860</v>
      </c>
      <c r="AA63" s="588"/>
      <c r="AB63" s="524">
        <v>75712</v>
      </c>
      <c r="AC63" s="337">
        <f>AB63/VPI!R63</f>
        <v>3.2990617900869972</v>
      </c>
      <c r="AD63" s="339">
        <f t="shared" si="2"/>
        <v>150273</v>
      </c>
      <c r="AE63" s="337">
        <f>AD63/VPI!R63</f>
        <v>6.5479701022525276</v>
      </c>
      <c r="AF63" s="524">
        <v>225985</v>
      </c>
      <c r="AG63" s="524">
        <v>33332</v>
      </c>
      <c r="AH63" s="524">
        <v>99339</v>
      </c>
      <c r="AI63" s="589"/>
      <c r="AJ63" s="519">
        <v>0</v>
      </c>
      <c r="AK63" s="337">
        <f>AJ63/VPI!R63</f>
        <v>0</v>
      </c>
      <c r="AL63" s="339">
        <f t="shared" si="3"/>
        <v>10604</v>
      </c>
      <c r="AM63" s="337">
        <f>AL63/VPI!R63</f>
        <v>0.4620568895562463</v>
      </c>
      <c r="AN63" s="519">
        <v>10604</v>
      </c>
      <c r="AO63" s="589"/>
      <c r="AP63" s="532">
        <v>12.631069996591968</v>
      </c>
      <c r="AR63" s="591">
        <v>0</v>
      </c>
    </row>
    <row r="64" spans="1:44" x14ac:dyDescent="0.25">
      <c r="A64" s="586">
        <v>5498</v>
      </c>
      <c r="B64" s="587" t="s">
        <v>153</v>
      </c>
      <c r="C64" s="505">
        <v>3854804.91</v>
      </c>
      <c r="D64" s="505">
        <v>434992.12</v>
      </c>
      <c r="E64" s="505"/>
      <c r="F64" s="506"/>
      <c r="G64" s="505">
        <v>102222.85</v>
      </c>
      <c r="H64" s="505">
        <v>4182.8999999999996</v>
      </c>
      <c r="I64" s="505"/>
      <c r="J64" s="505">
        <v>109228.63</v>
      </c>
      <c r="K64" s="505">
        <v>25711.1</v>
      </c>
      <c r="L64" s="505">
        <v>417885.7</v>
      </c>
      <c r="M64" s="384">
        <f t="shared" si="0"/>
        <v>4949028.21</v>
      </c>
      <c r="N64" s="510">
        <v>122746.25</v>
      </c>
      <c r="O64" s="510">
        <v>30562.400000000001</v>
      </c>
      <c r="P64" s="510">
        <v>108416.35</v>
      </c>
      <c r="Q64" s="510">
        <v>17261.95</v>
      </c>
      <c r="R64" s="510">
        <v>94890.7</v>
      </c>
      <c r="S64" s="505">
        <v>11026.07</v>
      </c>
      <c r="T64" s="384">
        <f t="shared" si="1"/>
        <v>5333931.9300000006</v>
      </c>
      <c r="U64" s="507">
        <v>-110216.03</v>
      </c>
      <c r="V64" s="510"/>
      <c r="W64" s="510">
        <v>-112.81</v>
      </c>
      <c r="X64" s="515">
        <v>66</v>
      </c>
      <c r="Y64" s="518">
        <v>1</v>
      </c>
      <c r="Z64" s="519">
        <v>2608</v>
      </c>
      <c r="AA64" s="588"/>
      <c r="AB64" s="524">
        <v>280909</v>
      </c>
      <c r="AC64" s="337">
        <f>AB64/VPI!R64</f>
        <v>3.8093367650989536</v>
      </c>
      <c r="AD64" s="339">
        <f t="shared" si="2"/>
        <v>407271</v>
      </c>
      <c r="AE64" s="337">
        <f>AD64/VPI!R64</f>
        <v>5.5229002760987225</v>
      </c>
      <c r="AF64" s="524">
        <v>688180</v>
      </c>
      <c r="AG64" s="524">
        <v>257154</v>
      </c>
      <c r="AH64" s="524">
        <v>303882</v>
      </c>
      <c r="AI64" s="589"/>
      <c r="AJ64" s="519">
        <v>0</v>
      </c>
      <c r="AK64" s="337">
        <f>AJ64/VPI!R64</f>
        <v>0</v>
      </c>
      <c r="AL64" s="339">
        <f t="shared" si="3"/>
        <v>33543</v>
      </c>
      <c r="AM64" s="337">
        <f>AL64/VPI!R64</f>
        <v>0.45486824242624552</v>
      </c>
      <c r="AN64" s="519">
        <v>33543</v>
      </c>
      <c r="AO64" s="589"/>
      <c r="AP64" s="532">
        <v>10.547070607768795</v>
      </c>
      <c r="AR64" s="591">
        <v>0</v>
      </c>
    </row>
    <row r="65" spans="1:44" x14ac:dyDescent="0.25">
      <c r="A65" s="586">
        <v>5499</v>
      </c>
      <c r="B65" s="587" t="s">
        <v>154</v>
      </c>
      <c r="C65" s="505">
        <v>1091249.42</v>
      </c>
      <c r="D65" s="505">
        <v>174825.31</v>
      </c>
      <c r="E65" s="505"/>
      <c r="F65" s="506"/>
      <c r="G65" s="505">
        <v>15786.05</v>
      </c>
      <c r="H65" s="505">
        <v>1648.85</v>
      </c>
      <c r="I65" s="505"/>
      <c r="J65" s="505">
        <v>29664.6</v>
      </c>
      <c r="K65" s="505"/>
      <c r="L65" s="505">
        <v>103386.45</v>
      </c>
      <c r="M65" s="384">
        <f t="shared" si="0"/>
        <v>1416560.6800000002</v>
      </c>
      <c r="N65" s="510">
        <v>26883.5</v>
      </c>
      <c r="O65" s="510">
        <v>7920</v>
      </c>
      <c r="P65" s="510">
        <v>47657.5</v>
      </c>
      <c r="Q65" s="510">
        <v>49.13</v>
      </c>
      <c r="R65" s="510">
        <v>26083.200000000001</v>
      </c>
      <c r="S65" s="505">
        <v>1806.65</v>
      </c>
      <c r="T65" s="384">
        <f t="shared" si="1"/>
        <v>1526960.66</v>
      </c>
      <c r="U65" s="507">
        <v>-14108.24</v>
      </c>
      <c r="V65" s="510"/>
      <c r="W65" s="510">
        <v>-683.05</v>
      </c>
      <c r="X65" s="515">
        <v>68.5</v>
      </c>
      <c r="Y65" s="518">
        <v>1</v>
      </c>
      <c r="Z65" s="519">
        <v>496</v>
      </c>
      <c r="AA65" s="588"/>
      <c r="AB65" s="524">
        <v>0</v>
      </c>
      <c r="AC65" s="337">
        <f>AB65/VPI!R65</f>
        <v>0</v>
      </c>
      <c r="AD65" s="339">
        <f t="shared" si="2"/>
        <v>73691</v>
      </c>
      <c r="AE65" s="337">
        <f>AD65/VPI!R65</f>
        <v>3.5962831159546678</v>
      </c>
      <c r="AF65" s="524">
        <v>73691</v>
      </c>
      <c r="AG65" s="524">
        <v>19277</v>
      </c>
      <c r="AH65" s="524">
        <v>114803</v>
      </c>
      <c r="AI65" s="589"/>
      <c r="AJ65" s="519">
        <v>0</v>
      </c>
      <c r="AK65" s="337">
        <f>AJ65/VPI!R65</f>
        <v>0</v>
      </c>
      <c r="AL65" s="339">
        <f t="shared" si="3"/>
        <v>16874</v>
      </c>
      <c r="AM65" s="337">
        <f>AL65/VPI!R65</f>
        <v>0.8234883676245276</v>
      </c>
      <c r="AN65" s="519">
        <v>16874</v>
      </c>
      <c r="AO65" s="589"/>
      <c r="AP65" s="532">
        <v>23.056218358709284</v>
      </c>
      <c r="AR65" s="591">
        <v>0</v>
      </c>
    </row>
    <row r="66" spans="1:44" x14ac:dyDescent="0.25">
      <c r="A66" s="586">
        <v>5501</v>
      </c>
      <c r="B66" s="587" t="s">
        <v>155</v>
      </c>
      <c r="C66" s="505">
        <v>2662757.61</v>
      </c>
      <c r="D66" s="505">
        <v>396976.48</v>
      </c>
      <c r="E66" s="505"/>
      <c r="F66" s="506"/>
      <c r="G66" s="505">
        <v>120327.7</v>
      </c>
      <c r="H66" s="505">
        <v>949.7</v>
      </c>
      <c r="I66" s="505"/>
      <c r="J66" s="505">
        <v>30549.64</v>
      </c>
      <c r="K66" s="505"/>
      <c r="L66" s="505">
        <v>252522.4</v>
      </c>
      <c r="M66" s="384">
        <f t="shared" ref="M66:M128" si="4">SUM(C66:L66)</f>
        <v>3464083.5300000003</v>
      </c>
      <c r="N66" s="510">
        <v>17893.7</v>
      </c>
      <c r="O66" s="510">
        <v>146391.29999999999</v>
      </c>
      <c r="P66" s="510">
        <v>215669</v>
      </c>
      <c r="Q66" s="510">
        <v>722.98</v>
      </c>
      <c r="R66" s="510">
        <v>193449.1</v>
      </c>
      <c r="S66" s="505">
        <v>12567.1</v>
      </c>
      <c r="T66" s="384">
        <f t="shared" ref="T66:T128" si="5">SUM(M66:S66)</f>
        <v>4050776.7100000004</v>
      </c>
      <c r="U66" s="507">
        <v>-30117.39</v>
      </c>
      <c r="V66" s="510"/>
      <c r="W66" s="510">
        <v>-1560.15</v>
      </c>
      <c r="X66" s="515">
        <v>64</v>
      </c>
      <c r="Y66" s="518">
        <v>1</v>
      </c>
      <c r="Z66" s="519">
        <v>1169</v>
      </c>
      <c r="AA66" s="588"/>
      <c r="AB66" s="524">
        <v>91643</v>
      </c>
      <c r="AC66" s="337">
        <f>AB66/VPI!R66</f>
        <v>1.7021675391120612</v>
      </c>
      <c r="AD66" s="339">
        <f t="shared" si="2"/>
        <v>148813</v>
      </c>
      <c r="AE66" s="337">
        <f>AD66/VPI!R66</f>
        <v>2.7640371659361125</v>
      </c>
      <c r="AF66" s="524">
        <v>240456</v>
      </c>
      <c r="AG66" s="524">
        <v>66451</v>
      </c>
      <c r="AH66" s="524">
        <v>50038</v>
      </c>
      <c r="AI66" s="589"/>
      <c r="AJ66" s="519">
        <v>0</v>
      </c>
      <c r="AK66" s="337">
        <f>AJ66/VPI!R66</f>
        <v>0</v>
      </c>
      <c r="AL66" s="339">
        <f t="shared" si="3"/>
        <v>51529</v>
      </c>
      <c r="AM66" s="337">
        <f>AL66/VPI!R66</f>
        <v>0.95709428022768128</v>
      </c>
      <c r="AN66" s="519">
        <v>51529</v>
      </c>
      <c r="AO66" s="589"/>
      <c r="AP66" s="532">
        <v>22.757928087982137</v>
      </c>
      <c r="AR66" s="591">
        <v>0</v>
      </c>
    </row>
    <row r="67" spans="1:44" x14ac:dyDescent="0.25">
      <c r="A67" s="586">
        <v>5503</v>
      </c>
      <c r="B67" s="587" t="s">
        <v>156</v>
      </c>
      <c r="C67" s="505">
        <v>3300398.24</v>
      </c>
      <c r="D67" s="505">
        <v>622749.88</v>
      </c>
      <c r="E67" s="505"/>
      <c r="F67" s="506"/>
      <c r="G67" s="505">
        <v>413974.95</v>
      </c>
      <c r="H67" s="505">
        <v>70607.100000000006</v>
      </c>
      <c r="I67" s="505">
        <v>0</v>
      </c>
      <c r="J67" s="505">
        <v>66955.03</v>
      </c>
      <c r="K67" s="505">
        <v>60646.85</v>
      </c>
      <c r="L67" s="505">
        <v>586965.80000000005</v>
      </c>
      <c r="M67" s="384">
        <f t="shared" si="4"/>
        <v>5122297.8499999996</v>
      </c>
      <c r="N67" s="510">
        <v>217052.05</v>
      </c>
      <c r="O67" s="510">
        <v>56935.8</v>
      </c>
      <c r="P67" s="510">
        <v>88363</v>
      </c>
      <c r="Q67" s="510">
        <v>1904.54</v>
      </c>
      <c r="R67" s="510">
        <v>7570</v>
      </c>
      <c r="S67" s="505">
        <v>90337.63</v>
      </c>
      <c r="T67" s="384">
        <f t="shared" si="5"/>
        <v>5584460.8699999992</v>
      </c>
      <c r="U67" s="507">
        <v>-36616.33</v>
      </c>
      <c r="V67" s="510"/>
      <c r="W67" s="510">
        <v>-481.25</v>
      </c>
      <c r="X67" s="515">
        <v>67</v>
      </c>
      <c r="Y67" s="518">
        <v>1.2</v>
      </c>
      <c r="Z67" s="519">
        <v>1334</v>
      </c>
      <c r="AA67" s="588"/>
      <c r="AB67" s="524">
        <v>76094</v>
      </c>
      <c r="AC67" s="337">
        <f>AB67/VPI!R67</f>
        <v>1.0036780728548182</v>
      </c>
      <c r="AD67" s="339">
        <f t="shared" si="2"/>
        <v>124775</v>
      </c>
      <c r="AE67" s="337">
        <f>AD67/VPI!R67</f>
        <v>1.6457793195318942</v>
      </c>
      <c r="AF67" s="524">
        <v>200869</v>
      </c>
      <c r="AG67" s="524">
        <v>132111</v>
      </c>
      <c r="AH67" s="524">
        <v>125003</v>
      </c>
      <c r="AI67" s="589"/>
      <c r="AJ67" s="519">
        <v>0</v>
      </c>
      <c r="AK67" s="337">
        <f>AJ67/VPI!R67</f>
        <v>0</v>
      </c>
      <c r="AL67" s="339">
        <f t="shared" si="3"/>
        <v>45663</v>
      </c>
      <c r="AM67" s="337">
        <f>AL67/VPI!R67</f>
        <v>0.60229389755788321</v>
      </c>
      <c r="AN67" s="519">
        <v>45663</v>
      </c>
      <c r="AO67" s="589"/>
      <c r="AP67" s="532">
        <v>31.517552359425387</v>
      </c>
      <c r="AR67" s="591">
        <v>0</v>
      </c>
    </row>
    <row r="68" spans="1:44" x14ac:dyDescent="0.25">
      <c r="A68" s="586">
        <v>5511</v>
      </c>
      <c r="B68" s="587" t="s">
        <v>157</v>
      </c>
      <c r="C68" s="505">
        <v>3618903.25</v>
      </c>
      <c r="D68" s="505">
        <v>458455.19</v>
      </c>
      <c r="E68" s="505"/>
      <c r="F68" s="505"/>
      <c r="G68" s="505">
        <v>468031.65</v>
      </c>
      <c r="H68" s="505">
        <v>61959.3</v>
      </c>
      <c r="I68" s="505"/>
      <c r="J68" s="505">
        <v>41847</v>
      </c>
      <c r="K68" s="505">
        <v>22019.8</v>
      </c>
      <c r="L68" s="505">
        <v>390663.45</v>
      </c>
      <c r="M68" s="384">
        <f t="shared" si="4"/>
        <v>5061879.6399999997</v>
      </c>
      <c r="N68" s="505">
        <v>228206.35</v>
      </c>
      <c r="O68" s="505"/>
      <c r="P68" s="505">
        <v>87054</v>
      </c>
      <c r="Q68" s="505">
        <v>13607.29</v>
      </c>
      <c r="R68" s="505">
        <v>94715.9</v>
      </c>
      <c r="S68" s="505">
        <v>54919.17</v>
      </c>
      <c r="T68" s="384">
        <f t="shared" si="5"/>
        <v>5540382.3499999996</v>
      </c>
      <c r="U68" s="505">
        <v>-31403.13</v>
      </c>
      <c r="V68" s="505"/>
      <c r="W68" s="505">
        <v>-966.06</v>
      </c>
      <c r="X68" s="505">
        <v>70</v>
      </c>
      <c r="Y68" s="520">
        <v>1</v>
      </c>
      <c r="Z68" s="519">
        <v>1669</v>
      </c>
      <c r="AA68" s="505"/>
      <c r="AB68" s="525">
        <v>74667</v>
      </c>
      <c r="AC68" s="337">
        <f>AB68/VPI!R68</f>
        <v>1.0252358098364569</v>
      </c>
      <c r="AD68" s="339">
        <f t="shared" si="2"/>
        <v>533374</v>
      </c>
      <c r="AE68" s="337">
        <f>AD68/VPI!R68</f>
        <v>7.3236386199487109</v>
      </c>
      <c r="AF68" s="525">
        <v>608041</v>
      </c>
      <c r="AG68" s="525">
        <v>161718</v>
      </c>
      <c r="AH68" s="525">
        <v>146972</v>
      </c>
      <c r="AI68" s="592"/>
      <c r="AJ68" s="505">
        <v>0</v>
      </c>
      <c r="AK68" s="337">
        <f>AJ68/VPI!R68</f>
        <v>0</v>
      </c>
      <c r="AL68" s="339">
        <f t="shared" si="3"/>
        <v>-24545</v>
      </c>
      <c r="AM68" s="337">
        <f>AL68/VPI!R68</f>
        <v>-0.33702188319385856</v>
      </c>
      <c r="AN68" s="529">
        <v>-24545</v>
      </c>
      <c r="AO68" s="592"/>
      <c r="AP68" s="532">
        <v>23.95800055825551</v>
      </c>
      <c r="AQ68" s="505"/>
      <c r="AR68" s="591">
        <v>0</v>
      </c>
    </row>
    <row r="69" spans="1:44" x14ac:dyDescent="0.25">
      <c r="A69" s="586">
        <v>5512</v>
      </c>
      <c r="B69" s="587" t="s">
        <v>158</v>
      </c>
      <c r="C69" s="505">
        <v>2401550.2799999998</v>
      </c>
      <c r="D69" s="505">
        <v>439504.76</v>
      </c>
      <c r="E69" s="505"/>
      <c r="F69" s="506"/>
      <c r="G69" s="505">
        <v>68311.95</v>
      </c>
      <c r="H69" s="505">
        <v>247.4</v>
      </c>
      <c r="I69" s="505"/>
      <c r="J69" s="505">
        <v>63273.13</v>
      </c>
      <c r="K69" s="505">
        <v>7327.9</v>
      </c>
      <c r="L69" s="505">
        <v>273092</v>
      </c>
      <c r="M69" s="384">
        <f t="shared" si="4"/>
        <v>3253307.42</v>
      </c>
      <c r="N69" s="510">
        <v>89160.45</v>
      </c>
      <c r="O69" s="510">
        <v>522.70000000000005</v>
      </c>
      <c r="P69" s="510">
        <v>81762.55</v>
      </c>
      <c r="Q69" s="510">
        <v>20830.82</v>
      </c>
      <c r="R69" s="510">
        <v>99686.6</v>
      </c>
      <c r="S69" s="505">
        <v>7104.31</v>
      </c>
      <c r="T69" s="384">
        <f t="shared" si="5"/>
        <v>3552374.85</v>
      </c>
      <c r="U69" s="507">
        <v>-26263.360000000001</v>
      </c>
      <c r="V69" s="510"/>
      <c r="W69" s="510">
        <v>-340.15</v>
      </c>
      <c r="X69" s="515">
        <v>79</v>
      </c>
      <c r="Y69" s="518">
        <v>1</v>
      </c>
      <c r="Z69" s="519">
        <v>1359</v>
      </c>
      <c r="AA69" s="588"/>
      <c r="AB69" s="524">
        <v>237887</v>
      </c>
      <c r="AC69" s="337">
        <f>AB69/VPI!R69</f>
        <v>5.7742418649288982</v>
      </c>
      <c r="AD69" s="339">
        <f t="shared" si="2"/>
        <v>172236</v>
      </c>
      <c r="AE69" s="337">
        <f>AD69/VPI!R69</f>
        <v>4.1806921851462828</v>
      </c>
      <c r="AF69" s="524">
        <v>410123</v>
      </c>
      <c r="AG69" s="524">
        <v>127901</v>
      </c>
      <c r="AH69" s="524">
        <v>116345</v>
      </c>
      <c r="AI69" s="589"/>
      <c r="AJ69" s="519"/>
      <c r="AK69" s="337">
        <f>AJ69/VPI!R69</f>
        <v>0</v>
      </c>
      <c r="AL69" s="339">
        <f t="shared" si="3"/>
        <v>16074</v>
      </c>
      <c r="AM69" s="337">
        <f>AL69/VPI!R69</f>
        <v>0.39016492593906815</v>
      </c>
      <c r="AN69" s="519">
        <v>16074</v>
      </c>
      <c r="AO69" s="589"/>
      <c r="AP69" s="532">
        <v>12.20412679742995</v>
      </c>
      <c r="AR69" s="591">
        <v>0</v>
      </c>
    </row>
    <row r="70" spans="1:44" x14ac:dyDescent="0.25">
      <c r="A70" s="586">
        <v>5514</v>
      </c>
      <c r="B70" s="587" t="s">
        <v>159</v>
      </c>
      <c r="C70" s="505">
        <v>2515897.5499999998</v>
      </c>
      <c r="D70" s="505">
        <v>456260.46</v>
      </c>
      <c r="E70" s="505"/>
      <c r="F70" s="506"/>
      <c r="G70" s="505">
        <v>44169.1</v>
      </c>
      <c r="H70" s="505">
        <v>5994.6</v>
      </c>
      <c r="I70" s="505">
        <v>39675.800000000003</v>
      </c>
      <c r="J70" s="505">
        <v>50641.21</v>
      </c>
      <c r="K70" s="505">
        <v>10408</v>
      </c>
      <c r="L70" s="505">
        <v>243450.5</v>
      </c>
      <c r="M70" s="384">
        <f t="shared" si="4"/>
        <v>3366497.2199999997</v>
      </c>
      <c r="N70" s="510">
        <v>9237.1</v>
      </c>
      <c r="O70" s="510">
        <v>5803.3</v>
      </c>
      <c r="P70" s="510">
        <v>96776.95</v>
      </c>
      <c r="Q70" s="510">
        <v>44751.07</v>
      </c>
      <c r="R70" s="510">
        <v>98130.85</v>
      </c>
      <c r="S70" s="505">
        <v>5198.1099999999997</v>
      </c>
      <c r="T70" s="384">
        <f t="shared" si="5"/>
        <v>3626394.5999999996</v>
      </c>
      <c r="U70" s="507">
        <v>-99760.77</v>
      </c>
      <c r="V70" s="510"/>
      <c r="W70" s="510">
        <v>-2592.8000000000002</v>
      </c>
      <c r="X70" s="515">
        <v>72.5</v>
      </c>
      <c r="Y70" s="518">
        <v>1</v>
      </c>
      <c r="Z70" s="519">
        <v>1356</v>
      </c>
      <c r="AA70" s="588"/>
      <c r="AB70" s="524">
        <v>77967</v>
      </c>
      <c r="AC70" s="337">
        <f>AB70/VPI!R70</f>
        <v>1.7056273888381095</v>
      </c>
      <c r="AD70" s="339">
        <f t="shared" si="2"/>
        <v>127806</v>
      </c>
      <c r="AE70" s="337">
        <f>AD70/VPI!R70</f>
        <v>2.795918966458161</v>
      </c>
      <c r="AF70" s="524">
        <v>205773</v>
      </c>
      <c r="AG70" s="524">
        <v>78892</v>
      </c>
      <c r="AH70" s="524">
        <v>119497</v>
      </c>
      <c r="AI70" s="589"/>
      <c r="AJ70" s="519">
        <v>0</v>
      </c>
      <c r="AK70" s="337">
        <f>AJ70/VPI!R70</f>
        <v>0</v>
      </c>
      <c r="AL70" s="339">
        <f t="shared" si="3"/>
        <v>63754</v>
      </c>
      <c r="AM70" s="337">
        <f>AL70/VPI!R70</f>
        <v>1.3946999185294398</v>
      </c>
      <c r="AN70" s="519">
        <v>63754</v>
      </c>
      <c r="AO70" s="589"/>
      <c r="AP70" s="532">
        <v>16.254052978226603</v>
      </c>
      <c r="AR70" s="591">
        <v>0</v>
      </c>
    </row>
    <row r="71" spans="1:44" x14ac:dyDescent="0.25">
      <c r="A71" s="586">
        <v>5515</v>
      </c>
      <c r="B71" s="587" t="s">
        <v>160</v>
      </c>
      <c r="C71" s="505">
        <v>1812020.93</v>
      </c>
      <c r="D71" s="505">
        <v>211427.83</v>
      </c>
      <c r="E71" s="505"/>
      <c r="F71" s="506"/>
      <c r="G71" s="505">
        <v>36426.949999999997</v>
      </c>
      <c r="H71" s="505">
        <v>6779.75</v>
      </c>
      <c r="I71" s="505"/>
      <c r="J71" s="505">
        <v>48242.97</v>
      </c>
      <c r="K71" s="505">
        <v>18378.05</v>
      </c>
      <c r="L71" s="505">
        <v>191561.15</v>
      </c>
      <c r="M71" s="384">
        <f t="shared" si="4"/>
        <v>2324837.63</v>
      </c>
      <c r="N71" s="510">
        <v>7362.9</v>
      </c>
      <c r="O71" s="510">
        <v>0</v>
      </c>
      <c r="P71" s="510">
        <v>56420.85</v>
      </c>
      <c r="Q71" s="510">
        <v>714.06</v>
      </c>
      <c r="R71" s="510">
        <v>34955.300000000003</v>
      </c>
      <c r="S71" s="505">
        <v>4477.2</v>
      </c>
      <c r="T71" s="384">
        <f t="shared" si="5"/>
        <v>2428767.94</v>
      </c>
      <c r="U71" s="507">
        <v>-45438.68</v>
      </c>
      <c r="V71" s="510"/>
      <c r="W71" s="510">
        <v>-375.25</v>
      </c>
      <c r="X71" s="515">
        <v>78</v>
      </c>
      <c r="Y71" s="518">
        <v>1</v>
      </c>
      <c r="Z71" s="519">
        <v>878</v>
      </c>
      <c r="AA71" s="588"/>
      <c r="AB71" s="524">
        <v>49556</v>
      </c>
      <c r="AC71" s="337">
        <f>AB71/VPI!R71</f>
        <v>1.6922085126349053</v>
      </c>
      <c r="AD71" s="339">
        <f t="shared" ref="AD71:AD134" si="6">AF71-AB71</f>
        <v>123034</v>
      </c>
      <c r="AE71" s="337">
        <f>AD71/VPI!R71</f>
        <v>4.2012911079086885</v>
      </c>
      <c r="AF71" s="524">
        <v>172590</v>
      </c>
      <c r="AG71" s="524">
        <v>51277</v>
      </c>
      <c r="AH71" s="524">
        <v>68860</v>
      </c>
      <c r="AI71" s="589"/>
      <c r="AJ71" s="519">
        <v>0</v>
      </c>
      <c r="AK71" s="337">
        <f>AJ71/VPI!R71</f>
        <v>0</v>
      </c>
      <c r="AL71" s="339">
        <f t="shared" ref="AL71:AL134" si="7">AN71-AJ71</f>
        <v>9480</v>
      </c>
      <c r="AM71" s="337">
        <f>AL71/VPI!R71</f>
        <v>0.32371734401039032</v>
      </c>
      <c r="AN71" s="519">
        <v>9480</v>
      </c>
      <c r="AO71" s="589"/>
      <c r="AP71" s="532">
        <v>20.996528204983413</v>
      </c>
      <c r="AR71" s="591">
        <v>0</v>
      </c>
    </row>
    <row r="72" spans="1:44" x14ac:dyDescent="0.25">
      <c r="A72" s="586">
        <v>5516</v>
      </c>
      <c r="B72" s="587" t="s">
        <v>161</v>
      </c>
      <c r="C72" s="505">
        <v>6293902.0599999996</v>
      </c>
      <c r="D72" s="505">
        <v>1064178.49</v>
      </c>
      <c r="E72" s="505"/>
      <c r="F72" s="506"/>
      <c r="G72" s="505">
        <v>340872.9</v>
      </c>
      <c r="H72" s="505">
        <v>8328.25</v>
      </c>
      <c r="I72" s="505">
        <v>41701.050000000003</v>
      </c>
      <c r="J72" s="505">
        <v>92087.85</v>
      </c>
      <c r="K72" s="505">
        <v>42955.5</v>
      </c>
      <c r="L72" s="505">
        <v>726633.2</v>
      </c>
      <c r="M72" s="384">
        <f t="shared" si="4"/>
        <v>8610659.2999999989</v>
      </c>
      <c r="N72" s="510">
        <v>89061.8</v>
      </c>
      <c r="O72" s="510">
        <v>0</v>
      </c>
      <c r="P72" s="510">
        <v>265151.34999999998</v>
      </c>
      <c r="Q72" s="510">
        <v>107200.72</v>
      </c>
      <c r="R72" s="510">
        <v>298985.05</v>
      </c>
      <c r="S72" s="505">
        <v>36185.21</v>
      </c>
      <c r="T72" s="384">
        <f t="shared" si="5"/>
        <v>9407243.4300000016</v>
      </c>
      <c r="U72" s="507">
        <v>-248047.03</v>
      </c>
      <c r="V72" s="510"/>
      <c r="W72" s="510">
        <v>-3141.95</v>
      </c>
      <c r="X72" s="515">
        <v>76</v>
      </c>
      <c r="Y72" s="518">
        <v>1.2</v>
      </c>
      <c r="Z72" s="519">
        <v>2697</v>
      </c>
      <c r="AA72" s="588"/>
      <c r="AB72" s="524">
        <v>374504</v>
      </c>
      <c r="AC72" s="337">
        <f>AB72/VPI!R72</f>
        <v>3.3957468984855659</v>
      </c>
      <c r="AD72" s="339">
        <f t="shared" si="6"/>
        <v>403734</v>
      </c>
      <c r="AE72" s="337">
        <f>AD72/VPI!R72</f>
        <v>3.6607846066081309</v>
      </c>
      <c r="AF72" s="524">
        <v>778238</v>
      </c>
      <c r="AG72" s="524">
        <v>158889</v>
      </c>
      <c r="AH72" s="524">
        <v>199042</v>
      </c>
      <c r="AI72" s="589"/>
      <c r="AJ72" s="519">
        <v>0</v>
      </c>
      <c r="AK72" s="337">
        <f>AJ72/VPI!R72</f>
        <v>0</v>
      </c>
      <c r="AL72" s="339">
        <f t="shared" si="7"/>
        <v>15284</v>
      </c>
      <c r="AM72" s="337">
        <f>AL72/VPI!R72</f>
        <v>0.1385848898715458</v>
      </c>
      <c r="AN72" s="519">
        <v>15284</v>
      </c>
      <c r="AO72" s="589"/>
      <c r="AP72" s="532">
        <v>20.982320690365196</v>
      </c>
      <c r="AR72" s="591">
        <v>0</v>
      </c>
    </row>
    <row r="73" spans="1:44" x14ac:dyDescent="0.25">
      <c r="A73" s="586">
        <v>5518</v>
      </c>
      <c r="B73" s="587" t="s">
        <v>162</v>
      </c>
      <c r="C73" s="505">
        <v>10380985.800000001</v>
      </c>
      <c r="D73" s="505">
        <v>1411496.84</v>
      </c>
      <c r="E73" s="505"/>
      <c r="F73" s="506"/>
      <c r="G73" s="505">
        <v>734442.25</v>
      </c>
      <c r="H73" s="505">
        <v>97217</v>
      </c>
      <c r="I73" s="505"/>
      <c r="J73" s="505">
        <v>209139.8</v>
      </c>
      <c r="K73" s="505">
        <v>107328.85</v>
      </c>
      <c r="L73" s="505">
        <v>1108359.7</v>
      </c>
      <c r="M73" s="384">
        <f t="shared" si="4"/>
        <v>14048970.24</v>
      </c>
      <c r="N73" s="510">
        <v>223921.4</v>
      </c>
      <c r="O73" s="510">
        <v>186646.9</v>
      </c>
      <c r="P73" s="510">
        <v>399944.1</v>
      </c>
      <c r="Q73" s="510">
        <v>75108.47</v>
      </c>
      <c r="R73" s="510">
        <v>522775.9</v>
      </c>
      <c r="S73" s="505">
        <v>86178.89</v>
      </c>
      <c r="T73" s="384">
        <f t="shared" si="5"/>
        <v>15543545.900000002</v>
      </c>
      <c r="U73" s="507">
        <v>-197320.75</v>
      </c>
      <c r="V73" s="510"/>
      <c r="W73" s="510">
        <v>-704.84</v>
      </c>
      <c r="X73" s="515">
        <v>72.5</v>
      </c>
      <c r="Y73" s="518">
        <v>1</v>
      </c>
      <c r="Z73" s="519">
        <v>5816</v>
      </c>
      <c r="AA73" s="588"/>
      <c r="AB73" s="524">
        <v>1084281</v>
      </c>
      <c r="AC73" s="337">
        <f>AB73/VPI!R73</f>
        <v>5.6101249568162119</v>
      </c>
      <c r="AD73" s="339">
        <f t="shared" si="6"/>
        <v>1322545</v>
      </c>
      <c r="AE73" s="337">
        <f>AD73/VPI!R73</f>
        <v>6.8429149925273034</v>
      </c>
      <c r="AF73" s="524">
        <v>2406826</v>
      </c>
      <c r="AG73" s="524">
        <v>556081</v>
      </c>
      <c r="AH73" s="524">
        <v>505376</v>
      </c>
      <c r="AI73" s="589"/>
      <c r="AJ73" s="519">
        <v>0</v>
      </c>
      <c r="AK73" s="337">
        <f>AJ73/VPI!R73</f>
        <v>0</v>
      </c>
      <c r="AL73" s="339">
        <f t="shared" si="7"/>
        <v>91227</v>
      </c>
      <c r="AM73" s="337">
        <f>AL73/VPI!R73</f>
        <v>0.47201313076174217</v>
      </c>
      <c r="AN73" s="519">
        <v>91227</v>
      </c>
      <c r="AO73" s="589"/>
      <c r="AP73" s="532">
        <v>8.6159111634695869</v>
      </c>
      <c r="AR73" s="591">
        <v>0</v>
      </c>
    </row>
    <row r="74" spans="1:44" x14ac:dyDescent="0.25">
      <c r="A74" s="586">
        <v>5520</v>
      </c>
      <c r="B74" s="587" t="s">
        <v>163</v>
      </c>
      <c r="C74" s="505">
        <v>1848454.5</v>
      </c>
      <c r="D74" s="505">
        <v>233747.6</v>
      </c>
      <c r="E74" s="505"/>
      <c r="F74" s="506"/>
      <c r="G74" s="505">
        <v>33424.25</v>
      </c>
      <c r="H74" s="505">
        <v>2807.55</v>
      </c>
      <c r="I74" s="505"/>
      <c r="J74" s="505">
        <v>17394.52</v>
      </c>
      <c r="K74" s="505">
        <v>5711.65</v>
      </c>
      <c r="L74" s="505">
        <v>199587.5</v>
      </c>
      <c r="M74" s="384">
        <f t="shared" si="4"/>
        <v>2341127.5699999998</v>
      </c>
      <c r="N74" s="510">
        <v>7550.95</v>
      </c>
      <c r="O74" s="510">
        <v>652.4</v>
      </c>
      <c r="P74" s="510">
        <v>127924.3</v>
      </c>
      <c r="Q74" s="510">
        <v>4515.1499999999996</v>
      </c>
      <c r="R74" s="510">
        <v>127684.95</v>
      </c>
      <c r="S74" s="505">
        <v>3754.44</v>
      </c>
      <c r="T74" s="384">
        <f t="shared" si="5"/>
        <v>2613209.7599999998</v>
      </c>
      <c r="U74" s="507">
        <v>-23804.41</v>
      </c>
      <c r="V74" s="510"/>
      <c r="W74" s="510">
        <v>-394.06</v>
      </c>
      <c r="X74" s="515">
        <v>74</v>
      </c>
      <c r="Y74" s="518">
        <v>1</v>
      </c>
      <c r="Z74" s="519">
        <v>1081</v>
      </c>
      <c r="AA74" s="588"/>
      <c r="AB74" s="524">
        <v>89847</v>
      </c>
      <c r="AC74" s="337">
        <f>AB74/VPI!R74</f>
        <v>2.8594020926443924</v>
      </c>
      <c r="AD74" s="339">
        <f t="shared" si="6"/>
        <v>464084</v>
      </c>
      <c r="AE74" s="337">
        <f>AD74/VPI!R74</f>
        <v>14.769583411385803</v>
      </c>
      <c r="AF74" s="524">
        <v>553931</v>
      </c>
      <c r="AG74" s="524">
        <v>75913</v>
      </c>
      <c r="AH74" s="524">
        <v>93256</v>
      </c>
      <c r="AI74" s="589"/>
      <c r="AJ74" s="519">
        <v>0</v>
      </c>
      <c r="AK74" s="337">
        <f>AJ74/VPI!R74</f>
        <v>0</v>
      </c>
      <c r="AL74" s="339">
        <f t="shared" si="7"/>
        <v>85517</v>
      </c>
      <c r="AM74" s="337">
        <f>AL74/VPI!R74</f>
        <v>2.7215988152823192</v>
      </c>
      <c r="AN74" s="519">
        <v>85517</v>
      </c>
      <c r="AO74" s="589"/>
      <c r="AP74" s="532">
        <v>14.425933428417492</v>
      </c>
      <c r="AR74" s="591">
        <v>0</v>
      </c>
    </row>
    <row r="75" spans="1:44" x14ac:dyDescent="0.25">
      <c r="A75" s="586">
        <v>5521</v>
      </c>
      <c r="B75" s="587" t="s">
        <v>164</v>
      </c>
      <c r="C75" s="505">
        <v>2578050.91</v>
      </c>
      <c r="D75" s="505">
        <v>281848.78000000003</v>
      </c>
      <c r="E75" s="505"/>
      <c r="F75" s="506"/>
      <c r="G75" s="505">
        <v>222871.25</v>
      </c>
      <c r="H75" s="505">
        <v>5129.8500000000004</v>
      </c>
      <c r="I75" s="505"/>
      <c r="J75" s="505">
        <v>75719.17</v>
      </c>
      <c r="K75" s="505">
        <v>23854.75</v>
      </c>
      <c r="L75" s="505">
        <v>274534.45</v>
      </c>
      <c r="M75" s="384">
        <f t="shared" si="4"/>
        <v>3462009.1600000006</v>
      </c>
      <c r="N75" s="510">
        <v>100109.65</v>
      </c>
      <c r="O75" s="510">
        <v>556775.6</v>
      </c>
      <c r="P75" s="510">
        <v>100106.8</v>
      </c>
      <c r="Q75" s="510">
        <v>5667.65</v>
      </c>
      <c r="R75" s="510">
        <v>23724.1</v>
      </c>
      <c r="S75" s="505">
        <v>23626.13</v>
      </c>
      <c r="T75" s="384">
        <f t="shared" si="5"/>
        <v>4272019.0900000008</v>
      </c>
      <c r="U75" s="507">
        <v>-46449.57</v>
      </c>
      <c r="V75" s="510"/>
      <c r="W75" s="510">
        <v>-208.92</v>
      </c>
      <c r="X75" s="515">
        <v>73</v>
      </c>
      <c r="Y75" s="518">
        <v>1</v>
      </c>
      <c r="Z75" s="519">
        <v>1154</v>
      </c>
      <c r="AA75" s="588"/>
      <c r="AB75" s="524">
        <v>61270</v>
      </c>
      <c r="AC75" s="337">
        <f>AB75/VPI!R75</f>
        <v>1.2984533135197738</v>
      </c>
      <c r="AD75" s="339">
        <f t="shared" si="6"/>
        <v>191192</v>
      </c>
      <c r="AE75" s="337">
        <f>AD75/VPI!R75</f>
        <v>4.0518016307894991</v>
      </c>
      <c r="AF75" s="524">
        <v>252462</v>
      </c>
      <c r="AG75" s="524">
        <v>111236</v>
      </c>
      <c r="AH75" s="524">
        <v>101093</v>
      </c>
      <c r="AI75" s="589"/>
      <c r="AJ75" s="519">
        <v>0</v>
      </c>
      <c r="AK75" s="337">
        <f>AJ75/VPI!R75</f>
        <v>0</v>
      </c>
      <c r="AL75" s="339">
        <f t="shared" si="7"/>
        <v>-1717</v>
      </c>
      <c r="AM75" s="337">
        <f>AL75/VPI!R75</f>
        <v>-3.6387209716230648E-2</v>
      </c>
      <c r="AN75" s="529">
        <v>-1717</v>
      </c>
      <c r="AO75" s="589"/>
      <c r="AP75" s="532">
        <v>21.508652470838829</v>
      </c>
      <c r="AR75" s="591">
        <v>0</v>
      </c>
    </row>
    <row r="76" spans="1:44" x14ac:dyDescent="0.25">
      <c r="A76" s="586">
        <v>5522</v>
      </c>
      <c r="B76" s="587" t="s">
        <v>165</v>
      </c>
      <c r="C76" s="505">
        <v>1358227.02</v>
      </c>
      <c r="D76" s="505">
        <v>222633.64</v>
      </c>
      <c r="E76" s="505"/>
      <c r="F76" s="506"/>
      <c r="G76" s="505">
        <v>67650.399999999994</v>
      </c>
      <c r="H76" s="505">
        <v>639.6</v>
      </c>
      <c r="I76" s="505"/>
      <c r="J76" s="505">
        <v>12468.42</v>
      </c>
      <c r="K76" s="505">
        <v>3563</v>
      </c>
      <c r="L76" s="505">
        <v>144507.85</v>
      </c>
      <c r="M76" s="384">
        <f t="shared" si="4"/>
        <v>1809689.9300000002</v>
      </c>
      <c r="N76" s="510">
        <v>4142.45</v>
      </c>
      <c r="O76" s="510"/>
      <c r="P76" s="510">
        <v>95019.55</v>
      </c>
      <c r="Q76" s="510">
        <v>10907.69</v>
      </c>
      <c r="R76" s="510">
        <v>49763.6</v>
      </c>
      <c r="S76" s="505">
        <v>7076.41</v>
      </c>
      <c r="T76" s="384">
        <f t="shared" si="5"/>
        <v>1976599.6300000001</v>
      </c>
      <c r="U76" s="507">
        <v>-14772.78</v>
      </c>
      <c r="V76" s="510"/>
      <c r="W76" s="510">
        <v>-26.72</v>
      </c>
      <c r="X76" s="515">
        <v>75</v>
      </c>
      <c r="Y76" s="518">
        <v>1</v>
      </c>
      <c r="Z76" s="519">
        <v>736</v>
      </c>
      <c r="AA76" s="588"/>
      <c r="AB76" s="524">
        <v>1456</v>
      </c>
      <c r="AC76" s="337">
        <f>AB76/VPI!R76</f>
        <v>6.0235828896553587E-2</v>
      </c>
      <c r="AD76" s="339">
        <f t="shared" si="6"/>
        <v>224133</v>
      </c>
      <c r="AE76" s="337">
        <f>AD76/VPI!R76</f>
        <v>9.272552910763217</v>
      </c>
      <c r="AF76" s="524">
        <v>225589</v>
      </c>
      <c r="AG76" s="524">
        <v>73059</v>
      </c>
      <c r="AH76" s="524">
        <v>66397</v>
      </c>
      <c r="AI76" s="589"/>
      <c r="AJ76" s="519">
        <v>0</v>
      </c>
      <c r="AK76" s="337">
        <f>AJ76/VPI!R76</f>
        <v>0</v>
      </c>
      <c r="AL76" s="339">
        <f t="shared" si="7"/>
        <v>22928</v>
      </c>
      <c r="AM76" s="337">
        <f>AL76/VPI!R76</f>
        <v>0.9485488220742998</v>
      </c>
      <c r="AN76" s="519">
        <v>22928</v>
      </c>
      <c r="AO76" s="589"/>
      <c r="AP76" s="532">
        <v>16.432064687765642</v>
      </c>
      <c r="AR76" s="591">
        <v>0</v>
      </c>
    </row>
    <row r="77" spans="1:44" x14ac:dyDescent="0.25">
      <c r="A77" s="586">
        <v>5523</v>
      </c>
      <c r="B77" s="587" t="s">
        <v>166</v>
      </c>
      <c r="C77" s="505">
        <v>5222423.82</v>
      </c>
      <c r="D77" s="505">
        <v>722188.89</v>
      </c>
      <c r="E77" s="505"/>
      <c r="F77" s="506">
        <v>14960</v>
      </c>
      <c r="G77" s="505">
        <v>61551.85</v>
      </c>
      <c r="H77" s="505">
        <v>2545.6</v>
      </c>
      <c r="I77" s="505"/>
      <c r="J77" s="505">
        <v>77048.429999999993</v>
      </c>
      <c r="K77" s="505">
        <v>39595</v>
      </c>
      <c r="L77" s="505">
        <v>662928.69999999995</v>
      </c>
      <c r="M77" s="384">
        <f t="shared" si="4"/>
        <v>6803242.2899999991</v>
      </c>
      <c r="N77" s="510">
        <v>6529.5</v>
      </c>
      <c r="O77" s="510">
        <v>0</v>
      </c>
      <c r="P77" s="510">
        <v>396836</v>
      </c>
      <c r="Q77" s="510">
        <v>3026.14</v>
      </c>
      <c r="R77" s="510">
        <v>324375.55</v>
      </c>
      <c r="S77" s="505">
        <v>6641.96</v>
      </c>
      <c r="T77" s="384">
        <f t="shared" si="5"/>
        <v>7540651.4399999985</v>
      </c>
      <c r="U77" s="507">
        <v>-38787.370000000003</v>
      </c>
      <c r="V77" s="510"/>
      <c r="W77" s="510">
        <v>-1448.75</v>
      </c>
      <c r="X77" s="515">
        <v>72</v>
      </c>
      <c r="Y77" s="518">
        <v>1.25</v>
      </c>
      <c r="Z77" s="519">
        <v>2720</v>
      </c>
      <c r="AA77" s="588"/>
      <c r="AB77" s="524">
        <v>113050</v>
      </c>
      <c r="AC77" s="337">
        <f>AB77/VPI!R77</f>
        <v>1.2258270297489544</v>
      </c>
      <c r="AD77" s="339">
        <f t="shared" si="6"/>
        <v>401622</v>
      </c>
      <c r="AE77" s="337">
        <f>AD77/VPI!R77</f>
        <v>4.3548792865266215</v>
      </c>
      <c r="AF77" s="524">
        <v>514672</v>
      </c>
      <c r="AG77" s="524">
        <v>155400</v>
      </c>
      <c r="AH77" s="524">
        <v>204015</v>
      </c>
      <c r="AI77" s="589"/>
      <c r="AJ77" s="519">
        <v>0</v>
      </c>
      <c r="AK77" s="337">
        <f>AJ77/VPI!R77</f>
        <v>0</v>
      </c>
      <c r="AL77" s="339">
        <f t="shared" si="7"/>
        <v>-53661</v>
      </c>
      <c r="AM77" s="337">
        <f>AL77/VPI!R77</f>
        <v>-0.58185850723890875</v>
      </c>
      <c r="AN77" s="519">
        <v>-53661</v>
      </c>
      <c r="AO77" s="589"/>
      <c r="AP77" s="532">
        <v>16.552784332992918</v>
      </c>
      <c r="AR77" s="591">
        <v>0</v>
      </c>
    </row>
    <row r="78" spans="1:44" x14ac:dyDescent="0.25">
      <c r="A78" s="586">
        <v>5527</v>
      </c>
      <c r="B78" s="587" t="s">
        <v>167</v>
      </c>
      <c r="C78" s="505">
        <v>2307131.33</v>
      </c>
      <c r="D78" s="505">
        <v>402635.98</v>
      </c>
      <c r="E78" s="505"/>
      <c r="F78" s="506"/>
      <c r="G78" s="505">
        <v>5233.8999999999996</v>
      </c>
      <c r="H78" s="505">
        <v>19552.25</v>
      </c>
      <c r="I78" s="505"/>
      <c r="J78" s="505">
        <v>53493.440000000002</v>
      </c>
      <c r="K78" s="505">
        <v>9648.75</v>
      </c>
      <c r="L78" s="505">
        <v>246295.15</v>
      </c>
      <c r="M78" s="384">
        <f t="shared" si="4"/>
        <v>3043990.8</v>
      </c>
      <c r="N78" s="510">
        <v>11668.5</v>
      </c>
      <c r="O78" s="510">
        <v>0</v>
      </c>
      <c r="P78" s="510">
        <v>119845</v>
      </c>
      <c r="Q78" s="510">
        <v>7115.65</v>
      </c>
      <c r="R78" s="510">
        <v>159323.4</v>
      </c>
      <c r="S78" s="505">
        <v>2568.41</v>
      </c>
      <c r="T78" s="384">
        <f t="shared" si="5"/>
        <v>3344511.76</v>
      </c>
      <c r="U78" s="507">
        <v>-34331.26</v>
      </c>
      <c r="V78" s="510"/>
      <c r="W78" s="510">
        <v>-5900.05</v>
      </c>
      <c r="X78" s="515">
        <v>74</v>
      </c>
      <c r="Y78" s="518">
        <v>1</v>
      </c>
      <c r="Z78" s="519">
        <v>1172</v>
      </c>
      <c r="AA78" s="588"/>
      <c r="AB78" s="524">
        <v>86237</v>
      </c>
      <c r="AC78" s="337">
        <f>AB78/VPI!R78</f>
        <v>2.1176895780908191</v>
      </c>
      <c r="AD78" s="339">
        <f t="shared" si="6"/>
        <v>102591</v>
      </c>
      <c r="AE78" s="337">
        <f>AD78/VPI!R78</f>
        <v>2.5192886058874406</v>
      </c>
      <c r="AF78" s="524">
        <v>188828</v>
      </c>
      <c r="AG78" s="524">
        <v>67206</v>
      </c>
      <c r="AH78" s="524">
        <v>80158</v>
      </c>
      <c r="AI78" s="589"/>
      <c r="AJ78" s="519">
        <v>0</v>
      </c>
      <c r="AK78" s="337">
        <f>AJ78/VPI!R78</f>
        <v>0</v>
      </c>
      <c r="AL78" s="339">
        <f t="shared" si="7"/>
        <v>26098</v>
      </c>
      <c r="AM78" s="337">
        <f>AL78/VPI!R78</f>
        <v>0.64087877139759264</v>
      </c>
      <c r="AN78" s="519">
        <v>26098</v>
      </c>
      <c r="AO78" s="589"/>
      <c r="AP78" s="532">
        <v>18.299101165809837</v>
      </c>
      <c r="AR78" s="591">
        <v>0</v>
      </c>
    </row>
    <row r="79" spans="1:44" x14ac:dyDescent="0.25">
      <c r="A79" s="586">
        <v>5529</v>
      </c>
      <c r="B79" s="587" t="s">
        <v>168</v>
      </c>
      <c r="C79" s="505">
        <v>1262540.73</v>
      </c>
      <c r="D79" s="505">
        <v>169910.17</v>
      </c>
      <c r="E79" s="505"/>
      <c r="F79" s="506"/>
      <c r="G79" s="505">
        <v>26486.85</v>
      </c>
      <c r="H79" s="505">
        <v>860.1</v>
      </c>
      <c r="I79" s="505"/>
      <c r="J79" s="505">
        <v>11450.56</v>
      </c>
      <c r="K79" s="505">
        <v>3086.05</v>
      </c>
      <c r="L79" s="505">
        <v>135606.79999999999</v>
      </c>
      <c r="M79" s="384">
        <f t="shared" si="4"/>
        <v>1609941.2600000002</v>
      </c>
      <c r="N79" s="510">
        <v>0</v>
      </c>
      <c r="O79" s="510"/>
      <c r="P79" s="510">
        <v>12210</v>
      </c>
      <c r="Q79" s="510">
        <v>100</v>
      </c>
      <c r="R79" s="510"/>
      <c r="S79" s="505">
        <v>2833.77</v>
      </c>
      <c r="T79" s="384">
        <f t="shared" si="5"/>
        <v>1625085.0300000003</v>
      </c>
      <c r="U79" s="507">
        <v>-2805.51</v>
      </c>
      <c r="V79" s="510"/>
      <c r="W79" s="510">
        <v>-25.7</v>
      </c>
      <c r="X79" s="515">
        <v>71</v>
      </c>
      <c r="Y79" s="518">
        <v>1</v>
      </c>
      <c r="Z79" s="519">
        <v>606</v>
      </c>
      <c r="AA79" s="588"/>
      <c r="AB79" s="524">
        <v>21087</v>
      </c>
      <c r="AC79" s="337">
        <f>AB79/VPI!R79</f>
        <v>0.92989829307875604</v>
      </c>
      <c r="AD79" s="339">
        <f t="shared" si="6"/>
        <v>205347</v>
      </c>
      <c r="AE79" s="337">
        <f>AD79/VPI!R79</f>
        <v>9.0554286901334144</v>
      </c>
      <c r="AF79" s="524">
        <v>226434</v>
      </c>
      <c r="AG79" s="524">
        <v>23991</v>
      </c>
      <c r="AH79" s="524">
        <v>54509</v>
      </c>
      <c r="AI79" s="589"/>
      <c r="AJ79" s="519">
        <v>0</v>
      </c>
      <c r="AK79" s="337">
        <f>AJ79/VPI!R79</f>
        <v>0</v>
      </c>
      <c r="AL79" s="339">
        <f t="shared" si="7"/>
        <v>-16588</v>
      </c>
      <c r="AM79" s="337">
        <f>AL79/VPI!R79</f>
        <v>-0.73150058735668444</v>
      </c>
      <c r="AN79" s="529">
        <v>-16588</v>
      </c>
      <c r="AO79" s="589"/>
      <c r="AP79" s="532">
        <v>20.330564887160435</v>
      </c>
      <c r="AR79" s="591">
        <v>0</v>
      </c>
    </row>
    <row r="80" spans="1:44" x14ac:dyDescent="0.25">
      <c r="A80" s="586">
        <v>5530</v>
      </c>
      <c r="B80" s="587" t="s">
        <v>169</v>
      </c>
      <c r="C80" s="505">
        <v>1212967.0900000001</v>
      </c>
      <c r="D80" s="505">
        <v>164636.12</v>
      </c>
      <c r="E80" s="505"/>
      <c r="F80" s="506"/>
      <c r="G80" s="505">
        <v>48649.2</v>
      </c>
      <c r="H80" s="505">
        <v>3236.15</v>
      </c>
      <c r="I80" s="505"/>
      <c r="J80" s="505">
        <v>1792.91</v>
      </c>
      <c r="K80" s="505">
        <v>1252.5</v>
      </c>
      <c r="L80" s="505">
        <v>135198.25</v>
      </c>
      <c r="M80" s="384">
        <f t="shared" si="4"/>
        <v>1567732.2199999997</v>
      </c>
      <c r="N80" s="510">
        <v>20999.9</v>
      </c>
      <c r="O80" s="510">
        <v>452957.2</v>
      </c>
      <c r="P80" s="510">
        <v>23425.5</v>
      </c>
      <c r="Q80" s="510"/>
      <c r="R80" s="510">
        <v>56567.9</v>
      </c>
      <c r="S80" s="505">
        <v>5376.5</v>
      </c>
      <c r="T80" s="384">
        <f t="shared" si="5"/>
        <v>2127059.2199999997</v>
      </c>
      <c r="U80" s="507">
        <v>-3318.71</v>
      </c>
      <c r="V80" s="510"/>
      <c r="W80" s="510">
        <v>0</v>
      </c>
      <c r="X80" s="515">
        <v>76</v>
      </c>
      <c r="Y80" s="518">
        <v>1.2</v>
      </c>
      <c r="Z80" s="519">
        <v>566</v>
      </c>
      <c r="AA80" s="588"/>
      <c r="AB80" s="524">
        <v>73432</v>
      </c>
      <c r="AC80" s="337">
        <f>AB80/VPI!R80</f>
        <v>3.6069199326415271</v>
      </c>
      <c r="AD80" s="339">
        <f t="shared" si="6"/>
        <v>110034</v>
      </c>
      <c r="AE80" s="337">
        <f>AD80/VPI!R80</f>
        <v>5.4047803119658706</v>
      </c>
      <c r="AF80" s="524">
        <v>183466</v>
      </c>
      <c r="AG80" s="524">
        <v>22286</v>
      </c>
      <c r="AH80" s="524">
        <v>50635</v>
      </c>
      <c r="AI80" s="589"/>
      <c r="AJ80" s="519">
        <v>0</v>
      </c>
      <c r="AK80" s="337">
        <f>AJ80/VPI!R80</f>
        <v>0</v>
      </c>
      <c r="AL80" s="339">
        <f t="shared" si="7"/>
        <v>34262</v>
      </c>
      <c r="AM80" s="337">
        <f>AL80/VPI!R80</f>
        <v>1.6829214883451902</v>
      </c>
      <c r="AN80" s="519">
        <v>34262</v>
      </c>
      <c r="AO80" s="589"/>
      <c r="AP80" s="532">
        <v>18.269720253369304</v>
      </c>
      <c r="AR80" s="591">
        <v>0</v>
      </c>
    </row>
    <row r="81" spans="1:44" x14ac:dyDescent="0.25">
      <c r="A81" s="586">
        <v>5531</v>
      </c>
      <c r="B81" s="587" t="s">
        <v>170</v>
      </c>
      <c r="C81" s="505">
        <v>1021090.73</v>
      </c>
      <c r="D81" s="505">
        <v>157692</v>
      </c>
      <c r="E81" s="505"/>
      <c r="F81" s="506"/>
      <c r="G81" s="505">
        <v>2953</v>
      </c>
      <c r="H81" s="505">
        <v>450.7</v>
      </c>
      <c r="I81" s="505"/>
      <c r="J81" s="505">
        <v>14886.14</v>
      </c>
      <c r="K81" s="505">
        <v>1425.3</v>
      </c>
      <c r="L81" s="505">
        <v>83455.350000000006</v>
      </c>
      <c r="M81" s="384">
        <f t="shared" si="4"/>
        <v>1281953.22</v>
      </c>
      <c r="N81" s="510">
        <v>27044.6</v>
      </c>
      <c r="O81" s="510">
        <v>0</v>
      </c>
      <c r="P81" s="510">
        <v>13661.3</v>
      </c>
      <c r="Q81" s="510">
        <v>0</v>
      </c>
      <c r="R81" s="510">
        <v>17753.75</v>
      </c>
      <c r="S81" s="505">
        <v>352.71</v>
      </c>
      <c r="T81" s="384">
        <f t="shared" si="5"/>
        <v>1340765.58</v>
      </c>
      <c r="U81" s="507">
        <v>-1976.61</v>
      </c>
      <c r="V81" s="510"/>
      <c r="W81" s="510">
        <v>-183.65</v>
      </c>
      <c r="X81" s="515">
        <v>74</v>
      </c>
      <c r="Y81" s="518">
        <v>1</v>
      </c>
      <c r="Z81" s="519">
        <v>433</v>
      </c>
      <c r="AA81" s="588"/>
      <c r="AB81" s="524">
        <v>112573</v>
      </c>
      <c r="AC81" s="337">
        <f>AB81/VPI!R81</f>
        <v>6.5073859914707999</v>
      </c>
      <c r="AD81" s="339">
        <f t="shared" si="6"/>
        <v>26615</v>
      </c>
      <c r="AE81" s="337">
        <f>AD81/VPI!R81</f>
        <v>1.5385045984649546</v>
      </c>
      <c r="AF81" s="524">
        <v>139188</v>
      </c>
      <c r="AG81" s="524">
        <v>16162</v>
      </c>
      <c r="AH81" s="524">
        <v>38130</v>
      </c>
      <c r="AI81" s="589"/>
      <c r="AJ81" s="519">
        <v>0</v>
      </c>
      <c r="AK81" s="337">
        <f>AJ81/VPI!R81</f>
        <v>0</v>
      </c>
      <c r="AL81" s="339">
        <f t="shared" si="7"/>
        <v>27045</v>
      </c>
      <c r="AM81" s="337">
        <f>AL81/VPI!R81</f>
        <v>1.563361144673481</v>
      </c>
      <c r="AN81" s="519">
        <v>27045</v>
      </c>
      <c r="AO81" s="589"/>
      <c r="AP81" s="532">
        <v>19.512174373847976</v>
      </c>
      <c r="AR81" s="591">
        <v>0</v>
      </c>
    </row>
    <row r="82" spans="1:44" x14ac:dyDescent="0.25">
      <c r="A82" s="586">
        <v>5533</v>
      </c>
      <c r="B82" s="587" t="s">
        <v>171</v>
      </c>
      <c r="C82" s="505">
        <v>1585053.29</v>
      </c>
      <c r="D82" s="505">
        <v>222992.79</v>
      </c>
      <c r="E82" s="505"/>
      <c r="F82" s="506"/>
      <c r="G82" s="505">
        <v>76386</v>
      </c>
      <c r="H82" s="505">
        <v>3986.05</v>
      </c>
      <c r="I82" s="505"/>
      <c r="J82" s="505">
        <v>24904.59</v>
      </c>
      <c r="K82" s="505">
        <v>9628.25</v>
      </c>
      <c r="L82" s="505">
        <v>160315.5</v>
      </c>
      <c r="M82" s="384">
        <f t="shared" si="4"/>
        <v>2083266.4700000002</v>
      </c>
      <c r="N82" s="510">
        <v>14127</v>
      </c>
      <c r="O82" s="510">
        <v>817.2</v>
      </c>
      <c r="P82" s="510">
        <v>70493.5</v>
      </c>
      <c r="Q82" s="510">
        <v>38416.769999999997</v>
      </c>
      <c r="R82" s="510">
        <v>39308.65</v>
      </c>
      <c r="S82" s="505">
        <v>8328.3799999999992</v>
      </c>
      <c r="T82" s="384">
        <f t="shared" si="5"/>
        <v>2254757.9700000002</v>
      </c>
      <c r="U82" s="507">
        <v>-85085.61</v>
      </c>
      <c r="V82" s="510"/>
      <c r="W82" s="510">
        <v>-93.1</v>
      </c>
      <c r="X82" s="515">
        <v>73</v>
      </c>
      <c r="Y82" s="518">
        <v>1</v>
      </c>
      <c r="Z82" s="519">
        <v>848</v>
      </c>
      <c r="AA82" s="588"/>
      <c r="AB82" s="524">
        <v>49298</v>
      </c>
      <c r="AC82" s="337">
        <f>AB82/VPI!R82</f>
        <v>1.759925704638625</v>
      </c>
      <c r="AD82" s="339">
        <f t="shared" si="6"/>
        <v>156715</v>
      </c>
      <c r="AE82" s="337">
        <f>AD82/VPI!R82</f>
        <v>5.5946845065203892</v>
      </c>
      <c r="AF82" s="524">
        <v>206013</v>
      </c>
      <c r="AG82" s="524">
        <v>32285</v>
      </c>
      <c r="AH82" s="524">
        <v>73354</v>
      </c>
      <c r="AI82" s="589"/>
      <c r="AJ82" s="519">
        <v>0</v>
      </c>
      <c r="AK82" s="337">
        <f>AJ82/VPI!R82</f>
        <v>0</v>
      </c>
      <c r="AL82" s="339">
        <f t="shared" si="7"/>
        <v>41318</v>
      </c>
      <c r="AM82" s="337">
        <f>AL82/VPI!R82</f>
        <v>1.475041792045493</v>
      </c>
      <c r="AN82" s="519">
        <v>41318</v>
      </c>
      <c r="AO82" s="589"/>
      <c r="AP82" s="532">
        <v>18.440142727451679</v>
      </c>
      <c r="AR82" s="591">
        <v>0</v>
      </c>
    </row>
    <row r="83" spans="1:44" x14ac:dyDescent="0.25">
      <c r="A83" s="586">
        <v>5534</v>
      </c>
      <c r="B83" s="587" t="s">
        <v>172</v>
      </c>
      <c r="C83" s="505">
        <v>640896.64</v>
      </c>
      <c r="D83" s="505">
        <v>122235.23</v>
      </c>
      <c r="E83" s="505"/>
      <c r="F83" s="506"/>
      <c r="G83" s="505">
        <v>204764.05</v>
      </c>
      <c r="H83" s="505">
        <v>903.15</v>
      </c>
      <c r="I83" s="505"/>
      <c r="J83" s="505">
        <v>24204.35</v>
      </c>
      <c r="K83" s="505">
        <v>907</v>
      </c>
      <c r="L83" s="505">
        <v>101076.35</v>
      </c>
      <c r="M83" s="384">
        <f t="shared" si="4"/>
        <v>1094986.77</v>
      </c>
      <c r="N83" s="510">
        <v>22036.5</v>
      </c>
      <c r="O83" s="510"/>
      <c r="P83" s="510">
        <v>21413.35</v>
      </c>
      <c r="Q83" s="510">
        <v>-2384.88</v>
      </c>
      <c r="R83" s="510">
        <v>16194.05</v>
      </c>
      <c r="S83" s="505">
        <v>21311.82</v>
      </c>
      <c r="T83" s="384">
        <f t="shared" si="5"/>
        <v>1173557.6100000003</v>
      </c>
      <c r="U83" s="507">
        <v>820.92</v>
      </c>
      <c r="V83" s="510"/>
      <c r="W83" s="510">
        <v>0</v>
      </c>
      <c r="X83" s="515">
        <v>73</v>
      </c>
      <c r="Y83" s="518">
        <v>1.2</v>
      </c>
      <c r="Z83" s="519">
        <v>303</v>
      </c>
      <c r="AA83" s="588"/>
      <c r="AB83" s="524">
        <v>7853</v>
      </c>
      <c r="AC83" s="337">
        <f>AB83/VPI!R83</f>
        <v>0.52215590433712245</v>
      </c>
      <c r="AD83" s="339">
        <f t="shared" si="6"/>
        <v>31671</v>
      </c>
      <c r="AE83" s="337">
        <f>AD83/VPI!R83</f>
        <v>2.1058448549931241</v>
      </c>
      <c r="AF83" s="524">
        <v>39524</v>
      </c>
      <c r="AG83" s="524">
        <v>23565</v>
      </c>
      <c r="AH83" s="524">
        <v>26770</v>
      </c>
      <c r="AI83" s="589"/>
      <c r="AJ83" s="519">
        <v>0</v>
      </c>
      <c r="AK83" s="337">
        <f>AJ83/VPI!R83</f>
        <v>0</v>
      </c>
      <c r="AL83" s="339">
        <f t="shared" si="7"/>
        <v>10514</v>
      </c>
      <c r="AM83" s="337">
        <f>AL83/VPI!R83</f>
        <v>0.69908916060110848</v>
      </c>
      <c r="AN83" s="519">
        <v>10514</v>
      </c>
      <c r="AO83" s="589"/>
      <c r="AP83" s="532">
        <v>26.587168342613285</v>
      </c>
      <c r="AR83" s="591">
        <v>0</v>
      </c>
    </row>
    <row r="84" spans="1:44" x14ac:dyDescent="0.25">
      <c r="A84" s="586">
        <v>5535</v>
      </c>
      <c r="B84" s="587" t="s">
        <v>29</v>
      </c>
      <c r="C84" s="505">
        <v>1466295.92</v>
      </c>
      <c r="D84" s="505">
        <v>262621.51</v>
      </c>
      <c r="E84" s="505"/>
      <c r="F84" s="506"/>
      <c r="G84" s="505">
        <v>21531.25</v>
      </c>
      <c r="H84" s="505">
        <v>3101.95</v>
      </c>
      <c r="I84" s="505"/>
      <c r="J84" s="505">
        <v>7556.39</v>
      </c>
      <c r="K84" s="505">
        <v>1245.8</v>
      </c>
      <c r="L84" s="505">
        <v>149132.4</v>
      </c>
      <c r="M84" s="384">
        <f t="shared" si="4"/>
        <v>1911485.2199999997</v>
      </c>
      <c r="N84" s="510">
        <v>51430.3</v>
      </c>
      <c r="O84" s="510">
        <v>3861</v>
      </c>
      <c r="P84" s="510">
        <v>72585.2</v>
      </c>
      <c r="Q84" s="510">
        <v>6847.91</v>
      </c>
      <c r="R84" s="510">
        <v>59890.65</v>
      </c>
      <c r="S84" s="505">
        <v>2552.5700000000002</v>
      </c>
      <c r="T84" s="384">
        <f t="shared" si="5"/>
        <v>2108652.8499999996</v>
      </c>
      <c r="U84" s="507">
        <v>-8955.66</v>
      </c>
      <c r="V84" s="510"/>
      <c r="W84" s="510">
        <v>-5.99</v>
      </c>
      <c r="X84" s="515">
        <v>75</v>
      </c>
      <c r="Y84" s="518">
        <v>1</v>
      </c>
      <c r="Z84" s="519">
        <v>814</v>
      </c>
      <c r="AA84" s="588"/>
      <c r="AB84" s="524">
        <v>0</v>
      </c>
      <c r="AC84" s="337">
        <f>AB84/VPI!R84</f>
        <v>0</v>
      </c>
      <c r="AD84" s="339">
        <f t="shared" si="6"/>
        <v>64915</v>
      </c>
      <c r="AE84" s="337">
        <f>AD84/VPI!R84</f>
        <v>2.5464531397050005</v>
      </c>
      <c r="AF84" s="524">
        <v>64915</v>
      </c>
      <c r="AG84" s="524">
        <v>31355</v>
      </c>
      <c r="AH84" s="524">
        <v>71240</v>
      </c>
      <c r="AI84" s="589"/>
      <c r="AJ84" s="519">
        <v>0</v>
      </c>
      <c r="AK84" s="337">
        <f>AJ84/VPI!R84</f>
        <v>0</v>
      </c>
      <c r="AL84" s="339">
        <f t="shared" si="7"/>
        <v>-12559</v>
      </c>
      <c r="AM84" s="337">
        <f>AL84/VPI!R84</f>
        <v>-0.49265816808988838</v>
      </c>
      <c r="AN84" s="519">
        <v>-12559</v>
      </c>
      <c r="AO84" s="589"/>
      <c r="AP84" s="532">
        <v>15.540085485980855</v>
      </c>
      <c r="AR84" s="591">
        <v>0</v>
      </c>
    </row>
    <row r="85" spans="1:44" x14ac:dyDescent="0.25">
      <c r="A85" s="586">
        <v>5537</v>
      </c>
      <c r="B85" s="587" t="s">
        <v>30</v>
      </c>
      <c r="C85" s="505">
        <v>2369122.64</v>
      </c>
      <c r="D85" s="505">
        <v>297524.75</v>
      </c>
      <c r="E85" s="505"/>
      <c r="F85" s="506">
        <v>7530</v>
      </c>
      <c r="G85" s="505">
        <v>58472.65</v>
      </c>
      <c r="H85" s="505">
        <v>2025.25</v>
      </c>
      <c r="I85" s="505"/>
      <c r="J85" s="505">
        <v>29419.040000000001</v>
      </c>
      <c r="K85" s="505">
        <v>6680.75</v>
      </c>
      <c r="L85" s="505">
        <v>259696.7</v>
      </c>
      <c r="M85" s="384">
        <f t="shared" si="4"/>
        <v>3030471.7800000003</v>
      </c>
      <c r="N85" s="510">
        <v>0</v>
      </c>
      <c r="O85" s="510">
        <v>144.6</v>
      </c>
      <c r="P85" s="510">
        <v>65983.199999999997</v>
      </c>
      <c r="Q85" s="510">
        <v>8713.3700000000008</v>
      </c>
      <c r="R85" s="510">
        <v>63523.4</v>
      </c>
      <c r="S85" s="505">
        <v>6268.96</v>
      </c>
      <c r="T85" s="384">
        <f t="shared" si="5"/>
        <v>3175105.3100000005</v>
      </c>
      <c r="U85" s="507">
        <v>-67184.789999999994</v>
      </c>
      <c r="V85" s="510"/>
      <c r="W85" s="510">
        <v>-1955.37</v>
      </c>
      <c r="X85" s="515">
        <v>76</v>
      </c>
      <c r="Y85" s="518">
        <v>1</v>
      </c>
      <c r="Z85" s="519">
        <v>1308</v>
      </c>
      <c r="AA85" s="588"/>
      <c r="AB85" s="524">
        <v>98273</v>
      </c>
      <c r="AC85" s="337">
        <f>AB85/VPI!R85</f>
        <v>2.5093952202186198</v>
      </c>
      <c r="AD85" s="339">
        <f t="shared" si="6"/>
        <v>126324</v>
      </c>
      <c r="AE85" s="337">
        <f>AD85/VPI!R85</f>
        <v>3.2256758397413012</v>
      </c>
      <c r="AF85" s="524">
        <v>224597</v>
      </c>
      <c r="AG85" s="524">
        <v>76508</v>
      </c>
      <c r="AH85" s="524">
        <v>115887</v>
      </c>
      <c r="AI85" s="589"/>
      <c r="AJ85" s="519">
        <v>0</v>
      </c>
      <c r="AK85" s="337">
        <f>AJ85/VPI!R85</f>
        <v>0</v>
      </c>
      <c r="AL85" s="339">
        <f t="shared" si="7"/>
        <v>20517</v>
      </c>
      <c r="AM85" s="337">
        <f>AL85/VPI!R85</f>
        <v>0.5239003768402859</v>
      </c>
      <c r="AN85" s="519">
        <v>20517</v>
      </c>
      <c r="AO85" s="589"/>
      <c r="AP85" s="532">
        <v>15.468014157073879</v>
      </c>
      <c r="AR85" s="591">
        <v>0</v>
      </c>
    </row>
    <row r="86" spans="1:44" x14ac:dyDescent="0.25">
      <c r="A86" s="586">
        <v>5539</v>
      </c>
      <c r="B86" s="587" t="s">
        <v>31</v>
      </c>
      <c r="C86" s="505">
        <v>2067627.51</v>
      </c>
      <c r="D86" s="505">
        <v>221892.14</v>
      </c>
      <c r="E86" s="505"/>
      <c r="F86" s="506"/>
      <c r="G86" s="505">
        <v>12850.7</v>
      </c>
      <c r="H86" s="505">
        <v>510.1</v>
      </c>
      <c r="I86" s="505"/>
      <c r="J86" s="505">
        <v>35091.480000000003</v>
      </c>
      <c r="K86" s="505">
        <v>6393.7</v>
      </c>
      <c r="L86" s="505">
        <v>161033.25</v>
      </c>
      <c r="M86" s="384">
        <f t="shared" si="4"/>
        <v>2505398.8800000004</v>
      </c>
      <c r="N86" s="510">
        <v>18487.849999999999</v>
      </c>
      <c r="O86" s="510">
        <v>4505.6000000000004</v>
      </c>
      <c r="P86" s="510">
        <v>94492.75</v>
      </c>
      <c r="Q86" s="510">
        <v>0</v>
      </c>
      <c r="R86" s="510">
        <v>102581.7</v>
      </c>
      <c r="S86" s="505">
        <v>1384.48</v>
      </c>
      <c r="T86" s="384">
        <f t="shared" si="5"/>
        <v>2726851.2600000007</v>
      </c>
      <c r="U86" s="507">
        <v>-15484.63</v>
      </c>
      <c r="V86" s="510"/>
      <c r="W86" s="510">
        <v>-48.1</v>
      </c>
      <c r="X86" s="515">
        <v>73.5</v>
      </c>
      <c r="Y86" s="518">
        <v>0.8</v>
      </c>
      <c r="Z86" s="519">
        <v>1106</v>
      </c>
      <c r="AA86" s="588"/>
      <c r="AB86" s="524">
        <v>79306</v>
      </c>
      <c r="AC86" s="337">
        <f>AB86/VPI!R86</f>
        <v>2.302575709743913</v>
      </c>
      <c r="AD86" s="339">
        <f t="shared" si="6"/>
        <v>41670</v>
      </c>
      <c r="AE86" s="337">
        <f>AD86/VPI!R86</f>
        <v>1.2098495678136441</v>
      </c>
      <c r="AF86" s="524">
        <v>120976</v>
      </c>
      <c r="AG86" s="524">
        <v>63776</v>
      </c>
      <c r="AH86" s="524">
        <v>96602</v>
      </c>
      <c r="AI86" s="589"/>
      <c r="AJ86" s="519">
        <v>0</v>
      </c>
      <c r="AK86" s="337">
        <f>AJ86/VPI!R86</f>
        <v>0</v>
      </c>
      <c r="AL86" s="339">
        <f t="shared" si="7"/>
        <v>49692</v>
      </c>
      <c r="AM86" s="337">
        <f>AL86/VPI!R86</f>
        <v>1.4427608525028941</v>
      </c>
      <c r="AN86" s="519">
        <v>49692</v>
      </c>
      <c r="AO86" s="589"/>
      <c r="AP86" s="532">
        <v>15.969808683365631</v>
      </c>
      <c r="AR86" s="591">
        <v>0</v>
      </c>
    </row>
    <row r="87" spans="1:44" x14ac:dyDescent="0.25">
      <c r="A87" s="586">
        <v>5540</v>
      </c>
      <c r="B87" s="587" t="s">
        <v>346</v>
      </c>
      <c r="C87" s="505">
        <v>3843319.6</v>
      </c>
      <c r="D87" s="505">
        <v>494011.47</v>
      </c>
      <c r="E87" s="505"/>
      <c r="F87" s="506"/>
      <c r="G87" s="505">
        <v>153893.95000000001</v>
      </c>
      <c r="H87" s="505">
        <v>4827.5</v>
      </c>
      <c r="I87" s="505"/>
      <c r="J87" s="505">
        <v>33186.449999999997</v>
      </c>
      <c r="K87" s="505">
        <v>13100.5</v>
      </c>
      <c r="L87" s="505">
        <v>286684.15000000002</v>
      </c>
      <c r="M87" s="384">
        <f t="shared" si="4"/>
        <v>4829023.620000001</v>
      </c>
      <c r="N87" s="510">
        <v>6525.8</v>
      </c>
      <c r="O87" s="510">
        <v>747.4</v>
      </c>
      <c r="P87" s="510">
        <v>115794.2</v>
      </c>
      <c r="Q87" s="510">
        <v>12910.21</v>
      </c>
      <c r="R87" s="510">
        <v>119438.75</v>
      </c>
      <c r="S87" s="505">
        <v>16447.169999999998</v>
      </c>
      <c r="T87" s="384">
        <f t="shared" si="5"/>
        <v>5100887.1500000013</v>
      </c>
      <c r="U87" s="507">
        <v>-38954.339999999997</v>
      </c>
      <c r="V87" s="510"/>
      <c r="W87" s="510">
        <v>-63.83</v>
      </c>
      <c r="X87" s="515">
        <v>72.5</v>
      </c>
      <c r="Y87" s="518">
        <v>0.8</v>
      </c>
      <c r="Z87" s="519">
        <v>1895</v>
      </c>
      <c r="AA87" s="588"/>
      <c r="AB87" s="524">
        <v>122323</v>
      </c>
      <c r="AC87" s="337">
        <f>AB87/VPI!R87</f>
        <v>1.8131989555273713</v>
      </c>
      <c r="AD87" s="339">
        <f t="shared" si="6"/>
        <v>191342</v>
      </c>
      <c r="AE87" s="337">
        <f>AD87/VPI!R87</f>
        <v>2.8362704850969833</v>
      </c>
      <c r="AF87" s="524">
        <v>313665</v>
      </c>
      <c r="AG87" s="524">
        <v>182453</v>
      </c>
      <c r="AH87" s="524">
        <v>165817</v>
      </c>
      <c r="AI87" s="589"/>
      <c r="AJ87" s="519">
        <v>0</v>
      </c>
      <c r="AK87" s="337">
        <f>AJ87/VPI!R87</f>
        <v>0</v>
      </c>
      <c r="AL87" s="339">
        <f t="shared" si="7"/>
        <v>77720</v>
      </c>
      <c r="AM87" s="337">
        <f>AL87/VPI!R87</f>
        <v>1.1520468172264193</v>
      </c>
      <c r="AN87" s="519">
        <v>77720</v>
      </c>
      <c r="AO87" s="589"/>
      <c r="AP87" s="532">
        <v>15.960100687194908</v>
      </c>
      <c r="AR87" s="591">
        <v>0</v>
      </c>
    </row>
    <row r="88" spans="1:44" x14ac:dyDescent="0.25">
      <c r="A88" s="586">
        <v>5541</v>
      </c>
      <c r="B88" s="587" t="s">
        <v>345</v>
      </c>
      <c r="C88" s="505">
        <v>2515538.9500000002</v>
      </c>
      <c r="D88" s="505">
        <v>348070.88</v>
      </c>
      <c r="E88" s="505"/>
      <c r="F88" s="506"/>
      <c r="G88" s="505">
        <v>28431.5</v>
      </c>
      <c r="H88" s="505">
        <v>4086.15</v>
      </c>
      <c r="I88" s="505"/>
      <c r="J88" s="505">
        <v>28662</v>
      </c>
      <c r="K88" s="505">
        <v>2455</v>
      </c>
      <c r="L88" s="505">
        <v>227276.85</v>
      </c>
      <c r="M88" s="384">
        <f t="shared" si="4"/>
        <v>3154521.33</v>
      </c>
      <c r="N88" s="510">
        <v>6812.1</v>
      </c>
      <c r="O88" s="510">
        <v>42367.199999999997</v>
      </c>
      <c r="P88" s="510">
        <v>150366.04999999999</v>
      </c>
      <c r="Q88" s="510">
        <v>5175.74</v>
      </c>
      <c r="R88" s="510">
        <v>78504.5</v>
      </c>
      <c r="S88" s="505">
        <v>3369.57</v>
      </c>
      <c r="T88" s="384">
        <f t="shared" si="5"/>
        <v>3441116.49</v>
      </c>
      <c r="U88" s="507">
        <v>-10617.18</v>
      </c>
      <c r="V88" s="510">
        <v>-1966</v>
      </c>
      <c r="W88" s="510">
        <v>-183.2</v>
      </c>
      <c r="X88" s="515">
        <v>75.5</v>
      </c>
      <c r="Y88" s="518">
        <v>1</v>
      </c>
      <c r="Z88" s="519">
        <v>1175</v>
      </c>
      <c r="AA88" s="588"/>
      <c r="AB88" s="524">
        <v>32016</v>
      </c>
      <c r="AC88" s="337">
        <f>AB88/VPI!R88</f>
        <v>0.76729448005060941</v>
      </c>
      <c r="AD88" s="339">
        <f t="shared" si="6"/>
        <v>168621</v>
      </c>
      <c r="AE88" s="337">
        <f>AD88/VPI!R88</f>
        <v>4.0411657458962331</v>
      </c>
      <c r="AF88" s="524">
        <v>200637</v>
      </c>
      <c r="AG88" s="524">
        <v>45192</v>
      </c>
      <c r="AH88" s="524">
        <v>102678</v>
      </c>
      <c r="AI88" s="589"/>
      <c r="AJ88" s="519">
        <v>0</v>
      </c>
      <c r="AK88" s="337">
        <f>AJ88/VPI!R88</f>
        <v>0</v>
      </c>
      <c r="AL88" s="339">
        <f t="shared" si="7"/>
        <v>-149724</v>
      </c>
      <c r="AM88" s="337">
        <f>AL88/VPI!R88</f>
        <v>-3.5882808199368266</v>
      </c>
      <c r="AN88" s="519">
        <v>-149724</v>
      </c>
      <c r="AO88" s="589"/>
      <c r="AP88" s="532">
        <v>19.334034908731418</v>
      </c>
      <c r="AR88" s="591">
        <v>0</v>
      </c>
    </row>
    <row r="89" spans="1:44" x14ac:dyDescent="0.25">
      <c r="A89" s="586">
        <v>5551</v>
      </c>
      <c r="B89" s="587" t="s">
        <v>32</v>
      </c>
      <c r="C89" s="505">
        <v>738872.48</v>
      </c>
      <c r="D89" s="505">
        <v>126506.58</v>
      </c>
      <c r="E89" s="505"/>
      <c r="F89" s="506"/>
      <c r="G89" s="505">
        <v>23031.7</v>
      </c>
      <c r="H89" s="505">
        <v>16049.65</v>
      </c>
      <c r="I89" s="505"/>
      <c r="J89" s="505">
        <v>2503.13</v>
      </c>
      <c r="K89" s="505">
        <v>12146.7</v>
      </c>
      <c r="L89" s="505">
        <v>117540.4</v>
      </c>
      <c r="M89" s="384">
        <f t="shared" si="4"/>
        <v>1036650.6399999999</v>
      </c>
      <c r="N89" s="510">
        <v>4739.05</v>
      </c>
      <c r="O89" s="510">
        <v>287712.8</v>
      </c>
      <c r="P89" s="510">
        <v>49304.7</v>
      </c>
      <c r="Q89" s="510"/>
      <c r="R89" s="510">
        <v>13335</v>
      </c>
      <c r="S89" s="505">
        <v>4049.72</v>
      </c>
      <c r="T89" s="384">
        <f t="shared" si="5"/>
        <v>1395791.91</v>
      </c>
      <c r="U89" s="507">
        <v>-335.25</v>
      </c>
      <c r="V89" s="510"/>
      <c r="W89" s="510">
        <v>-198.3</v>
      </c>
      <c r="X89" s="515">
        <v>56</v>
      </c>
      <c r="Y89" s="518">
        <v>1</v>
      </c>
      <c r="Z89" s="519">
        <v>501</v>
      </c>
      <c r="AA89" s="588"/>
      <c r="AB89" s="524">
        <v>53951</v>
      </c>
      <c r="AC89" s="337">
        <f>AB89/VPI!R89</f>
        <v>2.9045879670011781</v>
      </c>
      <c r="AD89" s="339">
        <f t="shared" si="6"/>
        <v>123400</v>
      </c>
      <c r="AE89" s="337">
        <f>AD89/VPI!R89</f>
        <v>6.6435497975560303</v>
      </c>
      <c r="AF89" s="524">
        <v>177351</v>
      </c>
      <c r="AG89" s="524">
        <v>34480</v>
      </c>
      <c r="AH89" s="524">
        <v>71280</v>
      </c>
      <c r="AI89" s="589"/>
      <c r="AJ89" s="519">
        <v>0</v>
      </c>
      <c r="AK89" s="337">
        <f>AJ89/VPI!R89</f>
        <v>0</v>
      </c>
      <c r="AL89" s="339">
        <f t="shared" si="7"/>
        <v>39433</v>
      </c>
      <c r="AM89" s="337">
        <f>AL89/VPI!R89</f>
        <v>2.1229748716938972</v>
      </c>
      <c r="AN89" s="519">
        <v>39433</v>
      </c>
      <c r="AO89" s="589"/>
      <c r="AP89" s="532">
        <v>25.845669513302116</v>
      </c>
      <c r="AR89" s="591">
        <v>0</v>
      </c>
    </row>
    <row r="90" spans="1:44" x14ac:dyDescent="0.25">
      <c r="A90" s="586">
        <v>5552</v>
      </c>
      <c r="B90" s="587" t="s">
        <v>33</v>
      </c>
      <c r="C90" s="505">
        <v>956207.03</v>
      </c>
      <c r="D90" s="505">
        <v>214322.37</v>
      </c>
      <c r="E90" s="505"/>
      <c r="F90" s="506"/>
      <c r="G90" s="505">
        <v>38071.199999999997</v>
      </c>
      <c r="H90" s="505">
        <v>1169.4000000000001</v>
      </c>
      <c r="I90" s="505"/>
      <c r="J90" s="505">
        <v>14739.84</v>
      </c>
      <c r="K90" s="505">
        <v>3777.6</v>
      </c>
      <c r="L90" s="505">
        <v>133958.45000000001</v>
      </c>
      <c r="M90" s="384">
        <f t="shared" si="4"/>
        <v>1362245.89</v>
      </c>
      <c r="N90" s="510">
        <v>75308.75</v>
      </c>
      <c r="O90" s="510">
        <v>22838.1</v>
      </c>
      <c r="P90" s="510">
        <v>54554.5</v>
      </c>
      <c r="Q90" s="510">
        <v>9961.92</v>
      </c>
      <c r="R90" s="510">
        <v>39873.75</v>
      </c>
      <c r="S90" s="505">
        <v>4066.22</v>
      </c>
      <c r="T90" s="384">
        <f t="shared" si="5"/>
        <v>1568849.13</v>
      </c>
      <c r="U90" s="507">
        <v>-15021.28</v>
      </c>
      <c r="V90" s="510"/>
      <c r="W90" s="510">
        <v>-2.29</v>
      </c>
      <c r="X90" s="515">
        <v>71.5</v>
      </c>
      <c r="Y90" s="518">
        <v>1</v>
      </c>
      <c r="Z90" s="519">
        <v>651</v>
      </c>
      <c r="AA90" s="588"/>
      <c r="AB90" s="524">
        <v>30422</v>
      </c>
      <c r="AC90" s="337">
        <f>AB90/VPI!R90</f>
        <v>1.5979226923456835</v>
      </c>
      <c r="AD90" s="339">
        <f t="shared" si="6"/>
        <v>382043</v>
      </c>
      <c r="AE90" s="337">
        <f>AD90/VPI!R90</f>
        <v>20.066898269404444</v>
      </c>
      <c r="AF90" s="524">
        <v>412465</v>
      </c>
      <c r="AG90" s="524">
        <v>47126</v>
      </c>
      <c r="AH90" s="524">
        <v>58399</v>
      </c>
      <c r="AI90" s="589"/>
      <c r="AJ90" s="519">
        <v>0</v>
      </c>
      <c r="AK90" s="337">
        <f>AJ90/VPI!R90</f>
        <v>0</v>
      </c>
      <c r="AL90" s="339">
        <f t="shared" si="7"/>
        <v>73208</v>
      </c>
      <c r="AM90" s="337">
        <f>AL90/VPI!R90</f>
        <v>3.8452673874578527</v>
      </c>
      <c r="AN90" s="519">
        <v>73208</v>
      </c>
      <c r="AO90" s="589"/>
      <c r="AP90" s="532">
        <v>15.256030906935671</v>
      </c>
      <c r="AR90" s="591">
        <v>0</v>
      </c>
    </row>
    <row r="91" spans="1:44" x14ac:dyDescent="0.25">
      <c r="A91" s="586">
        <v>5553</v>
      </c>
      <c r="B91" s="587" t="s">
        <v>34</v>
      </c>
      <c r="C91" s="505">
        <v>1670358.88</v>
      </c>
      <c r="D91" s="505">
        <v>292792.2</v>
      </c>
      <c r="E91" s="505"/>
      <c r="F91" s="506"/>
      <c r="G91" s="505">
        <v>165139.25</v>
      </c>
      <c r="H91" s="505">
        <v>39296.800000000003</v>
      </c>
      <c r="I91" s="505"/>
      <c r="J91" s="505">
        <v>66654.95</v>
      </c>
      <c r="K91" s="505">
        <v>26028.55</v>
      </c>
      <c r="L91" s="505">
        <v>233983.15</v>
      </c>
      <c r="M91" s="384">
        <f t="shared" si="4"/>
        <v>2494253.7799999998</v>
      </c>
      <c r="N91" s="510">
        <v>163610.25</v>
      </c>
      <c r="O91" s="510">
        <v>19108.099999999999</v>
      </c>
      <c r="P91" s="510">
        <v>114053.25</v>
      </c>
      <c r="Q91" s="510">
        <v>253.76</v>
      </c>
      <c r="R91" s="510">
        <v>26499.15</v>
      </c>
      <c r="S91" s="505">
        <v>21184.25</v>
      </c>
      <c r="T91" s="384">
        <f t="shared" si="5"/>
        <v>2838962.5399999996</v>
      </c>
      <c r="U91" s="507">
        <v>-26753.1</v>
      </c>
      <c r="V91" s="510"/>
      <c r="W91" s="510">
        <v>-1972.26</v>
      </c>
      <c r="X91" s="515">
        <v>65</v>
      </c>
      <c r="Y91" s="518">
        <v>1</v>
      </c>
      <c r="Z91" s="519">
        <v>1077</v>
      </c>
      <c r="AA91" s="588"/>
      <c r="AB91" s="524">
        <v>84547</v>
      </c>
      <c r="AC91" s="337">
        <f>AB91/VPI!R91</f>
        <v>2.2097423325492982</v>
      </c>
      <c r="AD91" s="339">
        <f t="shared" si="6"/>
        <v>368497</v>
      </c>
      <c r="AE91" s="337">
        <f>AD91/VPI!R91</f>
        <v>9.6311332195987873</v>
      </c>
      <c r="AF91" s="524">
        <v>453044</v>
      </c>
      <c r="AG91" s="524">
        <v>77776</v>
      </c>
      <c r="AH91" s="524">
        <v>160651</v>
      </c>
      <c r="AI91" s="589"/>
      <c r="AJ91" s="519">
        <v>0</v>
      </c>
      <c r="AK91" s="337">
        <f>AJ91/VPI!R91</f>
        <v>0</v>
      </c>
      <c r="AL91" s="339">
        <f t="shared" si="7"/>
        <v>32531</v>
      </c>
      <c r="AM91" s="337">
        <f>AL91/VPI!R91</f>
        <v>0.8502386580264375</v>
      </c>
      <c r="AN91" s="519">
        <v>32531</v>
      </c>
      <c r="AO91" s="589"/>
      <c r="AP91" s="532">
        <v>22.965020956238565</v>
      </c>
      <c r="AR91" s="591">
        <v>0</v>
      </c>
    </row>
    <row r="92" spans="1:44" x14ac:dyDescent="0.25">
      <c r="A92" s="586">
        <v>5554</v>
      </c>
      <c r="B92" s="587" t="s">
        <v>35</v>
      </c>
      <c r="C92" s="505">
        <v>1931166.54</v>
      </c>
      <c r="D92" s="505">
        <v>405653.67</v>
      </c>
      <c r="E92" s="505"/>
      <c r="F92" s="506"/>
      <c r="G92" s="505">
        <v>20880.650000000001</v>
      </c>
      <c r="H92" s="505">
        <v>1043.1500000000001</v>
      </c>
      <c r="I92" s="505"/>
      <c r="J92" s="505">
        <v>5118.55</v>
      </c>
      <c r="K92" s="505">
        <v>3396.8</v>
      </c>
      <c r="L92" s="505">
        <v>191268.35</v>
      </c>
      <c r="M92" s="384">
        <f t="shared" si="4"/>
        <v>2558527.7099999995</v>
      </c>
      <c r="N92" s="510">
        <v>12823.55</v>
      </c>
      <c r="O92" s="510">
        <v>3805.7</v>
      </c>
      <c r="P92" s="510">
        <v>127528.75</v>
      </c>
      <c r="Q92" s="510">
        <v>1324.54</v>
      </c>
      <c r="R92" s="510">
        <v>128234.75</v>
      </c>
      <c r="S92" s="505">
        <v>2271.8000000000002</v>
      </c>
      <c r="T92" s="384">
        <f t="shared" si="5"/>
        <v>2834516.7999999993</v>
      </c>
      <c r="U92" s="507">
        <v>-18521.689999999999</v>
      </c>
      <c r="V92" s="510"/>
      <c r="W92" s="510">
        <v>-584.26</v>
      </c>
      <c r="X92" s="515">
        <v>75</v>
      </c>
      <c r="Y92" s="518">
        <v>1</v>
      </c>
      <c r="Z92" s="519">
        <v>1002</v>
      </c>
      <c r="AA92" s="588"/>
      <c r="AB92" s="524">
        <v>126883</v>
      </c>
      <c r="AC92" s="337">
        <f>AB92/VPI!R92</f>
        <v>3.7420988077119857</v>
      </c>
      <c r="AD92" s="339">
        <f t="shared" si="6"/>
        <v>175494</v>
      </c>
      <c r="AE92" s="337">
        <f>AD92/VPI!R92</f>
        <v>5.1757594647084888</v>
      </c>
      <c r="AF92" s="524">
        <v>302377</v>
      </c>
      <c r="AG92" s="524">
        <v>95960</v>
      </c>
      <c r="AH92" s="524">
        <v>143307</v>
      </c>
      <c r="AI92" s="589"/>
      <c r="AJ92" s="519">
        <v>0</v>
      </c>
      <c r="AK92" s="337">
        <f>AJ92/VPI!R92</f>
        <v>0</v>
      </c>
      <c r="AL92" s="339">
        <f t="shared" si="7"/>
        <v>25581</v>
      </c>
      <c r="AM92" s="337">
        <f>AL92/VPI!R92</f>
        <v>0.75444803165183916</v>
      </c>
      <c r="AN92" s="519">
        <v>25581</v>
      </c>
      <c r="AO92" s="589"/>
      <c r="AP92" s="532">
        <v>15.97249159173202</v>
      </c>
      <c r="AR92" s="591">
        <v>0</v>
      </c>
    </row>
    <row r="93" spans="1:44" x14ac:dyDescent="0.25">
      <c r="A93" s="586">
        <v>5555</v>
      </c>
      <c r="B93" s="587" t="s">
        <v>36</v>
      </c>
      <c r="C93" s="505">
        <v>644343.49</v>
      </c>
      <c r="D93" s="505">
        <v>167047.5</v>
      </c>
      <c r="E93" s="505"/>
      <c r="F93" s="506"/>
      <c r="G93" s="505">
        <v>3319.9</v>
      </c>
      <c r="H93" s="505">
        <v>2024.85</v>
      </c>
      <c r="I93" s="505"/>
      <c r="J93" s="505">
        <v>15443.52</v>
      </c>
      <c r="K93" s="505">
        <v>2228.6999999999998</v>
      </c>
      <c r="L93" s="505">
        <v>98622.15</v>
      </c>
      <c r="M93" s="384">
        <f t="shared" si="4"/>
        <v>933030.11</v>
      </c>
      <c r="N93" s="510">
        <v>9002.75</v>
      </c>
      <c r="O93" s="510">
        <v>9137.7999999999993</v>
      </c>
      <c r="P93" s="510">
        <v>5384.5</v>
      </c>
      <c r="Q93" s="510">
        <v>17407.080000000002</v>
      </c>
      <c r="R93" s="510">
        <v>11032.25</v>
      </c>
      <c r="S93" s="505">
        <v>553.84</v>
      </c>
      <c r="T93" s="384">
        <f t="shared" si="5"/>
        <v>985548.33</v>
      </c>
      <c r="U93" s="507">
        <v>-24656.83</v>
      </c>
      <c r="V93" s="510"/>
      <c r="W93" s="510">
        <v>0</v>
      </c>
      <c r="X93" s="515">
        <v>69</v>
      </c>
      <c r="Y93" s="518">
        <v>1</v>
      </c>
      <c r="Z93" s="519">
        <v>412</v>
      </c>
      <c r="AA93" s="588"/>
      <c r="AB93" s="524">
        <v>126058</v>
      </c>
      <c r="AC93" s="337">
        <f>AB93/VPI!R93</f>
        <v>9.3897019024019635</v>
      </c>
      <c r="AD93" s="339">
        <f t="shared" si="6"/>
        <v>110850</v>
      </c>
      <c r="AE93" s="337">
        <f>AD93/VPI!R93</f>
        <v>8.256901234997045</v>
      </c>
      <c r="AF93" s="524">
        <v>236908</v>
      </c>
      <c r="AG93" s="524">
        <v>29892</v>
      </c>
      <c r="AH93" s="524">
        <v>58063</v>
      </c>
      <c r="AI93" s="589"/>
      <c r="AJ93" s="519">
        <v>0</v>
      </c>
      <c r="AK93" s="337">
        <f>AJ93/VPI!R93</f>
        <v>0</v>
      </c>
      <c r="AL93" s="339">
        <f t="shared" si="7"/>
        <v>23809</v>
      </c>
      <c r="AM93" s="337">
        <f>AL93/VPI!R93</f>
        <v>1.7734646955709936</v>
      </c>
      <c r="AN93" s="519">
        <v>23809</v>
      </c>
      <c r="AO93" s="589"/>
      <c r="AP93" s="532">
        <v>19.723551637831662</v>
      </c>
      <c r="AR93" s="591">
        <v>0</v>
      </c>
    </row>
    <row r="94" spans="1:44" x14ac:dyDescent="0.25">
      <c r="A94" s="586">
        <v>5556</v>
      </c>
      <c r="B94" s="587" t="s">
        <v>37</v>
      </c>
      <c r="C94" s="505">
        <v>740299.16</v>
      </c>
      <c r="D94" s="505">
        <v>89044.51</v>
      </c>
      <c r="E94" s="505"/>
      <c r="F94" s="506">
        <v>2510</v>
      </c>
      <c r="G94" s="505">
        <v>4733.05</v>
      </c>
      <c r="H94" s="505">
        <v>255.8</v>
      </c>
      <c r="I94" s="505"/>
      <c r="J94" s="505">
        <v>6416.69</v>
      </c>
      <c r="K94" s="505">
        <v>1271.6500000000001</v>
      </c>
      <c r="L94" s="505">
        <v>89401.36</v>
      </c>
      <c r="M94" s="384">
        <f t="shared" si="4"/>
        <v>933932.22000000009</v>
      </c>
      <c r="N94" s="510">
        <v>0</v>
      </c>
      <c r="O94" s="510">
        <v>48468.800000000003</v>
      </c>
      <c r="P94" s="510">
        <v>51975</v>
      </c>
      <c r="Q94" s="510"/>
      <c r="R94" s="510">
        <v>22794.15</v>
      </c>
      <c r="S94" s="505">
        <v>516.96</v>
      </c>
      <c r="T94" s="384">
        <f t="shared" si="5"/>
        <v>1057687.1300000001</v>
      </c>
      <c r="U94" s="507">
        <v>-1560.67</v>
      </c>
      <c r="V94" s="510"/>
      <c r="W94" s="510">
        <v>0</v>
      </c>
      <c r="X94" s="515">
        <v>69</v>
      </c>
      <c r="Y94" s="518">
        <v>1.2</v>
      </c>
      <c r="Z94" s="519">
        <v>436</v>
      </c>
      <c r="AA94" s="588"/>
      <c r="AB94" s="524">
        <v>27709</v>
      </c>
      <c r="AC94" s="337">
        <f>AB94/VPI!R94</f>
        <v>2.0827291967796899</v>
      </c>
      <c r="AD94" s="339">
        <f t="shared" si="6"/>
        <v>84296</v>
      </c>
      <c r="AE94" s="337">
        <f>AD94/VPI!R94</f>
        <v>6.3360547248814738</v>
      </c>
      <c r="AF94" s="524">
        <v>112005</v>
      </c>
      <c r="AG94" s="524">
        <v>21123</v>
      </c>
      <c r="AH94" s="524">
        <v>70255</v>
      </c>
      <c r="AI94" s="589"/>
      <c r="AJ94" s="519">
        <v>0</v>
      </c>
      <c r="AK94" s="337">
        <f>AJ94/VPI!R94</f>
        <v>0</v>
      </c>
      <c r="AL94" s="339">
        <f t="shared" si="7"/>
        <v>33064</v>
      </c>
      <c r="AM94" s="337">
        <f>AL94/VPI!R94</f>
        <v>2.485234334054772</v>
      </c>
      <c r="AN94" s="519">
        <v>33064</v>
      </c>
      <c r="AO94" s="589"/>
      <c r="AP94" s="532">
        <v>19.433713928335209</v>
      </c>
      <c r="AR94" s="591">
        <v>0</v>
      </c>
    </row>
    <row r="95" spans="1:44" x14ac:dyDescent="0.25">
      <c r="A95" s="586">
        <v>5557</v>
      </c>
      <c r="B95" s="587" t="s">
        <v>38</v>
      </c>
      <c r="C95" s="505">
        <v>282840.09000000003</v>
      </c>
      <c r="D95" s="505">
        <v>23386.79</v>
      </c>
      <c r="E95" s="505"/>
      <c r="F95" s="506">
        <v>1060</v>
      </c>
      <c r="G95" s="505">
        <v>5329.5</v>
      </c>
      <c r="H95" s="505">
        <v>116</v>
      </c>
      <c r="I95" s="505"/>
      <c r="J95" s="505">
        <v>1290.47</v>
      </c>
      <c r="K95" s="505">
        <v>993.45</v>
      </c>
      <c r="L95" s="505">
        <v>36956.699999999997</v>
      </c>
      <c r="M95" s="384">
        <f t="shared" si="4"/>
        <v>351973</v>
      </c>
      <c r="N95" s="510">
        <v>0</v>
      </c>
      <c r="O95" s="510">
        <v>399.9</v>
      </c>
      <c r="P95" s="510">
        <v>17348.45</v>
      </c>
      <c r="Q95" s="510"/>
      <c r="R95" s="510"/>
      <c r="S95" s="505">
        <v>564.28</v>
      </c>
      <c r="T95" s="384">
        <f t="shared" si="5"/>
        <v>370285.63000000006</v>
      </c>
      <c r="U95" s="507">
        <v>-728.09</v>
      </c>
      <c r="V95" s="510"/>
      <c r="W95" s="510">
        <v>0</v>
      </c>
      <c r="X95" s="515">
        <v>69</v>
      </c>
      <c r="Y95" s="518">
        <v>1</v>
      </c>
      <c r="Z95" s="519">
        <v>214</v>
      </c>
      <c r="AA95" s="588"/>
      <c r="AB95" s="524">
        <v>467</v>
      </c>
      <c r="AC95" s="337">
        <f>AB95/VPI!R95</f>
        <v>9.1592263408468669E-2</v>
      </c>
      <c r="AD95" s="339">
        <f t="shared" si="6"/>
        <v>22629</v>
      </c>
      <c r="AE95" s="337">
        <f>AD95/VPI!R95</f>
        <v>4.4382041299148556</v>
      </c>
      <c r="AF95" s="524">
        <v>23096</v>
      </c>
      <c r="AG95" s="524">
        <v>10514</v>
      </c>
      <c r="AH95" s="524">
        <v>34766</v>
      </c>
      <c r="AI95" s="589"/>
      <c r="AJ95" s="519">
        <v>0</v>
      </c>
      <c r="AK95" s="337">
        <f>AJ95/VPI!R95</f>
        <v>0</v>
      </c>
      <c r="AL95" s="339">
        <f t="shared" si="7"/>
        <v>41823</v>
      </c>
      <c r="AM95" s="337">
        <f>AL95/VPI!R95</f>
        <v>8.2027049947160275</v>
      </c>
      <c r="AN95" s="519">
        <v>41823</v>
      </c>
      <c r="AO95" s="589"/>
      <c r="AP95" s="532">
        <v>-3.096722332581801</v>
      </c>
      <c r="AR95" s="591">
        <v>0</v>
      </c>
    </row>
    <row r="96" spans="1:44" x14ac:dyDescent="0.25">
      <c r="A96" s="586">
        <v>5559</v>
      </c>
      <c r="B96" s="587" t="s">
        <v>39</v>
      </c>
      <c r="C96" s="505">
        <v>933397.48</v>
      </c>
      <c r="D96" s="505">
        <v>262686.89</v>
      </c>
      <c r="E96" s="505"/>
      <c r="F96" s="506"/>
      <c r="G96" s="505">
        <v>117252.7</v>
      </c>
      <c r="H96" s="505">
        <v>-7556.8</v>
      </c>
      <c r="I96" s="505"/>
      <c r="J96" s="505">
        <v>1236.3800000000001</v>
      </c>
      <c r="K96" s="505">
        <v>3482</v>
      </c>
      <c r="L96" s="505">
        <v>91808.1</v>
      </c>
      <c r="M96" s="384">
        <f t="shared" si="4"/>
        <v>1402306.75</v>
      </c>
      <c r="N96" s="510">
        <v>6024.7</v>
      </c>
      <c r="O96" s="510">
        <v>6411.1</v>
      </c>
      <c r="P96" s="510">
        <v>70279</v>
      </c>
      <c r="Q96" s="510"/>
      <c r="R96" s="510">
        <v>43469.95</v>
      </c>
      <c r="S96" s="505">
        <v>11367</v>
      </c>
      <c r="T96" s="384">
        <f t="shared" si="5"/>
        <v>1539858.5</v>
      </c>
      <c r="U96" s="507">
        <v>-25975.56</v>
      </c>
      <c r="V96" s="510"/>
      <c r="W96" s="510">
        <v>-1066.95</v>
      </c>
      <c r="X96" s="515">
        <v>66</v>
      </c>
      <c r="Y96" s="518">
        <v>1</v>
      </c>
      <c r="Z96" s="519">
        <v>450</v>
      </c>
      <c r="AA96" s="588"/>
      <c r="AB96" s="524">
        <v>38845</v>
      </c>
      <c r="AC96" s="337">
        <f>AB96/VPI!R96</f>
        <v>1.8489198324999514</v>
      </c>
      <c r="AD96" s="339">
        <f t="shared" si="6"/>
        <v>74859</v>
      </c>
      <c r="AE96" s="337">
        <f>AD96/VPI!R96</f>
        <v>3.563091510905235</v>
      </c>
      <c r="AF96" s="524">
        <v>113704</v>
      </c>
      <c r="AG96" s="524">
        <v>21170</v>
      </c>
      <c r="AH96" s="524">
        <v>58181</v>
      </c>
      <c r="AI96" s="589"/>
      <c r="AJ96" s="519">
        <v>0</v>
      </c>
      <c r="AK96" s="337">
        <f>AJ96/VPI!R96</f>
        <v>0</v>
      </c>
      <c r="AL96" s="339">
        <f t="shared" si="7"/>
        <v>13610</v>
      </c>
      <c r="AM96" s="337">
        <f>AL96/VPI!R96</f>
        <v>0.64780020389559378</v>
      </c>
      <c r="AN96" s="519">
        <v>13610</v>
      </c>
      <c r="AO96" s="589"/>
      <c r="AP96" s="532">
        <v>30.770858616964325</v>
      </c>
      <c r="AR96" s="591">
        <v>0</v>
      </c>
    </row>
    <row r="97" spans="1:44" x14ac:dyDescent="0.25">
      <c r="A97" s="586">
        <v>5560</v>
      </c>
      <c r="B97" s="587" t="s">
        <v>40</v>
      </c>
      <c r="C97" s="505">
        <v>519910.96</v>
      </c>
      <c r="D97" s="505">
        <v>53106.58</v>
      </c>
      <c r="E97" s="505"/>
      <c r="F97" s="506"/>
      <c r="G97" s="505">
        <v>3264.7</v>
      </c>
      <c r="H97" s="505">
        <v>193.1</v>
      </c>
      <c r="I97" s="505"/>
      <c r="J97" s="505">
        <v>15847.25</v>
      </c>
      <c r="K97" s="505">
        <v>848</v>
      </c>
      <c r="L97" s="505">
        <v>44238.45</v>
      </c>
      <c r="M97" s="384">
        <f t="shared" si="4"/>
        <v>637409.03999999992</v>
      </c>
      <c r="N97" s="510">
        <v>0</v>
      </c>
      <c r="O97" s="510">
        <v>276.10000000000002</v>
      </c>
      <c r="P97" s="510">
        <v>19579.2</v>
      </c>
      <c r="Q97" s="510">
        <v>1592.27</v>
      </c>
      <c r="R97" s="510">
        <v>33441.699999999997</v>
      </c>
      <c r="S97" s="505">
        <v>358.31</v>
      </c>
      <c r="T97" s="384">
        <f t="shared" si="5"/>
        <v>692656.61999999988</v>
      </c>
      <c r="U97" s="507">
        <v>-636.38</v>
      </c>
      <c r="V97" s="510"/>
      <c r="W97" s="510">
        <v>0</v>
      </c>
      <c r="X97" s="515">
        <v>71</v>
      </c>
      <c r="Y97" s="518">
        <v>1</v>
      </c>
      <c r="Z97" s="519">
        <v>237</v>
      </c>
      <c r="AA97" s="588"/>
      <c r="AB97" s="524">
        <v>0</v>
      </c>
      <c r="AC97" s="337">
        <f>AB97/VPI!R97</f>
        <v>0</v>
      </c>
      <c r="AD97" s="339">
        <f t="shared" si="6"/>
        <v>19639</v>
      </c>
      <c r="AE97" s="337">
        <f>AD97/VPI!R97</f>
        <v>2.1830566240238887</v>
      </c>
      <c r="AF97" s="524">
        <v>19639</v>
      </c>
      <c r="AG97" s="524">
        <v>11374</v>
      </c>
      <c r="AH97" s="524">
        <v>34882</v>
      </c>
      <c r="AI97" s="589"/>
      <c r="AJ97" s="519">
        <v>0</v>
      </c>
      <c r="AK97" s="337">
        <f>AJ97/VPI!R97</f>
        <v>0</v>
      </c>
      <c r="AL97" s="339">
        <f t="shared" si="7"/>
        <v>18126</v>
      </c>
      <c r="AM97" s="337">
        <f>AL97/VPI!R97</f>
        <v>2.0148726700472026</v>
      </c>
      <c r="AN97" s="519">
        <v>18126</v>
      </c>
      <c r="AO97" s="589"/>
      <c r="AP97" s="532">
        <v>15.971893970498545</v>
      </c>
      <c r="AR97" s="591">
        <v>0</v>
      </c>
    </row>
    <row r="98" spans="1:44" x14ac:dyDescent="0.25">
      <c r="A98" s="586">
        <v>5561</v>
      </c>
      <c r="B98" s="587" t="s">
        <v>41</v>
      </c>
      <c r="C98" s="505">
        <v>6397417.0499999998</v>
      </c>
      <c r="D98" s="505">
        <v>1775420.39</v>
      </c>
      <c r="E98" s="505"/>
      <c r="F98" s="506"/>
      <c r="G98" s="505">
        <v>224410.45</v>
      </c>
      <c r="H98" s="505">
        <v>8389.1</v>
      </c>
      <c r="I98" s="505"/>
      <c r="J98" s="505">
        <v>117291.84</v>
      </c>
      <c r="K98" s="505">
        <v>51810.55</v>
      </c>
      <c r="L98" s="505">
        <v>653055.30000000005</v>
      </c>
      <c r="M98" s="384">
        <f t="shared" si="4"/>
        <v>9227794.6799999997</v>
      </c>
      <c r="N98" s="510">
        <v>389122</v>
      </c>
      <c r="O98" s="510">
        <v>190582.8</v>
      </c>
      <c r="P98" s="510">
        <v>246820.6</v>
      </c>
      <c r="Q98" s="510">
        <v>22316.87</v>
      </c>
      <c r="R98" s="510">
        <v>212566.15</v>
      </c>
      <c r="S98" s="505">
        <v>24123.35</v>
      </c>
      <c r="T98" s="384">
        <f t="shared" si="5"/>
        <v>10313326.449999999</v>
      </c>
      <c r="U98" s="507">
        <v>-139695.73000000001</v>
      </c>
      <c r="V98" s="510"/>
      <c r="W98" s="510">
        <v>-794.64</v>
      </c>
      <c r="X98" s="515">
        <v>69</v>
      </c>
      <c r="Y98" s="518">
        <v>1</v>
      </c>
      <c r="Z98" s="519">
        <v>3358</v>
      </c>
      <c r="AA98" s="588"/>
      <c r="AB98" s="524">
        <v>533489</v>
      </c>
      <c r="AC98" s="337">
        <f>AB98/VPI!R98</f>
        <v>4.0301916567837264</v>
      </c>
      <c r="AD98" s="339">
        <f t="shared" si="6"/>
        <v>942831</v>
      </c>
      <c r="AE98" s="337">
        <f>AD98/VPI!R98</f>
        <v>7.1225266686980575</v>
      </c>
      <c r="AF98" s="524">
        <v>1476320</v>
      </c>
      <c r="AG98" s="524">
        <v>402143</v>
      </c>
      <c r="AH98" s="524">
        <v>455098</v>
      </c>
      <c r="AI98" s="589"/>
      <c r="AJ98" s="519">
        <v>0</v>
      </c>
      <c r="AK98" s="337">
        <f>AJ98/VPI!R98</f>
        <v>0</v>
      </c>
      <c r="AL98" s="339">
        <f t="shared" si="7"/>
        <v>53077</v>
      </c>
      <c r="AM98" s="337">
        <f>AL98/VPI!R98</f>
        <v>0.40096512311802091</v>
      </c>
      <c r="AN98" s="519">
        <v>53077</v>
      </c>
      <c r="AO98" s="589"/>
      <c r="AP98" s="532">
        <v>15.105905372896654</v>
      </c>
      <c r="AR98" s="591">
        <v>0</v>
      </c>
    </row>
    <row r="99" spans="1:44" x14ac:dyDescent="0.25">
      <c r="A99" s="586">
        <v>5562</v>
      </c>
      <c r="B99" s="587" t="s">
        <v>42</v>
      </c>
      <c r="C99" s="505">
        <v>158684.51999999999</v>
      </c>
      <c r="D99" s="505">
        <v>120006.13</v>
      </c>
      <c r="E99" s="505"/>
      <c r="F99" s="506">
        <v>890</v>
      </c>
      <c r="G99" s="505">
        <v>2939.85</v>
      </c>
      <c r="H99" s="505">
        <v>99.9</v>
      </c>
      <c r="I99" s="505"/>
      <c r="J99" s="505">
        <v>12079.41</v>
      </c>
      <c r="K99" s="505">
        <v>-4515.5</v>
      </c>
      <c r="L99" s="505">
        <v>39090.85</v>
      </c>
      <c r="M99" s="384">
        <f t="shared" si="4"/>
        <v>329275.15999999997</v>
      </c>
      <c r="N99" s="510">
        <v>0</v>
      </c>
      <c r="O99" s="510">
        <v>0</v>
      </c>
      <c r="P99" s="510">
        <v>8098</v>
      </c>
      <c r="Q99" s="510">
        <v>3907.3</v>
      </c>
      <c r="R99" s="510"/>
      <c r="S99" s="505">
        <v>314.99</v>
      </c>
      <c r="T99" s="384">
        <f t="shared" si="5"/>
        <v>341595.44999999995</v>
      </c>
      <c r="U99" s="507">
        <v>-7794</v>
      </c>
      <c r="V99" s="510"/>
      <c r="W99" s="510">
        <v>-1.45</v>
      </c>
      <c r="X99" s="515">
        <v>70</v>
      </c>
      <c r="Y99" s="518">
        <v>1.2</v>
      </c>
      <c r="Z99" s="519">
        <v>138</v>
      </c>
      <c r="AA99" s="588"/>
      <c r="AB99" s="524">
        <v>0</v>
      </c>
      <c r="AC99" s="337">
        <f>AB99/VPI!R99</f>
        <v>0</v>
      </c>
      <c r="AD99" s="339">
        <f t="shared" si="6"/>
        <v>22420</v>
      </c>
      <c r="AE99" s="337">
        <f>AD99/VPI!R99</f>
        <v>4.9168690972892248</v>
      </c>
      <c r="AF99" s="524">
        <v>22420</v>
      </c>
      <c r="AG99" s="524">
        <v>6547</v>
      </c>
      <c r="AH99" s="524">
        <v>12503</v>
      </c>
      <c r="AI99" s="589"/>
      <c r="AJ99" s="519">
        <v>0</v>
      </c>
      <c r="AK99" s="337">
        <f>AJ99/VPI!R99</f>
        <v>0</v>
      </c>
      <c r="AL99" s="339">
        <f t="shared" si="7"/>
        <v>13707</v>
      </c>
      <c r="AM99" s="337">
        <f>AL99/VPI!R99</f>
        <v>3.0060448134051474</v>
      </c>
      <c r="AN99" s="519">
        <v>13707</v>
      </c>
      <c r="AO99" s="589"/>
      <c r="AP99" s="532">
        <v>27.576873466941411</v>
      </c>
      <c r="AR99" s="591">
        <v>0</v>
      </c>
    </row>
    <row r="100" spans="1:44" x14ac:dyDescent="0.25">
      <c r="A100" s="586">
        <v>5563</v>
      </c>
      <c r="B100" s="587" t="s">
        <v>245</v>
      </c>
      <c r="C100" s="505">
        <v>130248.18</v>
      </c>
      <c r="D100" s="505">
        <v>28437.74</v>
      </c>
      <c r="E100" s="505"/>
      <c r="F100" s="506">
        <v>528</v>
      </c>
      <c r="G100" s="505">
        <v>515.79999999999995</v>
      </c>
      <c r="H100" s="505">
        <v>77.8</v>
      </c>
      <c r="I100" s="505">
        <v>0</v>
      </c>
      <c r="J100" s="505">
        <v>4436.9799999999996</v>
      </c>
      <c r="K100" s="505">
        <v>0</v>
      </c>
      <c r="L100" s="505">
        <v>21938.55</v>
      </c>
      <c r="M100" s="384">
        <f t="shared" si="4"/>
        <v>186183.04999999996</v>
      </c>
      <c r="N100" s="510">
        <v>0</v>
      </c>
      <c r="O100" s="510">
        <v>38.6</v>
      </c>
      <c r="P100" s="510">
        <v>26661.8</v>
      </c>
      <c r="Q100" s="510">
        <v>0</v>
      </c>
      <c r="R100" s="510">
        <v>34994.35</v>
      </c>
      <c r="S100" s="505">
        <v>61.51</v>
      </c>
      <c r="T100" s="384">
        <f t="shared" si="5"/>
        <v>247939.30999999997</v>
      </c>
      <c r="U100" s="507">
        <v>-3632.59</v>
      </c>
      <c r="V100" s="510"/>
      <c r="W100" s="510">
        <v>-45.35</v>
      </c>
      <c r="X100" s="515">
        <v>80</v>
      </c>
      <c r="Y100" s="518">
        <v>1</v>
      </c>
      <c r="Z100" s="519">
        <v>151</v>
      </c>
      <c r="AA100" s="588"/>
      <c r="AB100" s="524">
        <v>10596</v>
      </c>
      <c r="AC100" s="337">
        <f>AB100/VPI!R100</f>
        <v>4.6431269856450221</v>
      </c>
      <c r="AD100" s="339">
        <f t="shared" si="6"/>
        <v>21106</v>
      </c>
      <c r="AE100" s="337">
        <f>AD100/VPI!R100</f>
        <v>9.248569097680619</v>
      </c>
      <c r="AF100" s="524">
        <v>31702</v>
      </c>
      <c r="AG100" s="524">
        <v>7216</v>
      </c>
      <c r="AH100" s="524">
        <v>23485</v>
      </c>
      <c r="AI100" s="589"/>
      <c r="AJ100" s="519">
        <v>0</v>
      </c>
      <c r="AK100" s="337">
        <f>AJ100/VPI!R100</f>
        <v>0</v>
      </c>
      <c r="AL100" s="339">
        <f t="shared" si="7"/>
        <v>18443</v>
      </c>
      <c r="AM100" s="337">
        <f>AL100/VPI!R100</f>
        <v>8.0816526044027128</v>
      </c>
      <c r="AN100" s="519">
        <v>18443</v>
      </c>
      <c r="AO100" s="589"/>
      <c r="AP100" s="532">
        <v>9.7781763441785579</v>
      </c>
      <c r="AR100" s="591">
        <v>0</v>
      </c>
    </row>
    <row r="101" spans="1:44" x14ac:dyDescent="0.25">
      <c r="A101" s="586">
        <v>5564</v>
      </c>
      <c r="B101" s="587" t="s">
        <v>246</v>
      </c>
      <c r="C101" s="505">
        <v>166924.92000000001</v>
      </c>
      <c r="D101" s="505">
        <v>18359.759999999998</v>
      </c>
      <c r="E101" s="505"/>
      <c r="F101" s="506"/>
      <c r="G101" s="505">
        <v>26.25</v>
      </c>
      <c r="H101" s="505">
        <v>13.7</v>
      </c>
      <c r="I101" s="505"/>
      <c r="J101" s="505"/>
      <c r="K101" s="505"/>
      <c r="L101" s="505">
        <v>11414.45</v>
      </c>
      <c r="M101" s="384">
        <f t="shared" si="4"/>
        <v>196739.08000000005</v>
      </c>
      <c r="N101" s="510">
        <v>0</v>
      </c>
      <c r="O101" s="510">
        <v>0</v>
      </c>
      <c r="P101" s="510">
        <v>0</v>
      </c>
      <c r="Q101" s="510">
        <v>0</v>
      </c>
      <c r="R101" s="510">
        <v>0</v>
      </c>
      <c r="S101" s="505">
        <v>4.1399999999999997</v>
      </c>
      <c r="T101" s="384">
        <f t="shared" si="5"/>
        <v>196743.22000000006</v>
      </c>
      <c r="U101" s="507">
        <v>-5882.55</v>
      </c>
      <c r="V101" s="510"/>
      <c r="W101" s="510">
        <v>0</v>
      </c>
      <c r="X101" s="515">
        <v>76</v>
      </c>
      <c r="Y101" s="518">
        <v>0.8</v>
      </c>
      <c r="Z101" s="519">
        <v>99</v>
      </c>
      <c r="AA101" s="588"/>
      <c r="AB101" s="524">
        <v>0</v>
      </c>
      <c r="AC101" s="337">
        <f>AB101/VPI!R101</f>
        <v>0</v>
      </c>
      <c r="AD101" s="339">
        <f t="shared" si="6"/>
        <v>21737</v>
      </c>
      <c r="AE101" s="337">
        <f>AD101/VPI!R101</f>
        <v>8.5280856872285593</v>
      </c>
      <c r="AF101" s="524">
        <v>21737</v>
      </c>
      <c r="AG101" s="524">
        <v>4922</v>
      </c>
      <c r="AH101" s="524">
        <v>18338</v>
      </c>
      <c r="AI101" s="589"/>
      <c r="AJ101" s="519">
        <v>0</v>
      </c>
      <c r="AK101" s="337">
        <f>AJ101/VPI!R101</f>
        <v>0</v>
      </c>
      <c r="AL101" s="339">
        <f t="shared" si="7"/>
        <v>24231</v>
      </c>
      <c r="AM101" s="337">
        <f>AL101/VPI!R101</f>
        <v>9.5065576798654465</v>
      </c>
      <c r="AN101" s="519">
        <v>24231</v>
      </c>
      <c r="AO101" s="589"/>
      <c r="AP101" s="532">
        <v>-5.5401650845991011</v>
      </c>
      <c r="AR101" s="591">
        <v>0</v>
      </c>
    </row>
    <row r="102" spans="1:44" x14ac:dyDescent="0.25">
      <c r="A102" s="586">
        <v>5565</v>
      </c>
      <c r="B102" s="587" t="s">
        <v>247</v>
      </c>
      <c r="C102" s="505">
        <v>719415.99</v>
      </c>
      <c r="D102" s="505">
        <v>104989.55</v>
      </c>
      <c r="E102" s="505"/>
      <c r="F102" s="506"/>
      <c r="G102" s="505">
        <f>-124487.15+124500+63000</f>
        <v>63012.850000000006</v>
      </c>
      <c r="H102" s="505">
        <f>-99480.05+100000+158000</f>
        <v>158519.95000000001</v>
      </c>
      <c r="I102" s="505"/>
      <c r="J102" s="505">
        <v>10082.75</v>
      </c>
      <c r="K102" s="505">
        <v>24489.35</v>
      </c>
      <c r="L102" s="505">
        <v>130356.95</v>
      </c>
      <c r="M102" s="384">
        <f t="shared" si="4"/>
        <v>1210867.3900000001</v>
      </c>
      <c r="N102" s="510">
        <v>33324.1</v>
      </c>
      <c r="O102" s="510"/>
      <c r="P102" s="510">
        <v>39770.5</v>
      </c>
      <c r="Q102" s="510"/>
      <c r="R102" s="510">
        <v>17535.2</v>
      </c>
      <c r="S102" s="505">
        <v>0</v>
      </c>
      <c r="T102" s="384">
        <f t="shared" si="5"/>
        <v>1301497.1900000002</v>
      </c>
      <c r="U102" s="507">
        <v>-1599.16</v>
      </c>
      <c r="V102" s="510"/>
      <c r="W102" s="510">
        <v>-35</v>
      </c>
      <c r="X102" s="515">
        <v>63.5</v>
      </c>
      <c r="Y102" s="518">
        <v>1</v>
      </c>
      <c r="Z102" s="519">
        <v>496</v>
      </c>
      <c r="AA102" s="588"/>
      <c r="AB102" s="524">
        <v>63556</v>
      </c>
      <c r="AC102" s="337">
        <f>AB102/VPI!R102</f>
        <v>3.3374918087555359</v>
      </c>
      <c r="AD102" s="339">
        <f t="shared" si="6"/>
        <v>86312</v>
      </c>
      <c r="AE102" s="337">
        <f>AD102/VPI!R102</f>
        <v>4.5324688935318118</v>
      </c>
      <c r="AF102" s="524">
        <v>149868</v>
      </c>
      <c r="AG102" s="524">
        <v>35483</v>
      </c>
      <c r="AH102" s="524">
        <v>65373</v>
      </c>
      <c r="AI102" s="589"/>
      <c r="AJ102" s="519">
        <v>1367</v>
      </c>
      <c r="AK102" s="337">
        <f>AJ102/VPI!R102</f>
        <v>7.1784745776461975E-2</v>
      </c>
      <c r="AL102" s="339">
        <f t="shared" si="7"/>
        <v>36486</v>
      </c>
      <c r="AM102" s="337">
        <f>AL102/VPI!R102</f>
        <v>1.9159752994879238</v>
      </c>
      <c r="AN102" s="519">
        <v>37853</v>
      </c>
      <c r="AO102" s="589"/>
      <c r="AP102" s="532">
        <v>28.418997501182417</v>
      </c>
      <c r="AR102" s="591">
        <v>0</v>
      </c>
    </row>
    <row r="103" spans="1:44" x14ac:dyDescent="0.25">
      <c r="A103" s="586">
        <v>5566</v>
      </c>
      <c r="B103" s="587" t="s">
        <v>248</v>
      </c>
      <c r="C103" s="505">
        <v>539931.71</v>
      </c>
      <c r="D103" s="505">
        <v>65732.78</v>
      </c>
      <c r="E103" s="505"/>
      <c r="F103" s="506">
        <v>2730</v>
      </c>
      <c r="G103" s="505">
        <v>11600.3</v>
      </c>
      <c r="H103" s="505">
        <v>2695.85</v>
      </c>
      <c r="I103" s="505"/>
      <c r="J103" s="505">
        <v>12422.1</v>
      </c>
      <c r="K103" s="505">
        <v>2987.05</v>
      </c>
      <c r="L103" s="505">
        <v>84555.95</v>
      </c>
      <c r="M103" s="384">
        <f t="shared" si="4"/>
        <v>722655.74</v>
      </c>
      <c r="N103" s="510">
        <v>14030.45</v>
      </c>
      <c r="O103" s="510">
        <v>10726.4</v>
      </c>
      <c r="P103" s="510">
        <v>33157.300000000003</v>
      </c>
      <c r="Q103" s="510">
        <v>298.69</v>
      </c>
      <c r="R103" s="510">
        <v>25570.45</v>
      </c>
      <c r="S103" s="505">
        <v>1481.41</v>
      </c>
      <c r="T103" s="384">
        <f t="shared" si="5"/>
        <v>807920.44</v>
      </c>
      <c r="U103" s="507">
        <v>-5344.53</v>
      </c>
      <c r="V103" s="510"/>
      <c r="W103" s="510">
        <v>-76.099999999999994</v>
      </c>
      <c r="X103" s="515">
        <v>81</v>
      </c>
      <c r="Y103" s="518">
        <v>1.5</v>
      </c>
      <c r="Z103" s="519">
        <v>403</v>
      </c>
      <c r="AA103" s="588"/>
      <c r="AB103" s="524">
        <v>37945</v>
      </c>
      <c r="AC103" s="337">
        <f>AB103/VPI!R103</f>
        <v>4.4490619610708997</v>
      </c>
      <c r="AD103" s="339">
        <f t="shared" si="6"/>
        <v>400893</v>
      </c>
      <c r="AE103" s="337">
        <f>AD103/VPI!R103</f>
        <v>47.00481741361434</v>
      </c>
      <c r="AF103" s="524">
        <v>438838</v>
      </c>
      <c r="AG103" s="524">
        <v>19259</v>
      </c>
      <c r="AH103" s="524">
        <v>46588</v>
      </c>
      <c r="AI103" s="589"/>
      <c r="AJ103" s="519">
        <v>0</v>
      </c>
      <c r="AK103" s="337">
        <f>AJ103/VPI!R103</f>
        <v>0</v>
      </c>
      <c r="AL103" s="339">
        <f t="shared" si="7"/>
        <v>11505</v>
      </c>
      <c r="AM103" s="337">
        <f>AL103/VPI!R103</f>
        <v>1.3489644976181498</v>
      </c>
      <c r="AN103" s="519">
        <v>11505</v>
      </c>
      <c r="AO103" s="589"/>
      <c r="AP103" s="532">
        <v>-1.3530329440455517</v>
      </c>
      <c r="AR103" s="591">
        <v>0</v>
      </c>
    </row>
    <row r="104" spans="1:44" x14ac:dyDescent="0.25">
      <c r="A104" s="586">
        <v>5568</v>
      </c>
      <c r="B104" s="587" t="s">
        <v>107</v>
      </c>
      <c r="C104" s="505">
        <v>5646190.29</v>
      </c>
      <c r="D104" s="505">
        <v>868117.01</v>
      </c>
      <c r="E104" s="505"/>
      <c r="F104" s="506"/>
      <c r="G104" s="505">
        <v>144826.54999999999</v>
      </c>
      <c r="H104" s="505">
        <v>6590.15</v>
      </c>
      <c r="I104" s="505">
        <v>38315.550000000003</v>
      </c>
      <c r="J104" s="505">
        <v>143181.76000000001</v>
      </c>
      <c r="K104" s="505">
        <v>31363.599999999999</v>
      </c>
      <c r="L104" s="505">
        <v>670655.55000000005</v>
      </c>
      <c r="M104" s="384">
        <f t="shared" si="4"/>
        <v>7549240.459999999</v>
      </c>
      <c r="N104" s="510">
        <v>2185427.75</v>
      </c>
      <c r="O104" s="510">
        <v>144280.5</v>
      </c>
      <c r="P104" s="510">
        <f>465362.8-1070</f>
        <v>464292.8</v>
      </c>
      <c r="Q104" s="510">
        <v>22621.75</v>
      </c>
      <c r="R104" s="510">
        <v>232933.1</v>
      </c>
      <c r="S104" s="505">
        <v>15690.23</v>
      </c>
      <c r="T104" s="384">
        <f t="shared" si="5"/>
        <v>10614486.59</v>
      </c>
      <c r="U104" s="507">
        <v>-164867.07</v>
      </c>
      <c r="V104" s="510"/>
      <c r="W104" s="510">
        <v>-2471.1</v>
      </c>
      <c r="X104" s="515">
        <v>70</v>
      </c>
      <c r="Y104" s="518">
        <v>1</v>
      </c>
      <c r="Z104" s="519">
        <v>4869</v>
      </c>
      <c r="AA104" s="588"/>
      <c r="AB104" s="524">
        <v>231652</v>
      </c>
      <c r="AC104" s="337">
        <f>AB104/VPI!R104</f>
        <v>2.1853331197671739</v>
      </c>
      <c r="AD104" s="339">
        <f t="shared" si="6"/>
        <v>2078776</v>
      </c>
      <c r="AE104" s="337">
        <f>AD104/VPI!R104</f>
        <v>19.610528039374262</v>
      </c>
      <c r="AF104" s="524">
        <v>2310428</v>
      </c>
      <c r="AG104" s="524">
        <v>591148</v>
      </c>
      <c r="AH104" s="524">
        <v>157083</v>
      </c>
      <c r="AI104" s="589"/>
      <c r="AJ104" s="519">
        <v>40152</v>
      </c>
      <c r="AK104" s="337">
        <f>AJ104/VPI!R104</f>
        <v>0.37878151462060144</v>
      </c>
      <c r="AL104" s="339">
        <f t="shared" si="7"/>
        <v>333656</v>
      </c>
      <c r="AM104" s="337">
        <f>AL104/VPI!R104</f>
        <v>3.1476072186255077</v>
      </c>
      <c r="AN104" s="519">
        <v>373808</v>
      </c>
      <c r="AO104" s="589"/>
      <c r="AP104" s="532">
        <v>-7.9960052261333896</v>
      </c>
      <c r="AR104" s="591">
        <v>0</v>
      </c>
    </row>
    <row r="105" spans="1:44" x14ac:dyDescent="0.25">
      <c r="A105" s="586">
        <v>5571</v>
      </c>
      <c r="B105" s="587" t="s">
        <v>343</v>
      </c>
      <c r="C105" s="505">
        <v>1501680.62</v>
      </c>
      <c r="D105" s="505">
        <v>169786.94</v>
      </c>
      <c r="E105" s="505"/>
      <c r="F105" s="506"/>
      <c r="G105" s="505">
        <v>6398.2</v>
      </c>
      <c r="H105" s="505">
        <v>459</v>
      </c>
      <c r="I105" s="505"/>
      <c r="J105" s="505">
        <v>-698</v>
      </c>
      <c r="K105" s="505">
        <v>8766.2000000000007</v>
      </c>
      <c r="L105" s="505">
        <v>204998.5</v>
      </c>
      <c r="M105" s="384">
        <f t="shared" si="4"/>
        <v>1891391.46</v>
      </c>
      <c r="N105" s="510">
        <v>51701.55</v>
      </c>
      <c r="O105" s="510">
        <v>4191</v>
      </c>
      <c r="P105" s="510">
        <v>48180</v>
      </c>
      <c r="Q105" s="510">
        <v>2632.3</v>
      </c>
      <c r="R105" s="510">
        <v>30107.75</v>
      </c>
      <c r="S105" s="505">
        <v>710.56</v>
      </c>
      <c r="T105" s="384">
        <f t="shared" si="5"/>
        <v>2028914.62</v>
      </c>
      <c r="U105" s="507">
        <v>-7231.34</v>
      </c>
      <c r="V105" s="510">
        <v>-991.5</v>
      </c>
      <c r="W105" s="510">
        <v>0</v>
      </c>
      <c r="X105" s="515">
        <v>71.5</v>
      </c>
      <c r="Y105" s="518">
        <v>1.2</v>
      </c>
      <c r="Z105" s="519">
        <v>867</v>
      </c>
      <c r="AA105" s="588"/>
      <c r="AB105" s="524">
        <v>79033</v>
      </c>
      <c r="AC105" s="337">
        <f>AB105/VPI!R105</f>
        <v>3.0506516371367449</v>
      </c>
      <c r="AD105" s="339">
        <f t="shared" si="6"/>
        <v>185696</v>
      </c>
      <c r="AE105" s="337">
        <f>AD105/VPI!R105</f>
        <v>7.1678135261187723</v>
      </c>
      <c r="AF105" s="524">
        <v>264729</v>
      </c>
      <c r="AG105" s="524">
        <v>42198</v>
      </c>
      <c r="AH105" s="524">
        <v>132383</v>
      </c>
      <c r="AI105" s="589"/>
      <c r="AJ105" s="519">
        <v>0</v>
      </c>
      <c r="AK105" s="337">
        <f>AJ105/VPI!R105</f>
        <v>0</v>
      </c>
      <c r="AL105" s="339">
        <f t="shared" si="7"/>
        <v>32540</v>
      </c>
      <c r="AM105" s="337">
        <f>AL105/VPI!R105</f>
        <v>1.2560348749564065</v>
      </c>
      <c r="AN105" s="519">
        <v>32540</v>
      </c>
      <c r="AO105" s="589"/>
      <c r="AP105" s="532">
        <v>13.766780994756015</v>
      </c>
      <c r="AR105" s="591">
        <v>0</v>
      </c>
    </row>
    <row r="106" spans="1:44" x14ac:dyDescent="0.25">
      <c r="A106" s="586">
        <v>5581</v>
      </c>
      <c r="B106" s="587" t="s">
        <v>317</v>
      </c>
      <c r="C106" s="505">
        <v>13102045.34</v>
      </c>
      <c r="D106" s="505">
        <v>2170919.02</v>
      </c>
      <c r="E106" s="505"/>
      <c r="F106" s="506"/>
      <c r="G106" s="505">
        <v>297529</v>
      </c>
      <c r="H106" s="505">
        <v>19397.45</v>
      </c>
      <c r="I106" s="505">
        <v>94218.85</v>
      </c>
      <c r="J106" s="505">
        <v>163782.16</v>
      </c>
      <c r="K106" s="505">
        <v>35901.599999999999</v>
      </c>
      <c r="L106" s="505">
        <v>1498346.1</v>
      </c>
      <c r="M106" s="384">
        <f t="shared" si="4"/>
        <v>17382139.52</v>
      </c>
      <c r="N106" s="510">
        <v>7195.2</v>
      </c>
      <c r="O106" s="510">
        <v>16400.8</v>
      </c>
      <c r="P106" s="510">
        <v>600886.55000000005</v>
      </c>
      <c r="Q106" s="510">
        <v>-18915.02</v>
      </c>
      <c r="R106" s="510">
        <v>617325.80000000005</v>
      </c>
      <c r="S106" s="505">
        <v>32840.82</v>
      </c>
      <c r="T106" s="384">
        <f t="shared" si="5"/>
        <v>18637873.670000002</v>
      </c>
      <c r="U106" s="507">
        <v>-61138.37</v>
      </c>
      <c r="V106" s="510"/>
      <c r="W106" s="510">
        <v>-11449.17</v>
      </c>
      <c r="X106" s="515">
        <v>72</v>
      </c>
      <c r="Y106" s="518">
        <v>1.5</v>
      </c>
      <c r="Z106" s="519">
        <v>3835</v>
      </c>
      <c r="AA106" s="588"/>
      <c r="AB106" s="524">
        <v>743178</v>
      </c>
      <c r="AC106" s="337">
        <f>AB106/VPI!R106</f>
        <v>3.180499495427644</v>
      </c>
      <c r="AD106" s="339">
        <f t="shared" si="6"/>
        <v>493493</v>
      </c>
      <c r="AE106" s="337">
        <f>AD106/VPI!R106</f>
        <v>2.1119492739250547</v>
      </c>
      <c r="AF106" s="524">
        <v>1236671</v>
      </c>
      <c r="AG106" s="524">
        <v>1818149</v>
      </c>
      <c r="AH106" s="524">
        <v>249292</v>
      </c>
      <c r="AI106" s="589"/>
      <c r="AJ106" s="519">
        <v>0</v>
      </c>
      <c r="AK106" s="337">
        <f>AJ106/VPI!R106</f>
        <v>0</v>
      </c>
      <c r="AL106" s="339">
        <f t="shared" si="7"/>
        <v>-33282</v>
      </c>
      <c r="AM106" s="337">
        <f>AL106/VPI!R106</f>
        <v>-0.14243341999739342</v>
      </c>
      <c r="AN106" s="529">
        <v>-33282</v>
      </c>
      <c r="AO106" s="589"/>
      <c r="AP106" s="532">
        <v>27.932684084762599</v>
      </c>
      <c r="AR106" s="591">
        <v>1</v>
      </c>
    </row>
    <row r="107" spans="1:44" x14ac:dyDescent="0.25">
      <c r="A107" s="586">
        <v>5582</v>
      </c>
      <c r="B107" s="587" t="s">
        <v>318</v>
      </c>
      <c r="C107" s="505">
        <v>9117824.3300000001</v>
      </c>
      <c r="D107" s="505">
        <v>1122404.81</v>
      </c>
      <c r="E107" s="505"/>
      <c r="F107" s="506"/>
      <c r="G107" s="505">
        <v>315191.5</v>
      </c>
      <c r="H107" s="505">
        <v>282550.8</v>
      </c>
      <c r="I107" s="505"/>
      <c r="J107" s="505">
        <v>338951.18</v>
      </c>
      <c r="K107" s="505">
        <v>126869.85</v>
      </c>
      <c r="L107" s="505">
        <v>992794.45</v>
      </c>
      <c r="M107" s="384">
        <f t="shared" si="4"/>
        <v>12296586.92</v>
      </c>
      <c r="N107" s="510">
        <v>473500.2</v>
      </c>
      <c r="O107" s="510">
        <v>34275.800000000003</v>
      </c>
      <c r="P107" s="510">
        <v>388512.15</v>
      </c>
      <c r="Q107" s="510">
        <v>152371.28</v>
      </c>
      <c r="R107" s="510">
        <v>185015.5</v>
      </c>
      <c r="S107" s="505">
        <v>61939.75</v>
      </c>
      <c r="T107" s="384">
        <f t="shared" si="5"/>
        <v>13592201.6</v>
      </c>
      <c r="U107" s="507">
        <v>-66148.649999999994</v>
      </c>
      <c r="V107" s="510"/>
      <c r="W107" s="510">
        <v>-3974.96</v>
      </c>
      <c r="X107" s="515">
        <v>73</v>
      </c>
      <c r="Y107" s="518">
        <v>1</v>
      </c>
      <c r="Z107" s="519">
        <v>4525</v>
      </c>
      <c r="AA107" s="588"/>
      <c r="AB107" s="524">
        <v>291629</v>
      </c>
      <c r="AC107" s="337">
        <f>AB107/VPI!R107</f>
        <v>1.7112212164761444</v>
      </c>
      <c r="AD107" s="339">
        <f t="shared" si="6"/>
        <v>1074863</v>
      </c>
      <c r="AE107" s="337">
        <f>AD107/VPI!R107</f>
        <v>6.3070832132785082</v>
      </c>
      <c r="AF107" s="524">
        <v>1366492</v>
      </c>
      <c r="AG107" s="524">
        <v>431086</v>
      </c>
      <c r="AH107" s="524">
        <v>203857</v>
      </c>
      <c r="AI107" s="589"/>
      <c r="AJ107" s="519">
        <v>0</v>
      </c>
      <c r="AK107" s="337">
        <f>AJ107/VPI!R107</f>
        <v>0</v>
      </c>
      <c r="AL107" s="339">
        <f t="shared" si="7"/>
        <v>72855</v>
      </c>
      <c r="AM107" s="337">
        <f>AL107/VPI!R107</f>
        <v>0.42749871146686202</v>
      </c>
      <c r="AN107" s="519">
        <v>72855</v>
      </c>
      <c r="AO107" s="589"/>
      <c r="AP107" s="532">
        <v>16.608188867877562</v>
      </c>
      <c r="AR107" s="591">
        <v>0</v>
      </c>
    </row>
    <row r="108" spans="1:44" x14ac:dyDescent="0.25">
      <c r="A108" s="586">
        <v>5583</v>
      </c>
      <c r="B108" s="587" t="s">
        <v>319</v>
      </c>
      <c r="C108" s="505">
        <v>12370737.34</v>
      </c>
      <c r="D108" s="505">
        <v>1726557.72</v>
      </c>
      <c r="E108" s="505"/>
      <c r="F108" s="506"/>
      <c r="G108" s="505">
        <v>2974353.05</v>
      </c>
      <c r="H108" s="505">
        <v>351879.55</v>
      </c>
      <c r="I108" s="505"/>
      <c r="J108" s="505">
        <v>1059721.76</v>
      </c>
      <c r="K108" s="505">
        <v>373598.6</v>
      </c>
      <c r="L108" s="505">
        <v>2583288.2999999998</v>
      </c>
      <c r="M108" s="384">
        <f t="shared" si="4"/>
        <v>21440136.320000004</v>
      </c>
      <c r="N108" s="510">
        <v>2567265.7999999998</v>
      </c>
      <c r="O108" s="510">
        <v>67534.05</v>
      </c>
      <c r="P108" s="510">
        <v>2117957.9500000002</v>
      </c>
      <c r="Q108" s="510">
        <v>134384.76999999999</v>
      </c>
      <c r="R108" s="510">
        <v>691127.5</v>
      </c>
      <c r="S108" s="505">
        <v>344673.66</v>
      </c>
      <c r="T108" s="384">
        <f t="shared" si="5"/>
        <v>27363080.050000004</v>
      </c>
      <c r="U108" s="507">
        <v>-297820.19</v>
      </c>
      <c r="V108" s="510"/>
      <c r="W108" s="510">
        <v>-2778.7</v>
      </c>
      <c r="X108" s="515">
        <v>63.5</v>
      </c>
      <c r="Y108" s="518">
        <v>1</v>
      </c>
      <c r="Z108" s="519">
        <v>9161</v>
      </c>
      <c r="AA108" s="588"/>
      <c r="AB108" s="524">
        <v>507808</v>
      </c>
      <c r="AC108" s="337">
        <f>AB108/VPI!R108</f>
        <v>1.4915773535349302</v>
      </c>
      <c r="AD108" s="339">
        <f t="shared" si="6"/>
        <v>1610321</v>
      </c>
      <c r="AE108" s="337">
        <f>AD108/VPI!R108</f>
        <v>4.7299734063301919</v>
      </c>
      <c r="AF108" s="524">
        <v>2118129</v>
      </c>
      <c r="AG108" s="524">
        <v>4980257</v>
      </c>
      <c r="AH108" s="524">
        <v>328556</v>
      </c>
      <c r="AI108" s="589"/>
      <c r="AJ108" s="519">
        <v>0</v>
      </c>
      <c r="AK108" s="337">
        <f>AJ108/VPI!R108</f>
        <v>0</v>
      </c>
      <c r="AL108" s="339">
        <f t="shared" si="7"/>
        <v>115720</v>
      </c>
      <c r="AM108" s="337">
        <f>AL108/VPI!R108</f>
        <v>0.33990274149100075</v>
      </c>
      <c r="AN108" s="519">
        <v>115720</v>
      </c>
      <c r="AO108" s="589"/>
      <c r="AP108" s="532">
        <v>14.663124188962929</v>
      </c>
      <c r="AR108" s="591">
        <v>1</v>
      </c>
    </row>
    <row r="109" spans="1:44" x14ac:dyDescent="0.25">
      <c r="A109" s="586">
        <v>5584</v>
      </c>
      <c r="B109" s="587" t="s">
        <v>320</v>
      </c>
      <c r="C109" s="505">
        <v>21640754.899999999</v>
      </c>
      <c r="D109" s="505">
        <v>4578820.9800000004</v>
      </c>
      <c r="E109" s="505"/>
      <c r="F109" s="506"/>
      <c r="G109" s="505">
        <v>1295637</v>
      </c>
      <c r="H109" s="505">
        <v>397475.1</v>
      </c>
      <c r="I109" s="505">
        <v>384606.3</v>
      </c>
      <c r="J109" s="505">
        <v>624375.05000000005</v>
      </c>
      <c r="K109" s="505">
        <v>342617.05</v>
      </c>
      <c r="L109" s="505">
        <v>2428685.31</v>
      </c>
      <c r="M109" s="384">
        <f t="shared" si="4"/>
        <v>31692971.690000001</v>
      </c>
      <c r="N109" s="510">
        <v>351357.3</v>
      </c>
      <c r="O109" s="510">
        <v>2252594.5</v>
      </c>
      <c r="P109" s="510">
        <v>891041.3</v>
      </c>
      <c r="Q109" s="510">
        <v>230723.20000000001</v>
      </c>
      <c r="R109" s="510">
        <v>1562752.1</v>
      </c>
      <c r="S109" s="505">
        <v>175445.08</v>
      </c>
      <c r="T109" s="384">
        <f t="shared" si="5"/>
        <v>37156885.170000002</v>
      </c>
      <c r="U109" s="507">
        <v>-462529.99</v>
      </c>
      <c r="V109" s="510"/>
      <c r="W109" s="510">
        <v>-48182.400000000001</v>
      </c>
      <c r="X109" s="515">
        <v>64.5</v>
      </c>
      <c r="Y109" s="518">
        <v>1</v>
      </c>
      <c r="Z109" s="519">
        <v>9825</v>
      </c>
      <c r="AA109" s="588"/>
      <c r="AB109" s="524">
        <v>1361447</v>
      </c>
      <c r="AC109" s="337">
        <f>AB109/VPI!R109</f>
        <v>2.7799209466063584</v>
      </c>
      <c r="AD109" s="339">
        <f t="shared" si="6"/>
        <v>3186102</v>
      </c>
      <c r="AE109" s="337">
        <f>AD109/VPI!R109</f>
        <v>6.5056602921923599</v>
      </c>
      <c r="AF109" s="524">
        <v>4547549</v>
      </c>
      <c r="AG109" s="524">
        <v>4420283</v>
      </c>
      <c r="AH109" s="524">
        <v>802714</v>
      </c>
      <c r="AI109" s="589"/>
      <c r="AJ109" s="519">
        <v>3413</v>
      </c>
      <c r="AK109" s="337">
        <f>AJ109/VPI!R109</f>
        <v>6.9689603714044694E-3</v>
      </c>
      <c r="AL109" s="339">
        <f t="shared" si="7"/>
        <v>282376</v>
      </c>
      <c r="AM109" s="337">
        <f>AL109/VPI!R109</f>
        <v>0.57657988685488093</v>
      </c>
      <c r="AN109" s="519">
        <v>285789</v>
      </c>
      <c r="AO109" s="589"/>
      <c r="AP109" s="532">
        <v>23.310300535342062</v>
      </c>
      <c r="AR109" s="591">
        <v>0</v>
      </c>
    </row>
    <row r="110" spans="1:44" x14ac:dyDescent="0.25">
      <c r="A110" s="586">
        <v>5585</v>
      </c>
      <c r="B110" s="587" t="s">
        <v>321</v>
      </c>
      <c r="C110" s="505">
        <f>7699617.49-2500000</f>
        <v>5199617.49</v>
      </c>
      <c r="D110" s="505">
        <v>5885359.6699999999</v>
      </c>
      <c r="E110" s="505"/>
      <c r="F110" s="506"/>
      <c r="G110" s="505">
        <v>61070.2</v>
      </c>
      <c r="H110" s="505">
        <v>6923.15</v>
      </c>
      <c r="I110" s="505">
        <v>575098.6</v>
      </c>
      <c r="J110" s="505">
        <v>123355.29</v>
      </c>
      <c r="K110" s="505">
        <v>7799</v>
      </c>
      <c r="L110" s="505">
        <v>591167.35</v>
      </c>
      <c r="M110" s="384">
        <f t="shared" si="4"/>
        <v>12450390.749999998</v>
      </c>
      <c r="N110" s="510">
        <v>770.1</v>
      </c>
      <c r="O110" s="510"/>
      <c r="P110" s="510">
        <v>359717.3</v>
      </c>
      <c r="Q110" s="510">
        <v>12084.04</v>
      </c>
      <c r="R110" s="510">
        <v>375596.25</v>
      </c>
      <c r="S110" s="505">
        <v>7045.66</v>
      </c>
      <c r="T110" s="384">
        <f t="shared" si="5"/>
        <v>13205604.099999998</v>
      </c>
      <c r="U110" s="507">
        <v>-24206.23</v>
      </c>
      <c r="V110" s="510"/>
      <c r="W110" s="510">
        <v>-21529.38</v>
      </c>
      <c r="X110" s="515">
        <v>59</v>
      </c>
      <c r="Y110" s="518">
        <v>1</v>
      </c>
      <c r="Z110" s="519">
        <v>1468</v>
      </c>
      <c r="AA110" s="588"/>
      <c r="AB110" s="524"/>
      <c r="AC110" s="337">
        <f>AB110/VPI!R110</f>
        <v>0</v>
      </c>
      <c r="AD110" s="339">
        <f t="shared" si="6"/>
        <v>0</v>
      </c>
      <c r="AE110" s="337">
        <f>AD110/VPI!R110</f>
        <v>0</v>
      </c>
      <c r="AF110" s="524"/>
      <c r="AG110" s="524"/>
      <c r="AH110" s="524"/>
      <c r="AI110" s="589"/>
      <c r="AJ110" s="519"/>
      <c r="AK110" s="337">
        <f>AJ110/VPI!R110</f>
        <v>0</v>
      </c>
      <c r="AL110" s="339">
        <f t="shared" si="7"/>
        <v>0</v>
      </c>
      <c r="AM110" s="337">
        <f>AL110/VPI!R110</f>
        <v>0</v>
      </c>
      <c r="AN110" s="519"/>
      <c r="AO110" s="589"/>
      <c r="AP110" s="532">
        <v>45.507625689896074</v>
      </c>
      <c r="AR110" s="591">
        <v>0</v>
      </c>
    </row>
    <row r="111" spans="1:44" x14ac:dyDescent="0.25">
      <c r="A111" s="586">
        <v>5586</v>
      </c>
      <c r="B111" s="587" t="s">
        <v>108</v>
      </c>
      <c r="C111" s="505">
        <v>303622968.13</v>
      </c>
      <c r="D111" s="505">
        <v>46208749.829999998</v>
      </c>
      <c r="E111" s="505"/>
      <c r="F111" s="506"/>
      <c r="G111" s="505">
        <v>95581505.689999998</v>
      </c>
      <c r="H111" s="505">
        <v>6186282.0499999998</v>
      </c>
      <c r="I111" s="505">
        <v>4416616.38</v>
      </c>
      <c r="J111" s="505">
        <v>26043977.149999999</v>
      </c>
      <c r="K111" s="505">
        <v>6615252.75</v>
      </c>
      <c r="L111" s="505">
        <v>47207561.049999997</v>
      </c>
      <c r="M111" s="384">
        <f t="shared" si="4"/>
        <v>535882913.02999997</v>
      </c>
      <c r="N111" s="510">
        <v>13587309.25</v>
      </c>
      <c r="O111" s="510">
        <v>14911668.4</v>
      </c>
      <c r="P111" s="510">
        <v>12720517.75</v>
      </c>
      <c r="Q111" s="510">
        <v>2478909.39</v>
      </c>
      <c r="R111" s="510">
        <v>10623425.550000001</v>
      </c>
      <c r="S111" s="505">
        <v>10545466.83</v>
      </c>
      <c r="T111" s="384">
        <f t="shared" si="5"/>
        <v>600750210.19999993</v>
      </c>
      <c r="U111" s="507">
        <v>-7524770.8200000003</v>
      </c>
      <c r="V111" s="510"/>
      <c r="W111" s="510">
        <v>-1986114.97</v>
      </c>
      <c r="X111" s="515">
        <v>78.5</v>
      </c>
      <c r="Y111" s="518">
        <v>1.5</v>
      </c>
      <c r="Z111" s="519">
        <v>141513</v>
      </c>
      <c r="AA111" s="588"/>
      <c r="AB111" s="524">
        <v>2867738</v>
      </c>
      <c r="AC111" s="337">
        <f>AB111/VPI!R111</f>
        <v>0.42989190821422246</v>
      </c>
      <c r="AD111" s="339">
        <f t="shared" si="6"/>
        <v>45120360</v>
      </c>
      <c r="AE111" s="337">
        <f>AD111/VPI!R111</f>
        <v>6.7638248890633221</v>
      </c>
      <c r="AF111" s="524">
        <v>47988098</v>
      </c>
      <c r="AG111" s="524">
        <v>67625596</v>
      </c>
      <c r="AH111" s="524">
        <v>2691448</v>
      </c>
      <c r="AI111" s="589"/>
      <c r="AJ111" s="519">
        <v>0</v>
      </c>
      <c r="AK111" s="337">
        <f>AJ111/VPI!R111</f>
        <v>0</v>
      </c>
      <c r="AL111" s="339">
        <f t="shared" si="7"/>
        <v>1951177</v>
      </c>
      <c r="AM111" s="337">
        <f>AL111/VPI!R111</f>
        <v>0.29249366706222879</v>
      </c>
      <c r="AN111" s="519">
        <v>1951177</v>
      </c>
      <c r="AO111" s="589"/>
      <c r="AP111" s="532">
        <v>8.1821002943498122</v>
      </c>
      <c r="AR111" s="591">
        <v>1</v>
      </c>
    </row>
    <row r="112" spans="1:44" x14ac:dyDescent="0.25">
      <c r="A112" s="586">
        <v>5587</v>
      </c>
      <c r="B112" s="587" t="s">
        <v>109</v>
      </c>
      <c r="C112" s="505">
        <v>24803526.59</v>
      </c>
      <c r="D112" s="505">
        <v>4401213.04</v>
      </c>
      <c r="E112" s="505"/>
      <c r="F112" s="506"/>
      <c r="G112" s="505">
        <v>1933536.05</v>
      </c>
      <c r="H112" s="505">
        <v>369703.9</v>
      </c>
      <c r="I112" s="505">
        <v>275234.95</v>
      </c>
      <c r="J112" s="505">
        <v>534999.24</v>
      </c>
      <c r="K112" s="505">
        <v>366915.15</v>
      </c>
      <c r="L112" s="505">
        <v>3392273.85</v>
      </c>
      <c r="M112" s="384">
        <f t="shared" si="4"/>
        <v>36077402.769999996</v>
      </c>
      <c r="N112" s="510">
        <v>464624.55</v>
      </c>
      <c r="O112" s="510">
        <v>1921762.6</v>
      </c>
      <c r="P112" s="510">
        <v>1446366.7</v>
      </c>
      <c r="Q112" s="510">
        <v>62316.08</v>
      </c>
      <c r="R112" s="510">
        <v>1048974.6499999999</v>
      </c>
      <c r="S112" s="505">
        <v>238668.26</v>
      </c>
      <c r="T112" s="384">
        <f t="shared" si="5"/>
        <v>41260115.609999992</v>
      </c>
      <c r="U112" s="507">
        <v>-210338.26</v>
      </c>
      <c r="V112" s="510"/>
      <c r="W112" s="510">
        <v>-27002.71</v>
      </c>
      <c r="X112" s="515">
        <v>73.5</v>
      </c>
      <c r="Y112" s="518">
        <v>1.2</v>
      </c>
      <c r="Z112" s="519">
        <v>9297</v>
      </c>
      <c r="AA112" s="588"/>
      <c r="AB112" s="524">
        <v>571918</v>
      </c>
      <c r="AC112" s="337">
        <f>AB112/VPI!R112</f>
        <v>1.181593385305667</v>
      </c>
      <c r="AD112" s="339">
        <f t="shared" si="6"/>
        <v>2673876</v>
      </c>
      <c r="AE112" s="337">
        <f>AD112/VPI!R112</f>
        <v>5.5242782964123798</v>
      </c>
      <c r="AF112" s="524">
        <v>3245794</v>
      </c>
      <c r="AG112" s="524">
        <v>3018024</v>
      </c>
      <c r="AH112" s="524">
        <v>803039</v>
      </c>
      <c r="AI112" s="589"/>
      <c r="AJ112" s="519">
        <v>0</v>
      </c>
      <c r="AK112" s="337">
        <f>AJ112/VPI!R112</f>
        <v>0</v>
      </c>
      <c r="AL112" s="339">
        <f t="shared" si="7"/>
        <v>103681</v>
      </c>
      <c r="AM112" s="337">
        <f>AL112/VPI!R112</f>
        <v>0.21420690340551768</v>
      </c>
      <c r="AN112" s="519">
        <v>103681</v>
      </c>
      <c r="AO112" s="589"/>
      <c r="AP112" s="532">
        <v>24.356108746144038</v>
      </c>
      <c r="AR112" s="591">
        <v>0</v>
      </c>
    </row>
    <row r="113" spans="1:44" x14ac:dyDescent="0.25">
      <c r="A113" s="586">
        <v>5588</v>
      </c>
      <c r="B113" s="587" t="s">
        <v>110</v>
      </c>
      <c r="C113" s="505">
        <v>4677921.8</v>
      </c>
      <c r="D113" s="505">
        <v>1864738.63</v>
      </c>
      <c r="E113" s="505"/>
      <c r="F113" s="506"/>
      <c r="G113" s="505">
        <v>481760.7</v>
      </c>
      <c r="H113" s="505">
        <v>398789.95</v>
      </c>
      <c r="I113" s="505">
        <v>697545.62</v>
      </c>
      <c r="J113" s="505">
        <v>382480.49</v>
      </c>
      <c r="K113" s="505">
        <v>46010.95</v>
      </c>
      <c r="L113" s="505">
        <v>395498.3</v>
      </c>
      <c r="M113" s="384">
        <f t="shared" si="4"/>
        <v>8944746.4399999995</v>
      </c>
      <c r="N113" s="510">
        <v>15604.6</v>
      </c>
      <c r="O113" s="510">
        <v>185956.6</v>
      </c>
      <c r="P113" s="510">
        <v>329477.5</v>
      </c>
      <c r="Q113" s="510">
        <v>7826.85</v>
      </c>
      <c r="R113" s="510">
        <v>63196.25</v>
      </c>
      <c r="S113" s="505">
        <v>91245.16</v>
      </c>
      <c r="T113" s="384">
        <f t="shared" si="5"/>
        <v>9638053.3999999985</v>
      </c>
      <c r="U113" s="507">
        <v>-9392.98</v>
      </c>
      <c r="V113" s="510"/>
      <c r="W113" s="510">
        <v>-57193.65</v>
      </c>
      <c r="X113" s="515">
        <v>66.5</v>
      </c>
      <c r="Y113" s="518">
        <v>0.7</v>
      </c>
      <c r="Z113" s="519">
        <v>1550</v>
      </c>
      <c r="AA113" s="588"/>
      <c r="AB113" s="524">
        <v>82840</v>
      </c>
      <c r="AC113" s="337">
        <f>AB113/VPI!R113</f>
        <v>0.60227637009711266</v>
      </c>
      <c r="AD113" s="339">
        <f t="shared" si="6"/>
        <v>154672</v>
      </c>
      <c r="AE113" s="337">
        <f>AD113/VPI!R113</f>
        <v>1.1245206508409056</v>
      </c>
      <c r="AF113" s="524">
        <v>237512</v>
      </c>
      <c r="AG113" s="524">
        <v>690788</v>
      </c>
      <c r="AH113" s="524">
        <v>44059</v>
      </c>
      <c r="AI113" s="589"/>
      <c r="AJ113" s="519">
        <v>0</v>
      </c>
      <c r="AK113" s="337">
        <f>AJ113/VPI!R113</f>
        <v>0</v>
      </c>
      <c r="AL113" s="339">
        <f t="shared" si="7"/>
        <v>0</v>
      </c>
      <c r="AM113" s="337">
        <f>AL113/VPI!R113</f>
        <v>0</v>
      </c>
      <c r="AN113" s="519">
        <v>0</v>
      </c>
      <c r="AO113" s="589"/>
      <c r="AP113" s="532">
        <v>39.784399526855516</v>
      </c>
      <c r="AR113" s="591">
        <v>1</v>
      </c>
    </row>
    <row r="114" spans="1:44" x14ac:dyDescent="0.25">
      <c r="A114" s="586">
        <v>5589</v>
      </c>
      <c r="B114" s="587" t="s">
        <v>111</v>
      </c>
      <c r="C114" s="505">
        <v>18610572.949999999</v>
      </c>
      <c r="D114" s="505">
        <v>2397743.61</v>
      </c>
      <c r="E114" s="505"/>
      <c r="F114" s="506"/>
      <c r="G114" s="505">
        <v>3544894.95</v>
      </c>
      <c r="H114" s="505">
        <v>243223.65</v>
      </c>
      <c r="I114" s="505">
        <v>84190.25</v>
      </c>
      <c r="J114" s="505">
        <v>1456662.44</v>
      </c>
      <c r="K114" s="505">
        <v>425656</v>
      </c>
      <c r="L114" s="505">
        <v>3114195.45</v>
      </c>
      <c r="M114" s="384">
        <f t="shared" si="4"/>
        <v>29877139.299999997</v>
      </c>
      <c r="N114" s="510">
        <v>1184545.2</v>
      </c>
      <c r="O114" s="510">
        <v>138578.29999999999</v>
      </c>
      <c r="P114" s="510">
        <v>1260897.8999999999</v>
      </c>
      <c r="Q114" s="510">
        <v>141535.81</v>
      </c>
      <c r="R114" s="510">
        <v>1378761.05</v>
      </c>
      <c r="S114" s="505">
        <v>392535.6</v>
      </c>
      <c r="T114" s="384">
        <f t="shared" si="5"/>
        <v>34373993.159999996</v>
      </c>
      <c r="U114" s="507">
        <v>-383235.47</v>
      </c>
      <c r="V114" s="510"/>
      <c r="W114" s="510">
        <v>-6772.24</v>
      </c>
      <c r="X114" s="515">
        <v>72.5</v>
      </c>
      <c r="Y114" s="518">
        <v>1.3</v>
      </c>
      <c r="Z114" s="519">
        <v>12318</v>
      </c>
      <c r="AA114" s="588"/>
      <c r="AB114" s="524">
        <v>1041006</v>
      </c>
      <c r="AC114" s="337">
        <f>AB114/VPI!R114</f>
        <v>2.575644586823175</v>
      </c>
      <c r="AD114" s="339">
        <f t="shared" si="6"/>
        <v>1904078</v>
      </c>
      <c r="AE114" s="337">
        <f>AD114/VPI!R114</f>
        <v>4.7110470002950002</v>
      </c>
      <c r="AF114" s="524">
        <v>2945084</v>
      </c>
      <c r="AG114" s="524">
        <v>4661924</v>
      </c>
      <c r="AH114" s="524">
        <v>160170</v>
      </c>
      <c r="AI114" s="589"/>
      <c r="AJ114" s="519">
        <v>0</v>
      </c>
      <c r="AK114" s="337">
        <f>AJ114/VPI!R114</f>
        <v>0</v>
      </c>
      <c r="AL114" s="339">
        <f t="shared" si="7"/>
        <v>22903</v>
      </c>
      <c r="AM114" s="337">
        <f>AL114/VPI!R114</f>
        <v>5.6666328505321939E-2</v>
      </c>
      <c r="AN114" s="519">
        <v>22903</v>
      </c>
      <c r="AO114" s="589"/>
      <c r="AP114" s="532">
        <v>5.8359794166017762</v>
      </c>
      <c r="AR114" s="591">
        <v>1</v>
      </c>
    </row>
    <row r="115" spans="1:44" x14ac:dyDescent="0.25">
      <c r="A115" s="586">
        <v>5590</v>
      </c>
      <c r="B115" s="587" t="s">
        <v>112</v>
      </c>
      <c r="C115" s="505">
        <v>56321039.859999999</v>
      </c>
      <c r="D115" s="505">
        <v>16110074.220000001</v>
      </c>
      <c r="E115" s="505"/>
      <c r="F115" s="506"/>
      <c r="G115" s="505">
        <v>2114100.25</v>
      </c>
      <c r="H115" s="505">
        <v>2227289.85</v>
      </c>
      <c r="I115" s="505">
        <v>2335527.14</v>
      </c>
      <c r="J115" s="505">
        <v>1272358.1399999999</v>
      </c>
      <c r="K115" s="505">
        <v>412106.55</v>
      </c>
      <c r="L115" s="505">
        <v>3824738.75</v>
      </c>
      <c r="M115" s="384">
        <f t="shared" si="4"/>
        <v>84617234.75999999</v>
      </c>
      <c r="N115" s="510">
        <v>201845.05</v>
      </c>
      <c r="O115" s="510">
        <v>2030374.65</v>
      </c>
      <c r="P115" s="510">
        <v>3236255.25</v>
      </c>
      <c r="Q115" s="510">
        <v>203865.32</v>
      </c>
      <c r="R115" s="510">
        <v>3502627.2</v>
      </c>
      <c r="S115" s="505">
        <v>449867.16</v>
      </c>
      <c r="T115" s="384">
        <f t="shared" si="5"/>
        <v>94242069.389999986</v>
      </c>
      <c r="U115" s="507">
        <v>-498047.88</v>
      </c>
      <c r="V115" s="510"/>
      <c r="W115" s="510">
        <v>-1231121.6399999999</v>
      </c>
      <c r="X115" s="515">
        <v>61</v>
      </c>
      <c r="Y115" s="518">
        <v>0.7</v>
      </c>
      <c r="Z115" s="519">
        <v>19005</v>
      </c>
      <c r="AA115" s="588"/>
      <c r="AB115" s="524">
        <v>2183102</v>
      </c>
      <c r="AC115" s="337">
        <f>AB115/VPI!R115</f>
        <v>1.5633681995150883</v>
      </c>
      <c r="AD115" s="339">
        <f t="shared" si="6"/>
        <v>3878759</v>
      </c>
      <c r="AE115" s="337">
        <f>AD115/VPI!R115</f>
        <v>2.7776661256244299</v>
      </c>
      <c r="AF115" s="524">
        <v>6061861</v>
      </c>
      <c r="AG115" s="524">
        <v>10706031</v>
      </c>
      <c r="AH115" s="524">
        <v>357718</v>
      </c>
      <c r="AI115" s="589"/>
      <c r="AJ115" s="519">
        <v>25326</v>
      </c>
      <c r="AK115" s="337">
        <f>AJ115/VPI!R115</f>
        <v>1.8136515389990539E-2</v>
      </c>
      <c r="AL115" s="339">
        <f t="shared" si="7"/>
        <v>469057</v>
      </c>
      <c r="AM115" s="337">
        <f>AL115/VPI!R115</f>
        <v>0.33590221508658269</v>
      </c>
      <c r="AN115" s="519">
        <v>494383</v>
      </c>
      <c r="AO115" s="589"/>
      <c r="AP115" s="532">
        <v>31.158226784607862</v>
      </c>
      <c r="AR115" s="591">
        <v>1</v>
      </c>
    </row>
    <row r="116" spans="1:44" x14ac:dyDescent="0.25">
      <c r="A116" s="586">
        <v>5591</v>
      </c>
      <c r="B116" s="587" t="s">
        <v>324</v>
      </c>
      <c r="C116" s="505">
        <v>28815931.27</v>
      </c>
      <c r="D116" s="505">
        <v>3193094.07</v>
      </c>
      <c r="E116" s="505"/>
      <c r="F116" s="506"/>
      <c r="G116" s="505">
        <v>5524248.5999999996</v>
      </c>
      <c r="H116" s="505">
        <v>586544.6</v>
      </c>
      <c r="I116" s="505"/>
      <c r="J116" s="505">
        <v>3001968.75</v>
      </c>
      <c r="K116" s="505">
        <v>907219.95</v>
      </c>
      <c r="L116" s="505">
        <v>5608288.5499999998</v>
      </c>
      <c r="M116" s="384">
        <f t="shared" si="4"/>
        <v>47637295.789999999</v>
      </c>
      <c r="N116" s="510">
        <v>2707366.5</v>
      </c>
      <c r="O116" s="510">
        <v>438463.5</v>
      </c>
      <c r="P116" s="510">
        <v>1546278.25</v>
      </c>
      <c r="Q116" s="510">
        <v>341109.08</v>
      </c>
      <c r="R116" s="510">
        <v>2287015</v>
      </c>
      <c r="S116" s="505">
        <v>633217.73</v>
      </c>
      <c r="T116" s="384">
        <f t="shared" si="5"/>
        <v>55590745.849999994</v>
      </c>
      <c r="U116" s="507">
        <v>-1349093.16</v>
      </c>
      <c r="V116" s="510"/>
      <c r="W116" s="510">
        <v>-11657.28</v>
      </c>
      <c r="X116" s="515">
        <v>77</v>
      </c>
      <c r="Y116" s="518">
        <v>1.4</v>
      </c>
      <c r="Z116" s="519">
        <v>21116</v>
      </c>
      <c r="AA116" s="588"/>
      <c r="AB116" s="524">
        <v>889369</v>
      </c>
      <c r="AC116" s="337">
        <f>AB116/VPI!R116</f>
        <v>1.5001896446751846</v>
      </c>
      <c r="AD116" s="339">
        <f t="shared" si="6"/>
        <v>3128663</v>
      </c>
      <c r="AE116" s="337">
        <f>AD116/VPI!R116</f>
        <v>5.2774358385309101</v>
      </c>
      <c r="AF116" s="524">
        <v>4018032</v>
      </c>
      <c r="AG116" s="524">
        <v>10519575</v>
      </c>
      <c r="AH116" s="524">
        <v>174692</v>
      </c>
      <c r="AI116" s="589"/>
      <c r="AJ116" s="519">
        <v>0</v>
      </c>
      <c r="AK116" s="337">
        <f>AJ116/VPI!R116</f>
        <v>0</v>
      </c>
      <c r="AL116" s="339">
        <f t="shared" si="7"/>
        <v>24173</v>
      </c>
      <c r="AM116" s="337">
        <f>AL116/VPI!R116</f>
        <v>4.0775071180503518E-2</v>
      </c>
      <c r="AN116" s="519">
        <v>24173</v>
      </c>
      <c r="AO116" s="589"/>
      <c r="AP116" s="532">
        <v>-15.009519846428963</v>
      </c>
      <c r="AR116" s="591">
        <v>1</v>
      </c>
    </row>
    <row r="117" spans="1:44" x14ac:dyDescent="0.25">
      <c r="A117" s="586">
        <v>5592</v>
      </c>
      <c r="B117" s="587" t="s">
        <v>191</v>
      </c>
      <c r="C117" s="505">
        <v>5693829.3300000001</v>
      </c>
      <c r="D117" s="505">
        <v>847195.76</v>
      </c>
      <c r="E117" s="505"/>
      <c r="F117" s="506"/>
      <c r="G117" s="505">
        <v>242337.5</v>
      </c>
      <c r="H117" s="505">
        <v>101659.55</v>
      </c>
      <c r="I117" s="505">
        <v>-45356.85</v>
      </c>
      <c r="J117" s="505">
        <v>225493.06</v>
      </c>
      <c r="K117" s="505">
        <v>161525.35</v>
      </c>
      <c r="L117" s="505">
        <v>1020259.05</v>
      </c>
      <c r="M117" s="384">
        <f t="shared" si="4"/>
        <v>8246942.7499999991</v>
      </c>
      <c r="N117" s="510">
        <v>267061.65000000002</v>
      </c>
      <c r="O117" s="510">
        <v>3062.1</v>
      </c>
      <c r="P117" s="510">
        <v>788636.25</v>
      </c>
      <c r="Q117" s="510">
        <v>32450.22</v>
      </c>
      <c r="R117" s="510">
        <v>616070.15</v>
      </c>
      <c r="S117" s="505">
        <v>35645.949999999997</v>
      </c>
      <c r="T117" s="384">
        <f t="shared" si="5"/>
        <v>9989869.0699999984</v>
      </c>
      <c r="U117" s="507">
        <v>-96637.86</v>
      </c>
      <c r="V117" s="510"/>
      <c r="W117" s="510">
        <v>-5525.39</v>
      </c>
      <c r="X117" s="515">
        <v>70.5</v>
      </c>
      <c r="Y117" s="518">
        <v>1.25</v>
      </c>
      <c r="Z117" s="519">
        <v>3798</v>
      </c>
      <c r="AA117" s="588"/>
      <c r="AB117" s="524">
        <v>158009</v>
      </c>
      <c r="AC117" s="337">
        <f>AB117/VPI!R117</f>
        <v>1.3909201519135421</v>
      </c>
      <c r="AD117" s="339">
        <f t="shared" si="6"/>
        <v>820771</v>
      </c>
      <c r="AE117" s="337">
        <f>AD117/VPI!R117</f>
        <v>7.2250753058764365</v>
      </c>
      <c r="AF117" s="524">
        <v>978780</v>
      </c>
      <c r="AG117" s="524">
        <v>337389</v>
      </c>
      <c r="AH117" s="524">
        <v>29520</v>
      </c>
      <c r="AI117" s="589"/>
      <c r="AJ117" s="519">
        <v>0</v>
      </c>
      <c r="AK117" s="337">
        <f>AJ117/VPI!R117</f>
        <v>0</v>
      </c>
      <c r="AL117" s="339">
        <f t="shared" si="7"/>
        <v>9480</v>
      </c>
      <c r="AM117" s="337">
        <f>AL117/VPI!R117</f>
        <v>8.3450455607847529E-2</v>
      </c>
      <c r="AN117" s="519">
        <v>9480</v>
      </c>
      <c r="AO117" s="589"/>
      <c r="AP117" s="532">
        <v>15.366611278736219</v>
      </c>
      <c r="AR117" s="591">
        <v>0</v>
      </c>
    </row>
    <row r="118" spans="1:44" x14ac:dyDescent="0.25">
      <c r="A118" s="586">
        <v>5601</v>
      </c>
      <c r="B118" s="587" t="s">
        <v>254</v>
      </c>
      <c r="C118" s="505">
        <v>5204129.28</v>
      </c>
      <c r="D118" s="505">
        <v>1214363.79</v>
      </c>
      <c r="E118" s="505"/>
      <c r="F118" s="506"/>
      <c r="G118" s="505">
        <v>70956.45</v>
      </c>
      <c r="H118" s="505">
        <v>13943.45</v>
      </c>
      <c r="I118" s="505">
        <v>0</v>
      </c>
      <c r="J118" s="505">
        <v>131129.57999999999</v>
      </c>
      <c r="K118" s="505">
        <v>27519.95</v>
      </c>
      <c r="L118" s="505">
        <v>531188.69999999995</v>
      </c>
      <c r="M118" s="384">
        <f t="shared" si="4"/>
        <v>7193231.2000000011</v>
      </c>
      <c r="N118" s="510">
        <v>66937.55</v>
      </c>
      <c r="O118" s="510">
        <v>262825.59999999998</v>
      </c>
      <c r="P118" s="510">
        <v>282662.65000000002</v>
      </c>
      <c r="Q118" s="510">
        <v>30442.58</v>
      </c>
      <c r="R118" s="510">
        <v>333813.05</v>
      </c>
      <c r="S118" s="505">
        <v>8797.56</v>
      </c>
      <c r="T118" s="384">
        <f t="shared" si="5"/>
        <v>8178710.1900000004</v>
      </c>
      <c r="U118" s="507">
        <v>-69891.5</v>
      </c>
      <c r="V118" s="510"/>
      <c r="W118" s="510">
        <v>-6622.34</v>
      </c>
      <c r="X118" s="515">
        <v>67.5</v>
      </c>
      <c r="Y118" s="518">
        <v>1</v>
      </c>
      <c r="Z118" s="519">
        <v>2204</v>
      </c>
      <c r="AA118" s="588"/>
      <c r="AB118" s="524">
        <v>234961</v>
      </c>
      <c r="AC118" s="337">
        <f>AB118/VPI!R118</f>
        <v>2.2163166145131519</v>
      </c>
      <c r="AD118" s="339">
        <f t="shared" si="6"/>
        <v>551879</v>
      </c>
      <c r="AE118" s="337">
        <f>AD118/VPI!R118</f>
        <v>5.2057090193730184</v>
      </c>
      <c r="AF118" s="524">
        <v>786840</v>
      </c>
      <c r="AG118" s="524">
        <v>218967</v>
      </c>
      <c r="AH118" s="524">
        <v>313231</v>
      </c>
      <c r="AI118" s="589"/>
      <c r="AJ118" s="519">
        <v>0</v>
      </c>
      <c r="AK118" s="337">
        <f>AJ118/VPI!R118</f>
        <v>0</v>
      </c>
      <c r="AL118" s="339">
        <f t="shared" si="7"/>
        <v>37282</v>
      </c>
      <c r="AM118" s="337">
        <f>AL118/VPI!R118</f>
        <v>0.35166991978362083</v>
      </c>
      <c r="AN118" s="519">
        <v>37282</v>
      </c>
      <c r="AO118" s="589"/>
      <c r="AP118" s="532">
        <v>26.416364543284185</v>
      </c>
      <c r="AR118" s="591">
        <v>1</v>
      </c>
    </row>
    <row r="119" spans="1:44" x14ac:dyDescent="0.25">
      <c r="A119" s="586">
        <v>5604</v>
      </c>
      <c r="B119" s="587" t="s">
        <v>128</v>
      </c>
      <c r="C119" s="505">
        <v>3601452.39</v>
      </c>
      <c r="D119" s="505">
        <v>569310.22</v>
      </c>
      <c r="E119" s="505"/>
      <c r="F119" s="506"/>
      <c r="G119" s="505">
        <v>235442.45</v>
      </c>
      <c r="H119" s="505">
        <v>4699.5</v>
      </c>
      <c r="I119" s="505"/>
      <c r="J119" s="505">
        <v>54026.31</v>
      </c>
      <c r="K119" s="505">
        <v>30025.15</v>
      </c>
      <c r="L119" s="505">
        <v>421616</v>
      </c>
      <c r="M119" s="384">
        <f t="shared" si="4"/>
        <v>4916572.0200000005</v>
      </c>
      <c r="N119" s="510">
        <v>123228.75</v>
      </c>
      <c r="O119" s="510">
        <v>11.8</v>
      </c>
      <c r="P119" s="510">
        <v>156134.85</v>
      </c>
      <c r="Q119" s="510">
        <v>56537.36</v>
      </c>
      <c r="R119" s="510">
        <v>226751.85</v>
      </c>
      <c r="S119" s="505">
        <v>24884.19</v>
      </c>
      <c r="T119" s="384">
        <f t="shared" si="5"/>
        <v>5504120.8200000003</v>
      </c>
      <c r="U119" s="507">
        <v>-101263.12</v>
      </c>
      <c r="V119" s="510"/>
      <c r="W119" s="510">
        <v>-611.53</v>
      </c>
      <c r="X119" s="515">
        <v>69</v>
      </c>
      <c r="Y119" s="518">
        <v>1</v>
      </c>
      <c r="Z119" s="519">
        <v>2067</v>
      </c>
      <c r="AA119" s="588"/>
      <c r="AB119" s="524">
        <v>132856</v>
      </c>
      <c r="AC119" s="337">
        <f>AB119/VPI!R119</f>
        <v>1.8723123661383616</v>
      </c>
      <c r="AD119" s="339">
        <f t="shared" si="6"/>
        <v>527972</v>
      </c>
      <c r="AE119" s="337">
        <f>AD119/VPI!R119</f>
        <v>7.4406011363792608</v>
      </c>
      <c r="AF119" s="524">
        <v>660828</v>
      </c>
      <c r="AG119" s="524">
        <v>122669</v>
      </c>
      <c r="AH119" s="524">
        <v>311289</v>
      </c>
      <c r="AI119" s="589"/>
      <c r="AJ119" s="519">
        <v>0</v>
      </c>
      <c r="AK119" s="337">
        <f>AJ119/VPI!R119</f>
        <v>0</v>
      </c>
      <c r="AL119" s="339">
        <f t="shared" si="7"/>
        <v>105497</v>
      </c>
      <c r="AM119" s="337">
        <f>AL119/VPI!R119</f>
        <v>1.4867475890475308</v>
      </c>
      <c r="AN119" s="519">
        <v>105497</v>
      </c>
      <c r="AO119" s="589"/>
      <c r="AP119" s="532">
        <v>18.627306258873897</v>
      </c>
      <c r="AR119" s="591">
        <v>0</v>
      </c>
    </row>
    <row r="120" spans="1:44" x14ac:dyDescent="0.25">
      <c r="A120" s="586">
        <v>5606</v>
      </c>
      <c r="B120" s="587" t="s">
        <v>129</v>
      </c>
      <c r="C120" s="505">
        <v>35133666.960000001</v>
      </c>
      <c r="D120" s="505">
        <v>8952702.9499999993</v>
      </c>
      <c r="E120" s="505"/>
      <c r="F120" s="506"/>
      <c r="G120" s="505">
        <f>14562866.99-10500000</f>
        <v>4062866.99</v>
      </c>
      <c r="H120" s="505">
        <v>176032.15</v>
      </c>
      <c r="I120" s="505">
        <v>1212906.26</v>
      </c>
      <c r="J120" s="505">
        <v>752716.53</v>
      </c>
      <c r="K120" s="505">
        <v>146921.60000000001</v>
      </c>
      <c r="L120" s="505">
        <v>2420964.25</v>
      </c>
      <c r="M120" s="384">
        <f t="shared" si="4"/>
        <v>52858777.689999998</v>
      </c>
      <c r="N120" s="510">
        <v>156322.04999999999</v>
      </c>
      <c r="O120" s="510">
        <v>1630596.3</v>
      </c>
      <c r="P120" s="510">
        <v>2393509.25</v>
      </c>
      <c r="Q120" s="510">
        <v>80465.960000000006</v>
      </c>
      <c r="R120" s="510">
        <v>2331739.1</v>
      </c>
      <c r="S120" s="505">
        <v>1527286.55</v>
      </c>
      <c r="T120" s="384">
        <f t="shared" si="5"/>
        <v>60978696.899999991</v>
      </c>
      <c r="U120" s="507">
        <v>-461209.8</v>
      </c>
      <c r="V120" s="510"/>
      <c r="W120" s="510">
        <v>-98634.42</v>
      </c>
      <c r="X120" s="515">
        <v>54</v>
      </c>
      <c r="Y120" s="518">
        <v>0.7</v>
      </c>
      <c r="Z120" s="519">
        <v>10713</v>
      </c>
      <c r="AA120" s="588"/>
      <c r="AB120" s="524">
        <v>927778</v>
      </c>
      <c r="AC120" s="337">
        <f>AB120/VPI!R120</f>
        <v>0.91183370808064301</v>
      </c>
      <c r="AD120" s="339">
        <f t="shared" si="6"/>
        <v>3612095</v>
      </c>
      <c r="AE120" s="337">
        <f>AD120/VPI!R120</f>
        <v>3.5500194850379621</v>
      </c>
      <c r="AF120" s="524">
        <v>4539873</v>
      </c>
      <c r="AG120" s="524">
        <v>4805657</v>
      </c>
      <c r="AH120" s="524">
        <v>1398911</v>
      </c>
      <c r="AI120" s="589"/>
      <c r="AJ120" s="519">
        <v>0</v>
      </c>
      <c r="AK120" s="337">
        <f>AJ120/VPI!R120</f>
        <v>0</v>
      </c>
      <c r="AL120" s="339">
        <f t="shared" si="7"/>
        <v>193116</v>
      </c>
      <c r="AM120" s="337">
        <f>AL120/VPI!R120</f>
        <v>0.18979721266262128</v>
      </c>
      <c r="AN120" s="519">
        <v>193116</v>
      </c>
      <c r="AO120" s="589"/>
      <c r="AP120" s="532">
        <v>33.897857822361168</v>
      </c>
      <c r="AR120" s="591">
        <v>1</v>
      </c>
    </row>
    <row r="121" spans="1:44" x14ac:dyDescent="0.25">
      <c r="A121" s="586">
        <v>5607</v>
      </c>
      <c r="B121" s="587" t="s">
        <v>256</v>
      </c>
      <c r="C121" s="505">
        <v>5519577.6699999999</v>
      </c>
      <c r="D121" s="505">
        <v>1020846.35</v>
      </c>
      <c r="E121" s="505"/>
      <c r="F121" s="506"/>
      <c r="G121" s="505">
        <v>553177.4</v>
      </c>
      <c r="H121" s="505">
        <v>4043.3000000000102</v>
      </c>
      <c r="I121" s="505">
        <v>8.5</v>
      </c>
      <c r="J121" s="505">
        <v>146986.91</v>
      </c>
      <c r="K121" s="505">
        <v>35256.9</v>
      </c>
      <c r="L121" s="505">
        <v>874569.8</v>
      </c>
      <c r="M121" s="384">
        <f t="shared" si="4"/>
        <v>8154466.8300000001</v>
      </c>
      <c r="N121" s="510">
        <v>235821.95</v>
      </c>
      <c r="O121" s="510">
        <v>-101797.5</v>
      </c>
      <c r="P121" s="510">
        <v>1138688.6499999999</v>
      </c>
      <c r="Q121" s="510">
        <v>3935.43</v>
      </c>
      <c r="R121" s="510">
        <v>175550.45</v>
      </c>
      <c r="S121" s="505">
        <v>57740.79</v>
      </c>
      <c r="T121" s="384">
        <f t="shared" si="5"/>
        <v>9664406.5999999978</v>
      </c>
      <c r="U121" s="507">
        <v>-51057.17</v>
      </c>
      <c r="V121" s="510"/>
      <c r="W121" s="510">
        <v>-3024.38</v>
      </c>
      <c r="X121" s="515">
        <v>68.5</v>
      </c>
      <c r="Y121" s="518">
        <v>1.1499999999999999</v>
      </c>
      <c r="Z121" s="519">
        <v>2991</v>
      </c>
      <c r="AA121" s="588"/>
      <c r="AB121" s="524">
        <v>368700</v>
      </c>
      <c r="AC121" s="337">
        <f>AB121/VPI!R121</f>
        <v>3.1381697610330543</v>
      </c>
      <c r="AD121" s="339">
        <f t="shared" si="6"/>
        <v>1188665</v>
      </c>
      <c r="AE121" s="337">
        <f>AD121/VPI!R121</f>
        <v>10.117256737180242</v>
      </c>
      <c r="AF121" s="524">
        <v>1557365</v>
      </c>
      <c r="AG121" s="524">
        <v>359051</v>
      </c>
      <c r="AH121" s="524">
        <v>441693</v>
      </c>
      <c r="AI121" s="589"/>
      <c r="AJ121" s="519">
        <v>0</v>
      </c>
      <c r="AK121" s="337">
        <f>AJ121/VPI!R121</f>
        <v>0</v>
      </c>
      <c r="AL121" s="339">
        <f t="shared" si="7"/>
        <v>39224</v>
      </c>
      <c r="AM121" s="337">
        <f>AL121/VPI!R121</f>
        <v>0.33385291756647822</v>
      </c>
      <c r="AN121" s="519">
        <v>39224</v>
      </c>
      <c r="AO121" s="589"/>
      <c r="AP121" s="532">
        <v>19.776940166216622</v>
      </c>
      <c r="AR121" s="591">
        <v>1</v>
      </c>
    </row>
    <row r="122" spans="1:44" x14ac:dyDescent="0.25">
      <c r="A122" s="586">
        <v>5609</v>
      </c>
      <c r="B122" s="587" t="s">
        <v>114</v>
      </c>
      <c r="C122" s="505">
        <v>676541.78</v>
      </c>
      <c r="D122" s="505">
        <v>161057.79</v>
      </c>
      <c r="E122" s="505"/>
      <c r="F122" s="506"/>
      <c r="G122" s="505">
        <v>8546.9500000000007</v>
      </c>
      <c r="H122" s="505">
        <v>374.35</v>
      </c>
      <c r="I122" s="505"/>
      <c r="J122" s="505">
        <v>21318.27</v>
      </c>
      <c r="K122" s="505">
        <v>1050.4000000000001</v>
      </c>
      <c r="L122" s="505">
        <v>60957.9</v>
      </c>
      <c r="M122" s="384">
        <f t="shared" si="4"/>
        <v>929847.44000000006</v>
      </c>
      <c r="N122" s="510">
        <v>0</v>
      </c>
      <c r="O122" s="510"/>
      <c r="P122" s="510">
        <v>40460.199999999997</v>
      </c>
      <c r="Q122" s="510"/>
      <c r="R122" s="510">
        <v>100714.15</v>
      </c>
      <c r="S122" s="505">
        <v>924.45</v>
      </c>
      <c r="T122" s="384">
        <f t="shared" si="5"/>
        <v>1071946.24</v>
      </c>
      <c r="U122" s="507">
        <v>-4521.76</v>
      </c>
      <c r="V122" s="510"/>
      <c r="W122" s="510">
        <v>-585.5</v>
      </c>
      <c r="X122" s="515">
        <v>62</v>
      </c>
      <c r="Y122" s="518">
        <v>1</v>
      </c>
      <c r="Z122" s="519">
        <v>332</v>
      </c>
      <c r="AA122" s="588"/>
      <c r="AB122" s="524">
        <v>0</v>
      </c>
      <c r="AC122" s="337">
        <f>AB122/VPI!R122</f>
        <v>0</v>
      </c>
      <c r="AD122" s="339">
        <f t="shared" si="6"/>
        <v>137397</v>
      </c>
      <c r="AE122" s="337">
        <f>AD122/VPI!R122</f>
        <v>9.2027001182923005</v>
      </c>
      <c r="AF122" s="524">
        <v>137397</v>
      </c>
      <c r="AG122" s="524">
        <v>40645</v>
      </c>
      <c r="AH122" s="524">
        <v>36401</v>
      </c>
      <c r="AI122" s="589"/>
      <c r="AJ122" s="519">
        <v>0</v>
      </c>
      <c r="AK122" s="337">
        <f>AJ122/VPI!R122</f>
        <v>0</v>
      </c>
      <c r="AL122" s="339">
        <f t="shared" si="7"/>
        <v>19824</v>
      </c>
      <c r="AM122" s="337">
        <f>AL122/VPI!R122</f>
        <v>1.3277897417340012</v>
      </c>
      <c r="AN122" s="519">
        <v>19824</v>
      </c>
      <c r="AO122" s="589"/>
      <c r="AP122" s="532">
        <v>28.107951828011299</v>
      </c>
      <c r="AR122" s="591">
        <v>1</v>
      </c>
    </row>
    <row r="123" spans="1:44" x14ac:dyDescent="0.25">
      <c r="A123" s="586">
        <v>5610</v>
      </c>
      <c r="B123" s="587" t="s">
        <v>115</v>
      </c>
      <c r="C123" s="505">
        <v>1123787.96</v>
      </c>
      <c r="D123" s="505">
        <v>243217.65</v>
      </c>
      <c r="E123" s="505"/>
      <c r="F123" s="506"/>
      <c r="G123" s="505">
        <v>24184.85</v>
      </c>
      <c r="H123" s="505">
        <v>1428.85</v>
      </c>
      <c r="I123" s="505">
        <v>689.599999999999</v>
      </c>
      <c r="J123" s="505">
        <v>32843.82</v>
      </c>
      <c r="K123" s="505">
        <v>6721.15</v>
      </c>
      <c r="L123" s="505">
        <v>126034</v>
      </c>
      <c r="M123" s="384">
        <f t="shared" si="4"/>
        <v>1558907.8800000001</v>
      </c>
      <c r="N123" s="510">
        <v>0</v>
      </c>
      <c r="O123" s="510">
        <v>-102.25</v>
      </c>
      <c r="P123" s="510">
        <v>26455</v>
      </c>
      <c r="Q123" s="510"/>
      <c r="R123" s="510">
        <v>48658.6</v>
      </c>
      <c r="S123" s="505">
        <v>2654.16</v>
      </c>
      <c r="T123" s="384">
        <f t="shared" si="5"/>
        <v>1636573.3900000001</v>
      </c>
      <c r="U123" s="507">
        <v>-4930.59</v>
      </c>
      <c r="V123" s="510"/>
      <c r="W123" s="510">
        <v>-127.45</v>
      </c>
      <c r="X123" s="515">
        <v>72</v>
      </c>
      <c r="Y123" s="518">
        <v>1.2</v>
      </c>
      <c r="Z123" s="519">
        <v>402</v>
      </c>
      <c r="AA123" s="588"/>
      <c r="AB123" s="524">
        <v>33804</v>
      </c>
      <c r="AC123" s="337">
        <f>AB123/VPI!R123</f>
        <v>1.585080196548569</v>
      </c>
      <c r="AD123" s="339">
        <f t="shared" si="6"/>
        <v>44304</v>
      </c>
      <c r="AE123" s="337">
        <f>AD123/VPI!R123</f>
        <v>2.077428500410833</v>
      </c>
      <c r="AF123" s="524">
        <v>78108</v>
      </c>
      <c r="AG123" s="524">
        <v>48627</v>
      </c>
      <c r="AH123" s="524">
        <v>53236</v>
      </c>
      <c r="AI123" s="589"/>
      <c r="AJ123" s="519">
        <v>0</v>
      </c>
      <c r="AK123" s="337">
        <f>AJ123/VPI!R123</f>
        <v>0</v>
      </c>
      <c r="AL123" s="339">
        <f t="shared" si="7"/>
        <v>9545</v>
      </c>
      <c r="AM123" s="337">
        <f>AL123/VPI!R123</f>
        <v>0.44756805336812477</v>
      </c>
      <c r="AN123" s="519">
        <v>9545</v>
      </c>
      <c r="AO123" s="589"/>
      <c r="AP123" s="532">
        <v>32.744536710849374</v>
      </c>
      <c r="AR123" s="591">
        <v>1</v>
      </c>
    </row>
    <row r="124" spans="1:44" x14ac:dyDescent="0.25">
      <c r="A124" s="586">
        <v>5611</v>
      </c>
      <c r="B124" s="587" t="s">
        <v>253</v>
      </c>
      <c r="C124" s="505">
        <v>7087686.3700000001</v>
      </c>
      <c r="D124" s="505">
        <v>1275206.1499999999</v>
      </c>
      <c r="E124" s="505"/>
      <c r="F124" s="506"/>
      <c r="G124" s="505">
        <v>270439.40000000002</v>
      </c>
      <c r="H124" s="505">
        <v>29540.9</v>
      </c>
      <c r="I124" s="505">
        <v>194791.07</v>
      </c>
      <c r="J124" s="505">
        <v>142647.49</v>
      </c>
      <c r="K124" s="505">
        <v>-11676.65</v>
      </c>
      <c r="L124" s="505">
        <v>838517.25</v>
      </c>
      <c r="M124" s="384">
        <f t="shared" si="4"/>
        <v>9827151.9800000004</v>
      </c>
      <c r="N124" s="510">
        <v>144819.9</v>
      </c>
      <c r="O124" s="510">
        <v>85027.5</v>
      </c>
      <c r="P124" s="510">
        <v>357359.9</v>
      </c>
      <c r="Q124" s="510">
        <v>1434.81</v>
      </c>
      <c r="R124" s="510">
        <v>383324.2</v>
      </c>
      <c r="S124" s="505">
        <v>31084.81</v>
      </c>
      <c r="T124" s="384">
        <f t="shared" si="5"/>
        <v>10830203.100000001</v>
      </c>
      <c r="U124" s="507">
        <v>-84373.38</v>
      </c>
      <c r="V124" s="510"/>
      <c r="W124" s="510">
        <v>-1362.76</v>
      </c>
      <c r="X124" s="515">
        <v>69</v>
      </c>
      <c r="Y124" s="518">
        <v>1.2</v>
      </c>
      <c r="Z124" s="519">
        <v>3421</v>
      </c>
      <c r="AA124" s="588"/>
      <c r="AB124" s="524">
        <v>289358</v>
      </c>
      <c r="AC124" s="337">
        <f>AB124/VPI!R124</f>
        <v>2.0723815252459223</v>
      </c>
      <c r="AD124" s="339">
        <f t="shared" si="6"/>
        <v>1144222</v>
      </c>
      <c r="AE124" s="337">
        <f>AD124/VPI!R124</f>
        <v>8.1949161024749255</v>
      </c>
      <c r="AF124" s="524">
        <v>1433580</v>
      </c>
      <c r="AG124" s="524">
        <v>195922</v>
      </c>
      <c r="AH124" s="524">
        <v>496773</v>
      </c>
      <c r="AI124" s="589"/>
      <c r="AJ124" s="519">
        <v>0</v>
      </c>
      <c r="AK124" s="337">
        <f>AJ124/VPI!R124</f>
        <v>0</v>
      </c>
      <c r="AL124" s="339">
        <f t="shared" si="7"/>
        <v>97596</v>
      </c>
      <c r="AM124" s="337">
        <f>AL124/VPI!R124</f>
        <v>0.69898239322189482</v>
      </c>
      <c r="AN124" s="519">
        <v>97596</v>
      </c>
      <c r="AO124" s="589"/>
      <c r="AP124" s="532">
        <v>21.803384892318874</v>
      </c>
      <c r="AR124" s="591">
        <v>1</v>
      </c>
    </row>
    <row r="125" spans="1:44" x14ac:dyDescent="0.25">
      <c r="A125" s="586">
        <v>5613</v>
      </c>
      <c r="B125" s="587" t="s">
        <v>342</v>
      </c>
      <c r="C125" s="505">
        <v>16286684.6</v>
      </c>
      <c r="D125" s="505">
        <v>4125393.52</v>
      </c>
      <c r="E125" s="505"/>
      <c r="F125" s="506"/>
      <c r="G125" s="505">
        <v>115174.95</v>
      </c>
      <c r="H125" s="505">
        <v>54241.45</v>
      </c>
      <c r="I125" s="505">
        <v>161532.93</v>
      </c>
      <c r="J125" s="505">
        <v>580976.21</v>
      </c>
      <c r="K125" s="505">
        <v>33459.9</v>
      </c>
      <c r="L125" s="505">
        <v>2405017.5499999998</v>
      </c>
      <c r="M125" s="384">
        <f t="shared" si="4"/>
        <v>23762481.109999999</v>
      </c>
      <c r="N125" s="510">
        <v>47430.1</v>
      </c>
      <c r="O125" s="510">
        <v>129708.8</v>
      </c>
      <c r="P125" s="510">
        <f>1456226.6</f>
        <v>1456226.6</v>
      </c>
      <c r="Q125" s="510">
        <v>77821.679999999993</v>
      </c>
      <c r="R125" s="510">
        <f>1867720.65-1100000</f>
        <v>767720.64999999991</v>
      </c>
      <c r="S125" s="505">
        <v>17555.41</v>
      </c>
      <c r="T125" s="384">
        <f t="shared" si="5"/>
        <v>26258944.350000001</v>
      </c>
      <c r="U125" s="507">
        <v>-69130.13</v>
      </c>
      <c r="V125" s="510"/>
      <c r="W125" s="510">
        <v>-36807.72</v>
      </c>
      <c r="X125" s="515">
        <v>62.5</v>
      </c>
      <c r="Y125" s="518">
        <v>1.5</v>
      </c>
      <c r="Z125" s="519">
        <v>5389</v>
      </c>
      <c r="AA125" s="588"/>
      <c r="AB125" s="524">
        <v>185495</v>
      </c>
      <c r="AC125" s="337">
        <f>AB125/VPI!R125</f>
        <v>0.50515522029184767</v>
      </c>
      <c r="AD125" s="339">
        <f t="shared" si="6"/>
        <v>1285666</v>
      </c>
      <c r="AE125" s="337">
        <f>AD125/VPI!R125</f>
        <v>3.5012312539515276</v>
      </c>
      <c r="AF125" s="524">
        <v>1471161</v>
      </c>
      <c r="AG125" s="524">
        <v>520036</v>
      </c>
      <c r="AH125" s="524">
        <v>699944</v>
      </c>
      <c r="AI125" s="589"/>
      <c r="AJ125" s="519">
        <v>0</v>
      </c>
      <c r="AK125" s="337">
        <f>AJ125/VPI!R125</f>
        <v>0</v>
      </c>
      <c r="AL125" s="339">
        <f t="shared" si="7"/>
        <v>184940</v>
      </c>
      <c r="AM125" s="337">
        <f>AL125/VPI!R125</f>
        <v>0.50364379870494791</v>
      </c>
      <c r="AN125" s="519">
        <v>184940</v>
      </c>
      <c r="AO125" s="589"/>
      <c r="AP125" s="532">
        <v>30.410904791791136</v>
      </c>
      <c r="AR125" s="591">
        <v>1</v>
      </c>
    </row>
    <row r="126" spans="1:44" x14ac:dyDescent="0.25">
      <c r="A126" s="586">
        <v>5621</v>
      </c>
      <c r="B126" s="587" t="s">
        <v>333</v>
      </c>
      <c r="C126" s="505">
        <v>1233433.8500000001</v>
      </c>
      <c r="D126" s="505">
        <v>131005.33</v>
      </c>
      <c r="E126" s="505"/>
      <c r="F126" s="506"/>
      <c r="G126" s="505">
        <v>539185.19999999995</v>
      </c>
      <c r="H126" s="505">
        <v>26782.799999999999</v>
      </c>
      <c r="I126" s="505"/>
      <c r="J126" s="505">
        <v>105751.2</v>
      </c>
      <c r="K126" s="505">
        <v>35902.75</v>
      </c>
      <c r="L126" s="505">
        <v>333481.25</v>
      </c>
      <c r="M126" s="384">
        <f t="shared" si="4"/>
        <v>2405542.38</v>
      </c>
      <c r="N126" s="510">
        <v>263613.5</v>
      </c>
      <c r="O126" s="510">
        <v>-17590.5</v>
      </c>
      <c r="P126" s="510">
        <v>108499.85</v>
      </c>
      <c r="Q126" s="510">
        <v>2940.49</v>
      </c>
      <c r="R126" s="510">
        <v>92906.7</v>
      </c>
      <c r="S126" s="505">
        <v>58647.21</v>
      </c>
      <c r="T126" s="384">
        <f t="shared" si="5"/>
        <v>2914559.6300000004</v>
      </c>
      <c r="U126" s="507">
        <v>-6670.87</v>
      </c>
      <c r="V126" s="510"/>
      <c r="W126" s="510">
        <v>-50.25</v>
      </c>
      <c r="X126" s="515">
        <v>62</v>
      </c>
      <c r="Y126" s="518">
        <v>1.1000000000000001</v>
      </c>
      <c r="Z126" s="519">
        <v>557</v>
      </c>
      <c r="AA126" s="588"/>
      <c r="AB126" s="524">
        <v>73179</v>
      </c>
      <c r="AC126" s="337">
        <f>AB126/VPI!R126</f>
        <v>1.8670474610530265</v>
      </c>
      <c r="AD126" s="339">
        <f t="shared" si="6"/>
        <v>99539</v>
      </c>
      <c r="AE126" s="337">
        <f>AD126/VPI!R126</f>
        <v>2.5395815360384431</v>
      </c>
      <c r="AF126" s="524">
        <v>172718</v>
      </c>
      <c r="AG126" s="524">
        <v>30446</v>
      </c>
      <c r="AH126" s="524">
        <v>62510</v>
      </c>
      <c r="AI126" s="589"/>
      <c r="AJ126" s="519">
        <v>0</v>
      </c>
      <c r="AK126" s="337">
        <f>AJ126/VPI!R126</f>
        <v>0</v>
      </c>
      <c r="AL126" s="339">
        <f t="shared" si="7"/>
        <v>9890</v>
      </c>
      <c r="AM126" s="337">
        <f>AL126/VPI!R126</f>
        <v>0.2523278452809472</v>
      </c>
      <c r="AN126" s="519">
        <v>9890</v>
      </c>
      <c r="AO126" s="589"/>
      <c r="AP126" s="532">
        <v>33.258568862143036</v>
      </c>
      <c r="AR126" s="591">
        <v>0</v>
      </c>
    </row>
    <row r="127" spans="1:44" x14ac:dyDescent="0.25">
      <c r="A127" s="586">
        <v>5622</v>
      </c>
      <c r="B127" s="587" t="s">
        <v>130</v>
      </c>
      <c r="C127" s="505">
        <v>1635076.41</v>
      </c>
      <c r="D127" s="505">
        <v>240941.08</v>
      </c>
      <c r="E127" s="505"/>
      <c r="F127" s="506"/>
      <c r="G127" s="505">
        <v>61386.65</v>
      </c>
      <c r="H127" s="505">
        <v>5129.3500000000004</v>
      </c>
      <c r="I127" s="505"/>
      <c r="J127" s="505">
        <v>18105.21</v>
      </c>
      <c r="K127" s="505">
        <v>-5671.9</v>
      </c>
      <c r="L127" s="505">
        <v>159874.5</v>
      </c>
      <c r="M127" s="384">
        <f t="shared" si="4"/>
        <v>2114841.2999999998</v>
      </c>
      <c r="N127" s="510">
        <v>29179.1</v>
      </c>
      <c r="O127" s="510"/>
      <c r="P127" s="510">
        <v>141268.6</v>
      </c>
      <c r="Q127" s="510"/>
      <c r="R127" s="510">
        <v>157153.70000000001</v>
      </c>
      <c r="S127" s="505">
        <v>6892.58</v>
      </c>
      <c r="T127" s="384">
        <f t="shared" si="5"/>
        <v>2449335.2800000003</v>
      </c>
      <c r="U127" s="507">
        <v>-23464.13</v>
      </c>
      <c r="V127" s="510"/>
      <c r="W127" s="510">
        <v>-340.64</v>
      </c>
      <c r="X127" s="515">
        <v>68</v>
      </c>
      <c r="Y127" s="518">
        <v>1</v>
      </c>
      <c r="Z127" s="519">
        <v>604</v>
      </c>
      <c r="AA127" s="588"/>
      <c r="AB127" s="524">
        <v>0</v>
      </c>
      <c r="AC127" s="337">
        <f>AB127/VPI!R127</f>
        <v>0</v>
      </c>
      <c r="AD127" s="339">
        <f t="shared" si="6"/>
        <v>135749</v>
      </c>
      <c r="AE127" s="337">
        <f>AD127/VPI!R127</f>
        <v>4.4000209330238045</v>
      </c>
      <c r="AF127" s="524">
        <v>135749</v>
      </c>
      <c r="AG127" s="524">
        <v>35746</v>
      </c>
      <c r="AH127" s="524">
        <v>61630</v>
      </c>
      <c r="AI127" s="589"/>
      <c r="AJ127" s="519">
        <v>0</v>
      </c>
      <c r="AK127" s="337">
        <f>AJ127/VPI!R127</f>
        <v>0</v>
      </c>
      <c r="AL127" s="339">
        <f t="shared" si="7"/>
        <v>5100</v>
      </c>
      <c r="AM127" s="337">
        <f>AL127/VPI!R127</f>
        <v>0.16530587156016915</v>
      </c>
      <c r="AN127" s="519">
        <v>5100</v>
      </c>
      <c r="AO127" s="589"/>
      <c r="AP127" s="532">
        <v>28.948618145373377</v>
      </c>
      <c r="AR127" s="591">
        <v>0</v>
      </c>
    </row>
    <row r="128" spans="1:44" x14ac:dyDescent="0.25">
      <c r="A128" s="586">
        <v>5623</v>
      </c>
      <c r="B128" s="587" t="s">
        <v>131</v>
      </c>
      <c r="C128" s="505">
        <v>2745788.83</v>
      </c>
      <c r="D128" s="505">
        <v>1181473.75</v>
      </c>
      <c r="E128" s="505"/>
      <c r="F128" s="506"/>
      <c r="G128" s="505">
        <v>67856.350000000006</v>
      </c>
      <c r="H128" s="505">
        <v>78053.5</v>
      </c>
      <c r="I128" s="505">
        <v>161315.03</v>
      </c>
      <c r="J128" s="505">
        <v>35154.949999999997</v>
      </c>
      <c r="K128" s="505">
        <v>3049</v>
      </c>
      <c r="L128" s="505">
        <v>367777.35</v>
      </c>
      <c r="M128" s="384">
        <f t="shared" si="4"/>
        <v>4640468.76</v>
      </c>
      <c r="N128" s="510">
        <v>3341.85</v>
      </c>
      <c r="O128" s="510">
        <v>7464.6</v>
      </c>
      <c r="P128" s="510">
        <v>98752.5</v>
      </c>
      <c r="Q128" s="510">
        <v>68.2</v>
      </c>
      <c r="R128" s="510">
        <v>73004.600000000006</v>
      </c>
      <c r="S128" s="505">
        <v>15119.59</v>
      </c>
      <c r="T128" s="384">
        <f t="shared" si="5"/>
        <v>4838220.0999999987</v>
      </c>
      <c r="U128" s="507">
        <v>-6749.01</v>
      </c>
      <c r="V128" s="510"/>
      <c r="W128" s="510">
        <v>-52075.94</v>
      </c>
      <c r="X128" s="515">
        <v>52</v>
      </c>
      <c r="Y128" s="518">
        <v>1</v>
      </c>
      <c r="Z128" s="519">
        <v>670</v>
      </c>
      <c r="AA128" s="588"/>
      <c r="AB128" s="524">
        <v>0</v>
      </c>
      <c r="AC128" s="337">
        <f>AB128/VPI!R128</f>
        <v>0</v>
      </c>
      <c r="AD128" s="339">
        <f t="shared" si="6"/>
        <v>70465</v>
      </c>
      <c r="AE128" s="337">
        <f>AD128/VPI!R128</f>
        <v>0.79710990500500389</v>
      </c>
      <c r="AF128" s="524">
        <v>70465</v>
      </c>
      <c r="AG128" s="524">
        <v>70101</v>
      </c>
      <c r="AH128" s="524">
        <v>71083</v>
      </c>
      <c r="AI128" s="589"/>
      <c r="AJ128" s="519">
        <v>0</v>
      </c>
      <c r="AK128" s="337">
        <f>AJ128/VPI!R128</f>
        <v>0</v>
      </c>
      <c r="AL128" s="339">
        <f t="shared" si="7"/>
        <v>9842</v>
      </c>
      <c r="AM128" s="337">
        <f>AL128/VPI!R128</f>
        <v>0.11133407627984458</v>
      </c>
      <c r="AN128" s="519">
        <v>9842</v>
      </c>
      <c r="AO128" s="589"/>
      <c r="AP128" s="532">
        <v>44.485941749411701</v>
      </c>
      <c r="AR128" s="591">
        <v>1</v>
      </c>
    </row>
    <row r="129" spans="1:92" x14ac:dyDescent="0.25">
      <c r="A129" s="586">
        <v>5624</v>
      </c>
      <c r="B129" s="587" t="s">
        <v>351</v>
      </c>
      <c r="C129" s="505">
        <v>15929703.07</v>
      </c>
      <c r="D129" s="505">
        <v>1602113.3</v>
      </c>
      <c r="E129" s="505"/>
      <c r="F129" s="506"/>
      <c r="G129" s="505">
        <f>10200752.1-8000000</f>
        <v>2200752.0999999996</v>
      </c>
      <c r="H129" s="505">
        <v>133196.1</v>
      </c>
      <c r="I129" s="505"/>
      <c r="J129" s="505">
        <v>901078.31</v>
      </c>
      <c r="K129" s="505">
        <v>498778.2</v>
      </c>
      <c r="L129" s="505">
        <v>3169933.55</v>
      </c>
      <c r="M129" s="384">
        <f t="shared" ref="M129:M191" si="8">SUM(C129:L129)</f>
        <v>24435554.629999999</v>
      </c>
      <c r="N129" s="510">
        <v>1175452</v>
      </c>
      <c r="O129" s="510">
        <v>115620.6</v>
      </c>
      <c r="P129" s="510">
        <v>1476042.95</v>
      </c>
      <c r="Q129" s="510">
        <v>22798.04</v>
      </c>
      <c r="R129" s="510">
        <v>773790.35</v>
      </c>
      <c r="S129" s="505">
        <v>1070833.04</v>
      </c>
      <c r="T129" s="384">
        <f t="shared" ref="T129:T191" si="9">SUM(M129:S129)</f>
        <v>29070091.609999999</v>
      </c>
      <c r="U129" s="507">
        <v>-250394.66</v>
      </c>
      <c r="V129" s="510"/>
      <c r="W129" s="510">
        <v>-2625.03</v>
      </c>
      <c r="X129" s="515">
        <v>62.5</v>
      </c>
      <c r="Y129" s="518">
        <v>1.25</v>
      </c>
      <c r="Z129" s="519">
        <v>10392</v>
      </c>
      <c r="AA129" s="588"/>
      <c r="AB129" s="524">
        <v>878810.36</v>
      </c>
      <c r="AC129" s="337">
        <f>AB129/VPI!R129</f>
        <v>2.2289281645520176</v>
      </c>
      <c r="AD129" s="339">
        <f t="shared" si="6"/>
        <v>1820412.3000000003</v>
      </c>
      <c r="AE129" s="337">
        <f>AD129/VPI!R129</f>
        <v>4.617114716953175</v>
      </c>
      <c r="AF129" s="524">
        <v>2699222.66</v>
      </c>
      <c r="AG129" s="524">
        <v>3728794.45</v>
      </c>
      <c r="AH129" s="524">
        <v>246105</v>
      </c>
      <c r="AI129" s="589"/>
      <c r="AJ129" s="519">
        <v>0</v>
      </c>
      <c r="AK129" s="337">
        <f>AJ129/VPI!R129</f>
        <v>0</v>
      </c>
      <c r="AL129" s="339">
        <f t="shared" si="7"/>
        <v>215853.51</v>
      </c>
      <c r="AM129" s="337">
        <f>AL129/VPI!R129</f>
        <v>0.54746961318982479</v>
      </c>
      <c r="AN129" s="519">
        <v>215853.51</v>
      </c>
      <c r="AO129" s="589"/>
      <c r="AP129" s="532">
        <v>17.851685612557013</v>
      </c>
      <c r="AR129" s="591">
        <v>1</v>
      </c>
    </row>
    <row r="130" spans="1:92" x14ac:dyDescent="0.25">
      <c r="A130" s="586">
        <v>5627</v>
      </c>
      <c r="B130" s="587" t="s">
        <v>221</v>
      </c>
      <c r="C130" s="505">
        <v>10411109.050000001</v>
      </c>
      <c r="D130" s="505">
        <v>721203.07</v>
      </c>
      <c r="E130" s="505"/>
      <c r="F130" s="506"/>
      <c r="G130" s="505">
        <v>941003.75</v>
      </c>
      <c r="H130" s="505">
        <v>169582.1</v>
      </c>
      <c r="I130" s="505"/>
      <c r="J130" s="505">
        <v>1043045.66</v>
      </c>
      <c r="K130" s="505">
        <v>343110.65</v>
      </c>
      <c r="L130" s="505">
        <v>1731077.1</v>
      </c>
      <c r="M130" s="384">
        <f t="shared" si="8"/>
        <v>15360131.380000001</v>
      </c>
      <c r="N130" s="510">
        <v>448239.95</v>
      </c>
      <c r="O130" s="510">
        <v>273706.7</v>
      </c>
      <c r="P130" s="510">
        <v>1097686.5</v>
      </c>
      <c r="Q130" s="510">
        <v>70635.490000000005</v>
      </c>
      <c r="R130" s="510">
        <v>344514.55</v>
      </c>
      <c r="S130" s="505">
        <v>115082.06</v>
      </c>
      <c r="T130" s="384">
        <f t="shared" si="9"/>
        <v>17709996.629999999</v>
      </c>
      <c r="U130" s="507">
        <v>-344405.42</v>
      </c>
      <c r="V130" s="510"/>
      <c r="W130" s="510">
        <v>-1864.13</v>
      </c>
      <c r="X130" s="515">
        <v>77.5</v>
      </c>
      <c r="Y130" s="518">
        <v>1.5</v>
      </c>
      <c r="Z130" s="519">
        <v>8725</v>
      </c>
      <c r="AA130" s="588"/>
      <c r="AB130" s="524">
        <v>400101</v>
      </c>
      <c r="AC130" s="337">
        <f>AB130/VPI!R130</f>
        <v>2.1205480368597285</v>
      </c>
      <c r="AD130" s="339">
        <f t="shared" si="6"/>
        <v>751721</v>
      </c>
      <c r="AE130" s="337">
        <f>AD130/VPI!R130</f>
        <v>3.9841452303699114</v>
      </c>
      <c r="AF130" s="524">
        <v>1151822</v>
      </c>
      <c r="AG130" s="524">
        <v>3449366</v>
      </c>
      <c r="AH130" s="524">
        <v>3708</v>
      </c>
      <c r="AI130" s="589"/>
      <c r="AJ130" s="519">
        <v>0</v>
      </c>
      <c r="AK130" s="337">
        <f>AJ130/VPI!R130</f>
        <v>0</v>
      </c>
      <c r="AL130" s="339">
        <f t="shared" si="7"/>
        <v>11346</v>
      </c>
      <c r="AM130" s="337">
        <f>AL130/VPI!R130</f>
        <v>6.0134161189825765E-2</v>
      </c>
      <c r="AN130" s="519">
        <v>11346</v>
      </c>
      <c r="AO130" s="589"/>
      <c r="AP130" s="532">
        <v>-17.7359247359108</v>
      </c>
      <c r="AR130" s="591">
        <v>1</v>
      </c>
    </row>
    <row r="131" spans="1:92" x14ac:dyDescent="0.25">
      <c r="A131" s="586">
        <v>5628</v>
      </c>
      <c r="B131" s="587" t="s">
        <v>222</v>
      </c>
      <c r="C131" s="505">
        <v>1576307.52</v>
      </c>
      <c r="D131" s="505"/>
      <c r="E131" s="505"/>
      <c r="F131" s="506"/>
      <c r="G131" s="505">
        <v>7491.75</v>
      </c>
      <c r="H131" s="505">
        <v>1858.35</v>
      </c>
      <c r="I131" s="505"/>
      <c r="J131" s="505">
        <v>21662.06</v>
      </c>
      <c r="K131" s="505">
        <v>859.5</v>
      </c>
      <c r="L131" s="505">
        <v>110279.5</v>
      </c>
      <c r="M131" s="384">
        <f t="shared" si="8"/>
        <v>1718458.6800000002</v>
      </c>
      <c r="N131" s="510">
        <v>811.3</v>
      </c>
      <c r="O131" s="510">
        <v>0</v>
      </c>
      <c r="P131" s="510">
        <v>50682.3</v>
      </c>
      <c r="Q131" s="510">
        <v>0</v>
      </c>
      <c r="R131" s="510">
        <v>146560.5</v>
      </c>
      <c r="S131" s="505">
        <v>968.88</v>
      </c>
      <c r="T131" s="384">
        <f t="shared" si="9"/>
        <v>1917481.6600000001</v>
      </c>
      <c r="U131" s="507">
        <v>-4830.5</v>
      </c>
      <c r="V131" s="510"/>
      <c r="W131" s="510">
        <v>-1707.8</v>
      </c>
      <c r="X131" s="515">
        <v>62</v>
      </c>
      <c r="Y131" s="518">
        <v>1</v>
      </c>
      <c r="Z131" s="519">
        <v>419</v>
      </c>
      <c r="AA131" s="588"/>
      <c r="AB131" s="524">
        <v>0</v>
      </c>
      <c r="AC131" s="337">
        <f>AB131/VPI!R131</f>
        <v>0</v>
      </c>
      <c r="AD131" s="339">
        <f t="shared" si="6"/>
        <v>31015</v>
      </c>
      <c r="AE131" s="337">
        <f>AD131/VPI!R131</f>
        <v>1.1226236540241954</v>
      </c>
      <c r="AF131" s="524">
        <v>31015</v>
      </c>
      <c r="AG131" s="524">
        <v>39751</v>
      </c>
      <c r="AH131" s="524">
        <v>31188</v>
      </c>
      <c r="AI131" s="589"/>
      <c r="AJ131" s="519">
        <v>0</v>
      </c>
      <c r="AK131" s="337">
        <f>AJ131/VPI!R131</f>
        <v>0</v>
      </c>
      <c r="AL131" s="339">
        <f t="shared" si="7"/>
        <v>3108</v>
      </c>
      <c r="AM131" s="337">
        <f>AL131/VPI!R131</f>
        <v>0.11249764039036593</v>
      </c>
      <c r="AN131" s="519">
        <v>3108</v>
      </c>
      <c r="AO131" s="589"/>
      <c r="AP131" s="532">
        <v>33.61503497648448</v>
      </c>
      <c r="AR131" s="591">
        <v>0</v>
      </c>
    </row>
    <row r="132" spans="1:92" x14ac:dyDescent="0.25">
      <c r="A132" s="586">
        <v>5629</v>
      </c>
      <c r="B132" s="587" t="s">
        <v>134</v>
      </c>
      <c r="C132" s="505">
        <v>593500.59</v>
      </c>
      <c r="D132" s="505">
        <v>57429.81</v>
      </c>
      <c r="E132" s="505"/>
      <c r="F132" s="506"/>
      <c r="G132" s="505">
        <v>18773.349999999999</v>
      </c>
      <c r="H132" s="505">
        <v>413.25</v>
      </c>
      <c r="I132" s="505"/>
      <c r="J132" s="505">
        <v>7142.14</v>
      </c>
      <c r="K132" s="505">
        <v>386.55</v>
      </c>
      <c r="L132" s="505">
        <v>38891.550000000003</v>
      </c>
      <c r="M132" s="384">
        <f t="shared" si="8"/>
        <v>716537.24</v>
      </c>
      <c r="N132" s="510">
        <v>1329.8</v>
      </c>
      <c r="O132" s="510">
        <v>3323.1</v>
      </c>
      <c r="P132" s="510">
        <v>18315</v>
      </c>
      <c r="Q132" s="510"/>
      <c r="R132" s="510">
        <v>9695.5</v>
      </c>
      <c r="S132" s="505">
        <v>1988.17</v>
      </c>
      <c r="T132" s="384">
        <f t="shared" si="9"/>
        <v>751188.81</v>
      </c>
      <c r="U132" s="507">
        <v>-1080.8399999999999</v>
      </c>
      <c r="V132" s="510"/>
      <c r="W132" s="510">
        <v>0</v>
      </c>
      <c r="X132" s="515">
        <v>72</v>
      </c>
      <c r="Y132" s="518">
        <v>1</v>
      </c>
      <c r="Z132" s="519">
        <v>213</v>
      </c>
      <c r="AA132" s="588"/>
      <c r="AB132" s="524">
        <v>57945</v>
      </c>
      <c r="AC132" s="337">
        <f>AB132/VPI!R132</f>
        <v>5.8151391402962318</v>
      </c>
      <c r="AD132" s="339">
        <f t="shared" si="6"/>
        <v>55570</v>
      </c>
      <c r="AE132" s="337">
        <f>AD132/VPI!R132</f>
        <v>5.5767932009019177</v>
      </c>
      <c r="AF132" s="524">
        <v>113515</v>
      </c>
      <c r="AG132" s="524">
        <v>8284</v>
      </c>
      <c r="AH132" s="524">
        <v>28884</v>
      </c>
      <c r="AI132" s="589"/>
      <c r="AJ132" s="519">
        <v>0</v>
      </c>
      <c r="AK132" s="337">
        <f>AJ132/VPI!R132</f>
        <v>0</v>
      </c>
      <c r="AL132" s="339">
        <f t="shared" si="7"/>
        <v>443</v>
      </c>
      <c r="AM132" s="337">
        <f>AL132/VPI!R132</f>
        <v>4.4457789958602653E-2</v>
      </c>
      <c r="AN132" s="519">
        <v>443</v>
      </c>
      <c r="AO132" s="589"/>
      <c r="AP132" s="532">
        <v>28.878302848276217</v>
      </c>
      <c r="AR132" s="591">
        <v>0</v>
      </c>
    </row>
    <row r="133" spans="1:92" x14ac:dyDescent="0.25">
      <c r="A133" s="586">
        <v>5631</v>
      </c>
      <c r="B133" s="587" t="s">
        <v>135</v>
      </c>
      <c r="C133" s="505">
        <v>2090716.09</v>
      </c>
      <c r="D133" s="505">
        <v>415488.77</v>
      </c>
      <c r="E133" s="505"/>
      <c r="F133" s="506"/>
      <c r="G133" s="505">
        <v>-16128.9</v>
      </c>
      <c r="H133" s="505">
        <v>3295.5</v>
      </c>
      <c r="I133" s="505">
        <v>184625.8</v>
      </c>
      <c r="J133" s="505">
        <v>-38180.25</v>
      </c>
      <c r="K133" s="505">
        <v>-2036.35</v>
      </c>
      <c r="L133" s="505">
        <v>221495.85</v>
      </c>
      <c r="M133" s="384">
        <f t="shared" si="8"/>
        <v>2859276.5100000002</v>
      </c>
      <c r="N133" s="510">
        <v>1062.3</v>
      </c>
      <c r="O133" s="510">
        <v>1656.1</v>
      </c>
      <c r="P133" s="510">
        <v>149679.79999999999</v>
      </c>
      <c r="Q133" s="510">
        <v>33.72</v>
      </c>
      <c r="R133" s="510">
        <v>127407.75</v>
      </c>
      <c r="S133" s="505">
        <v>0</v>
      </c>
      <c r="T133" s="384">
        <f t="shared" si="9"/>
        <v>3139116.18</v>
      </c>
      <c r="U133" s="507">
        <v>-21275.119999999999</v>
      </c>
      <c r="V133" s="510"/>
      <c r="W133" s="510">
        <v>-1480.83</v>
      </c>
      <c r="X133" s="515">
        <v>68</v>
      </c>
      <c r="Y133" s="518">
        <v>1</v>
      </c>
      <c r="Z133" s="519">
        <v>715</v>
      </c>
      <c r="AA133" s="588"/>
      <c r="AB133" s="524">
        <v>0</v>
      </c>
      <c r="AC133" s="337">
        <f>AB133/VPI!R133</f>
        <v>0</v>
      </c>
      <c r="AD133" s="339">
        <f t="shared" si="6"/>
        <v>119615</v>
      </c>
      <c r="AE133" s="337">
        <f>AD133/VPI!R133</f>
        <v>2.8675002122645785</v>
      </c>
      <c r="AF133" s="524">
        <v>119615</v>
      </c>
      <c r="AG133" s="524">
        <v>43167</v>
      </c>
      <c r="AH133" s="524">
        <v>81682</v>
      </c>
      <c r="AI133" s="589"/>
      <c r="AJ133" s="519">
        <v>0</v>
      </c>
      <c r="AK133" s="337">
        <f>AJ133/VPI!R133</f>
        <v>0</v>
      </c>
      <c r="AL133" s="339">
        <f t="shared" si="7"/>
        <v>-790</v>
      </c>
      <c r="AM133" s="337">
        <f>AL133/VPI!R133</f>
        <v>-1.8938470657434411E-2</v>
      </c>
      <c r="AN133" s="519">
        <v>-790</v>
      </c>
      <c r="AO133" s="589"/>
      <c r="AP133" s="532">
        <v>32.529380296611016</v>
      </c>
      <c r="AR133" s="591">
        <v>0</v>
      </c>
    </row>
    <row r="134" spans="1:92" x14ac:dyDescent="0.25">
      <c r="A134" s="586">
        <v>5632</v>
      </c>
      <c r="B134" s="587" t="s">
        <v>136</v>
      </c>
      <c r="C134" s="505">
        <v>3556874.3</v>
      </c>
      <c r="D134" s="505">
        <v>606104.28</v>
      </c>
      <c r="E134" s="505"/>
      <c r="F134" s="506"/>
      <c r="G134" s="505">
        <v>238783.75</v>
      </c>
      <c r="H134" s="505">
        <v>10588.95</v>
      </c>
      <c r="I134" s="505"/>
      <c r="J134" s="505">
        <v>240064.74</v>
      </c>
      <c r="K134" s="505">
        <v>43382.95</v>
      </c>
      <c r="L134" s="505">
        <v>377997.9</v>
      </c>
      <c r="M134" s="384">
        <f t="shared" si="8"/>
        <v>5073796.870000001</v>
      </c>
      <c r="N134" s="510">
        <v>124686.15</v>
      </c>
      <c r="O134" s="510">
        <v>149058.9</v>
      </c>
      <c r="P134" s="510">
        <v>253256.8</v>
      </c>
      <c r="Q134" s="510">
        <v>319.43</v>
      </c>
      <c r="R134" s="510">
        <v>201687.7</v>
      </c>
      <c r="S134" s="505">
        <v>25724.77</v>
      </c>
      <c r="T134" s="384">
        <f t="shared" si="9"/>
        <v>5828530.620000001</v>
      </c>
      <c r="U134" s="507">
        <v>-34863.69</v>
      </c>
      <c r="V134" s="510"/>
      <c r="W134" s="510">
        <v>-3359.45</v>
      </c>
      <c r="X134" s="515">
        <v>62</v>
      </c>
      <c r="Y134" s="518">
        <v>1</v>
      </c>
      <c r="Z134" s="519">
        <v>1778</v>
      </c>
      <c r="AA134" s="588"/>
      <c r="AB134" s="524">
        <v>3912</v>
      </c>
      <c r="AC134" s="337">
        <f>AB134/VPI!R134</f>
        <v>4.7918275016858095E-2</v>
      </c>
      <c r="AD134" s="339">
        <f t="shared" si="6"/>
        <v>207795</v>
      </c>
      <c r="AE134" s="337">
        <f>AD134/VPI!R134</f>
        <v>2.5452908888364081</v>
      </c>
      <c r="AF134" s="524">
        <v>211707</v>
      </c>
      <c r="AG134" s="524">
        <f>633498-7799-7799</f>
        <v>617900</v>
      </c>
      <c r="AH134" s="524">
        <v>54842</v>
      </c>
      <c r="AI134" s="589"/>
      <c r="AJ134" s="519">
        <v>0</v>
      </c>
      <c r="AK134" s="337">
        <f>AJ134/VPI!R134</f>
        <v>0</v>
      </c>
      <c r="AL134" s="339">
        <f t="shared" si="7"/>
        <v>1047</v>
      </c>
      <c r="AM134" s="337">
        <f>AL134/VPI!R134</f>
        <v>1.2824753052824751E-2</v>
      </c>
      <c r="AN134" s="519">
        <v>1047</v>
      </c>
      <c r="AO134" s="589"/>
      <c r="AP134" s="532">
        <v>26.443970265488247</v>
      </c>
      <c r="AR134" s="591">
        <v>0</v>
      </c>
    </row>
    <row r="135" spans="1:92" x14ac:dyDescent="0.25">
      <c r="A135" s="586">
        <v>5633</v>
      </c>
      <c r="B135" s="587" t="s">
        <v>137</v>
      </c>
      <c r="C135" s="505">
        <v>5860041.6799999997</v>
      </c>
      <c r="D135" s="505">
        <v>1849324.47</v>
      </c>
      <c r="E135" s="505"/>
      <c r="F135" s="506"/>
      <c r="G135" s="505">
        <v>416259.75</v>
      </c>
      <c r="H135" s="505">
        <v>77853</v>
      </c>
      <c r="I135" s="505"/>
      <c r="J135" s="505">
        <v>209258.7</v>
      </c>
      <c r="K135" s="505">
        <v>12737.45</v>
      </c>
      <c r="L135" s="505">
        <v>690714.4</v>
      </c>
      <c r="M135" s="384">
        <f t="shared" si="8"/>
        <v>9116189.4499999993</v>
      </c>
      <c r="N135" s="510">
        <v>142644.15</v>
      </c>
      <c r="O135" s="510">
        <v>148192.9</v>
      </c>
      <c r="P135" s="510">
        <v>625375.4</v>
      </c>
      <c r="Q135" s="510">
        <v>-8001.33</v>
      </c>
      <c r="R135" s="510">
        <v>251776.5</v>
      </c>
      <c r="S135" s="505">
        <v>51201.36</v>
      </c>
      <c r="T135" s="384">
        <f t="shared" si="9"/>
        <v>10327378.43</v>
      </c>
      <c r="U135" s="507">
        <v>-72342.539999999994</v>
      </c>
      <c r="V135" s="510"/>
      <c r="W135" s="510">
        <v>-22444.35</v>
      </c>
      <c r="X135" s="515">
        <v>60.5</v>
      </c>
      <c r="Y135" s="518">
        <v>1</v>
      </c>
      <c r="Z135" s="519">
        <v>2891</v>
      </c>
      <c r="AA135" s="588"/>
      <c r="AB135" s="524">
        <v>346758</v>
      </c>
      <c r="AC135" s="337">
        <f>AB135/VPI!R135</f>
        <v>2.3143716221099107</v>
      </c>
      <c r="AD135" s="339">
        <f t="shared" ref="AD135:AD198" si="10">AF135-AB135</f>
        <v>811647</v>
      </c>
      <c r="AE135" s="337">
        <f>AD135/VPI!R135</f>
        <v>5.4171865796049197</v>
      </c>
      <c r="AF135" s="524">
        <v>1158405</v>
      </c>
      <c r="AG135" s="524">
        <f>1099017-(14923*2)</f>
        <v>1069171</v>
      </c>
      <c r="AH135" s="524">
        <v>97740</v>
      </c>
      <c r="AI135" s="589"/>
      <c r="AJ135" s="519">
        <v>0</v>
      </c>
      <c r="AK135" s="337">
        <f>AJ135/VPI!R135</f>
        <v>0</v>
      </c>
      <c r="AL135" s="339">
        <f t="shared" ref="AL135:AL198" si="11">AN135-AJ135</f>
        <v>8617</v>
      </c>
      <c r="AM135" s="337">
        <f>AL135/VPI!R135</f>
        <v>5.751255996320518E-2</v>
      </c>
      <c r="AN135" s="519">
        <v>8617</v>
      </c>
      <c r="AO135" s="589"/>
      <c r="AP135" s="532">
        <v>30.308357819816184</v>
      </c>
      <c r="AR135" s="591">
        <v>0</v>
      </c>
    </row>
    <row r="136" spans="1:92" x14ac:dyDescent="0.25">
      <c r="A136" s="586">
        <v>5634</v>
      </c>
      <c r="B136" s="587" t="s">
        <v>138</v>
      </c>
      <c r="C136" s="505">
        <v>9260401.5600000005</v>
      </c>
      <c r="D136" s="505">
        <v>1945097.98</v>
      </c>
      <c r="E136" s="505"/>
      <c r="F136" s="506"/>
      <c r="G136" s="505">
        <v>63667.1</v>
      </c>
      <c r="H136" s="505">
        <v>13042.95</v>
      </c>
      <c r="I136" s="505">
        <v>31390.35</v>
      </c>
      <c r="J136" s="505">
        <v>89514.71</v>
      </c>
      <c r="K136" s="505">
        <v>27518.25</v>
      </c>
      <c r="L136" s="505">
        <v>761438.6</v>
      </c>
      <c r="M136" s="384">
        <f t="shared" si="8"/>
        <v>12192071.5</v>
      </c>
      <c r="N136" s="510">
        <v>61138.1</v>
      </c>
      <c r="O136" s="510">
        <v>976200.8</v>
      </c>
      <c r="P136" s="510">
        <v>379080.7</v>
      </c>
      <c r="Q136" s="510">
        <v>243.8</v>
      </c>
      <c r="R136" s="510">
        <v>449542.7</v>
      </c>
      <c r="S136" s="505">
        <v>7948.92</v>
      </c>
      <c r="T136" s="384">
        <f t="shared" si="9"/>
        <v>14066226.52</v>
      </c>
      <c r="U136" s="507">
        <v>-102104.03</v>
      </c>
      <c r="V136" s="510"/>
      <c r="W136" s="510">
        <v>-11144</v>
      </c>
      <c r="X136" s="515">
        <v>66</v>
      </c>
      <c r="Y136" s="518">
        <v>1</v>
      </c>
      <c r="Z136" s="519">
        <v>3211</v>
      </c>
      <c r="AA136" s="588"/>
      <c r="AB136" s="524">
        <v>308709</v>
      </c>
      <c r="AC136" s="337">
        <f>AB136/VPI!R136</f>
        <v>1.6856760742040502</v>
      </c>
      <c r="AD136" s="339">
        <f t="shared" si="10"/>
        <v>234022</v>
      </c>
      <c r="AE136" s="337">
        <f>AD136/VPI!R136</f>
        <v>1.2778548284545648</v>
      </c>
      <c r="AF136" s="524">
        <v>542731</v>
      </c>
      <c r="AG136" s="524">
        <f>870545-(45947*2)-38701</f>
        <v>739950</v>
      </c>
      <c r="AH136" s="524">
        <v>267291</v>
      </c>
      <c r="AI136" s="589"/>
      <c r="AJ136" s="519">
        <v>0</v>
      </c>
      <c r="AK136" s="337">
        <f>AJ136/VPI!R136</f>
        <v>0</v>
      </c>
      <c r="AL136" s="339">
        <f t="shared" si="11"/>
        <v>19371</v>
      </c>
      <c r="AM136" s="337">
        <f>AL136/VPI!R136</f>
        <v>0.10577349942310285</v>
      </c>
      <c r="AN136" s="519">
        <v>19371</v>
      </c>
      <c r="AO136" s="589"/>
      <c r="AP136" s="532">
        <v>26.081939308142172</v>
      </c>
      <c r="AR136" s="591">
        <v>0</v>
      </c>
    </row>
    <row r="137" spans="1:92" x14ac:dyDescent="0.25">
      <c r="A137" s="586">
        <v>5635</v>
      </c>
      <c r="B137" s="587" t="s">
        <v>139</v>
      </c>
      <c r="C137" s="505">
        <v>19273622.510000002</v>
      </c>
      <c r="D137" s="505">
        <v>2956306.99</v>
      </c>
      <c r="E137" s="505"/>
      <c r="F137" s="506"/>
      <c r="G137" s="505">
        <v>3774914.85</v>
      </c>
      <c r="H137" s="505">
        <v>972171.8</v>
      </c>
      <c r="I137" s="505"/>
      <c r="J137" s="505">
        <v>1797106.7</v>
      </c>
      <c r="K137" s="505">
        <v>595772.35</v>
      </c>
      <c r="L137" s="505">
        <v>3214275.25</v>
      </c>
      <c r="M137" s="384">
        <f t="shared" si="8"/>
        <v>32584170.450000003</v>
      </c>
      <c r="N137" s="510">
        <v>1479159.55</v>
      </c>
      <c r="O137" s="510">
        <v>576265.80000000005</v>
      </c>
      <c r="P137" s="510">
        <v>2060246.7</v>
      </c>
      <c r="Q137" s="510">
        <v>101600.35</v>
      </c>
      <c r="R137" s="510">
        <v>1050738.45</v>
      </c>
      <c r="S137" s="505">
        <v>491906.59</v>
      </c>
      <c r="T137" s="384">
        <f t="shared" si="9"/>
        <v>38344087.890000008</v>
      </c>
      <c r="U137" s="507">
        <v>-334886.88</v>
      </c>
      <c r="V137" s="510"/>
      <c r="W137" s="510">
        <v>-50924.25</v>
      </c>
      <c r="X137" s="515">
        <v>62.5</v>
      </c>
      <c r="Y137" s="518">
        <v>1.2</v>
      </c>
      <c r="Z137" s="519">
        <v>13129</v>
      </c>
      <c r="AA137" s="588"/>
      <c r="AB137" s="524">
        <v>890977</v>
      </c>
      <c r="AC137" s="337">
        <f>AB137/VPI!R137</f>
        <v>1.7263701985754696</v>
      </c>
      <c r="AD137" s="339">
        <f t="shared" si="10"/>
        <v>2840212</v>
      </c>
      <c r="AE137" s="337">
        <f>AD137/VPI!R137</f>
        <v>5.5032367327511622</v>
      </c>
      <c r="AF137" s="524">
        <v>3731189</v>
      </c>
      <c r="AG137" s="524">
        <v>5194989</v>
      </c>
      <c r="AH137" s="524">
        <v>159679</v>
      </c>
      <c r="AI137" s="589"/>
      <c r="AJ137" s="519">
        <v>0</v>
      </c>
      <c r="AK137" s="337">
        <f>AJ137/VPI!R137</f>
        <v>0</v>
      </c>
      <c r="AL137" s="339">
        <f t="shared" si="11"/>
        <v>145346</v>
      </c>
      <c r="AM137" s="337">
        <f>AL137/VPI!R137</f>
        <v>0.28162455695506194</v>
      </c>
      <c r="AN137" s="519">
        <v>145346</v>
      </c>
      <c r="AO137" s="589"/>
      <c r="AP137" s="532">
        <v>19.832974082273676</v>
      </c>
      <c r="AR137" s="591">
        <v>1</v>
      </c>
    </row>
    <row r="138" spans="1:92" x14ac:dyDescent="0.25">
      <c r="A138" s="586">
        <v>5636</v>
      </c>
      <c r="B138" s="587" t="s">
        <v>140</v>
      </c>
      <c r="C138" s="505">
        <v>6196968.7699999996</v>
      </c>
      <c r="D138" s="505">
        <v>1008985.86</v>
      </c>
      <c r="E138" s="505"/>
      <c r="F138" s="506"/>
      <c r="G138" s="505">
        <v>1852769</v>
      </c>
      <c r="H138" s="505">
        <v>314671.59999999998</v>
      </c>
      <c r="I138" s="505">
        <v>-30375.35</v>
      </c>
      <c r="J138" s="505">
        <v>466665.45</v>
      </c>
      <c r="K138" s="505">
        <v>227402.65</v>
      </c>
      <c r="L138" s="505">
        <v>1234985.1499999999</v>
      </c>
      <c r="M138" s="384">
        <f t="shared" si="8"/>
        <v>11272073.129999999</v>
      </c>
      <c r="N138" s="510">
        <v>642974.15</v>
      </c>
      <c r="O138" s="510">
        <v>546951.9</v>
      </c>
      <c r="P138" s="510">
        <v>698026.15</v>
      </c>
      <c r="Q138" s="510">
        <v>26419.23</v>
      </c>
      <c r="R138" s="510">
        <v>218410.7</v>
      </c>
      <c r="S138" s="505">
        <v>224596.34</v>
      </c>
      <c r="T138" s="384">
        <f t="shared" si="9"/>
        <v>13629451.6</v>
      </c>
      <c r="U138" s="507">
        <v>-153262.98000000001</v>
      </c>
      <c r="V138" s="510"/>
      <c r="W138" s="510">
        <v>-4237.0200000000004</v>
      </c>
      <c r="X138" s="515">
        <v>60</v>
      </c>
      <c r="Y138" s="518">
        <v>1</v>
      </c>
      <c r="Z138" s="519">
        <v>2938</v>
      </c>
      <c r="AA138" s="588"/>
      <c r="AB138" s="524">
        <v>57307</v>
      </c>
      <c r="AC138" s="337">
        <f>AB138/VPI!R138</f>
        <v>0.30252898382641624</v>
      </c>
      <c r="AD138" s="339">
        <f t="shared" si="10"/>
        <v>500946</v>
      </c>
      <c r="AE138" s="337">
        <f>AD138/VPI!R138</f>
        <v>2.6445405331269813</v>
      </c>
      <c r="AF138" s="524">
        <v>558253</v>
      </c>
      <c r="AG138" s="524">
        <v>286403</v>
      </c>
      <c r="AH138" s="524">
        <v>311828</v>
      </c>
      <c r="AI138" s="589"/>
      <c r="AJ138" s="519">
        <v>0</v>
      </c>
      <c r="AK138" s="337">
        <f>AJ138/VPI!R138</f>
        <v>0</v>
      </c>
      <c r="AL138" s="339">
        <f t="shared" si="11"/>
        <v>15654</v>
      </c>
      <c r="AM138" s="337">
        <f>AL138/VPI!R138</f>
        <v>8.2638922170393148E-2</v>
      </c>
      <c r="AN138" s="519">
        <v>15654</v>
      </c>
      <c r="AO138" s="589"/>
      <c r="AP138" s="532">
        <v>31.212795523037094</v>
      </c>
      <c r="AR138" s="591">
        <v>0</v>
      </c>
    </row>
    <row r="139" spans="1:92" x14ac:dyDescent="0.25">
      <c r="A139" s="586">
        <v>5637</v>
      </c>
      <c r="B139" s="587" t="s">
        <v>141</v>
      </c>
      <c r="C139" s="505">
        <v>2056519.43</v>
      </c>
      <c r="D139" s="505">
        <v>260001.07</v>
      </c>
      <c r="E139" s="505"/>
      <c r="F139" s="506"/>
      <c r="G139" s="505">
        <v>44218.15</v>
      </c>
      <c r="H139" s="505">
        <v>1988.55</v>
      </c>
      <c r="I139" s="505"/>
      <c r="J139" s="505">
        <v>129469.89</v>
      </c>
      <c r="K139" s="505">
        <v>8415.35</v>
      </c>
      <c r="L139" s="505">
        <v>299425.5</v>
      </c>
      <c r="M139" s="384">
        <f t="shared" si="8"/>
        <v>2800037.94</v>
      </c>
      <c r="N139" s="510">
        <v>298364.55</v>
      </c>
      <c r="O139" s="510">
        <v>33358.9</v>
      </c>
      <c r="P139" s="510">
        <v>109515.5</v>
      </c>
      <c r="Q139" s="510">
        <v>610.61</v>
      </c>
      <c r="R139" s="510">
        <v>64010.3</v>
      </c>
      <c r="S139" s="505">
        <v>4788.07</v>
      </c>
      <c r="T139" s="384">
        <f t="shared" si="9"/>
        <v>3310685.8699999992</v>
      </c>
      <c r="U139" s="507">
        <v>-55283.46</v>
      </c>
      <c r="V139" s="510"/>
      <c r="W139" s="510">
        <v>-937.31</v>
      </c>
      <c r="X139" s="515">
        <v>73</v>
      </c>
      <c r="Y139" s="518">
        <v>1.5</v>
      </c>
      <c r="Z139" s="519">
        <v>1038</v>
      </c>
      <c r="AA139" s="588"/>
      <c r="AB139" s="524">
        <v>15996</v>
      </c>
      <c r="AC139" s="337">
        <f>AB139/VPI!R139</f>
        <v>0.4407430967533173</v>
      </c>
      <c r="AD139" s="339">
        <f t="shared" si="10"/>
        <v>472544</v>
      </c>
      <c r="AE139" s="337">
        <f>AD139/VPI!R139</f>
        <v>13.020161659927455</v>
      </c>
      <c r="AF139" s="524">
        <v>488540</v>
      </c>
      <c r="AG139" s="524">
        <v>40281</v>
      </c>
      <c r="AH139" s="524">
        <v>122837</v>
      </c>
      <c r="AI139" s="589"/>
      <c r="AJ139" s="519">
        <v>0</v>
      </c>
      <c r="AK139" s="337">
        <f>AJ139/VPI!R139</f>
        <v>0</v>
      </c>
      <c r="AL139" s="339">
        <f t="shared" si="11"/>
        <v>2299</v>
      </c>
      <c r="AM139" s="337">
        <f>AL139/VPI!R139</f>
        <v>6.3345109992240342E-2</v>
      </c>
      <c r="AN139" s="519">
        <v>2299</v>
      </c>
      <c r="AO139" s="589"/>
      <c r="AP139" s="532">
        <v>21.986600080821564</v>
      </c>
      <c r="AR139" s="591">
        <v>0</v>
      </c>
    </row>
    <row r="140" spans="1:92" x14ac:dyDescent="0.25">
      <c r="A140" s="586">
        <v>5638</v>
      </c>
      <c r="B140" s="587" t="s">
        <v>142</v>
      </c>
      <c r="C140" s="505">
        <v>5655345.04</v>
      </c>
      <c r="D140" s="505">
        <v>1236428.6100000001</v>
      </c>
      <c r="E140" s="505"/>
      <c r="F140" s="506"/>
      <c r="G140" s="505">
        <v>442645.8</v>
      </c>
      <c r="H140" s="505">
        <v>77750.149999999994</v>
      </c>
      <c r="I140" s="505">
        <v>71005.399999999994</v>
      </c>
      <c r="J140" s="505">
        <v>185754.57</v>
      </c>
      <c r="K140" s="505">
        <v>75992.850000000006</v>
      </c>
      <c r="L140" s="505">
        <v>711845.4</v>
      </c>
      <c r="M140" s="384">
        <f t="shared" si="8"/>
        <v>8456767.8200000003</v>
      </c>
      <c r="N140" s="510">
        <v>285838.84999999998</v>
      </c>
      <c r="O140" s="510">
        <v>5444593.7000000002</v>
      </c>
      <c r="P140" s="510">
        <v>244150.5</v>
      </c>
      <c r="Q140" s="510">
        <v>31883.33</v>
      </c>
      <c r="R140" s="510">
        <v>434599.5</v>
      </c>
      <c r="S140" s="505">
        <v>53924.9</v>
      </c>
      <c r="T140" s="384">
        <f t="shared" si="9"/>
        <v>14951758.600000001</v>
      </c>
      <c r="U140" s="507">
        <v>-60883.78</v>
      </c>
      <c r="V140" s="510"/>
      <c r="W140" s="510">
        <v>-17990.169999999998</v>
      </c>
      <c r="X140" s="515">
        <v>55</v>
      </c>
      <c r="Y140" s="518">
        <v>1</v>
      </c>
      <c r="Z140" s="519">
        <v>2675</v>
      </c>
      <c r="AA140" s="588"/>
      <c r="AB140" s="524">
        <v>59571</v>
      </c>
      <c r="AC140" s="337">
        <f>AB140/VPI!R140</f>
        <v>0.38711251427433868</v>
      </c>
      <c r="AD140" s="339">
        <f t="shared" si="10"/>
        <v>497741</v>
      </c>
      <c r="AE140" s="337">
        <f>AD140/VPI!R140</f>
        <v>3.2344894322308444</v>
      </c>
      <c r="AF140" s="524">
        <v>557312</v>
      </c>
      <c r="AG140" s="524">
        <f>1271738-(16214*2)</f>
        <v>1239310</v>
      </c>
      <c r="AH140" s="524">
        <v>90310</v>
      </c>
      <c r="AI140" s="589"/>
      <c r="AJ140" s="519">
        <v>0</v>
      </c>
      <c r="AK140" s="337">
        <f>AJ140/VPI!R140</f>
        <v>0</v>
      </c>
      <c r="AL140" s="339">
        <f t="shared" si="11"/>
        <v>7800</v>
      </c>
      <c r="AM140" s="337">
        <f>AL140/VPI!R140</f>
        <v>5.068703918584281E-2</v>
      </c>
      <c r="AN140" s="519">
        <v>7800</v>
      </c>
      <c r="AO140" s="589"/>
      <c r="AP140" s="532">
        <v>30.7717395991044</v>
      </c>
      <c r="AR140" s="591">
        <v>0</v>
      </c>
    </row>
    <row r="141" spans="1:92" x14ac:dyDescent="0.25">
      <c r="A141" s="586">
        <v>5639</v>
      </c>
      <c r="B141" s="587" t="s">
        <v>143</v>
      </c>
      <c r="C141" s="505">
        <v>2220418.09</v>
      </c>
      <c r="D141" s="505">
        <v>666926.55000000005</v>
      </c>
      <c r="E141" s="505"/>
      <c r="F141" s="506"/>
      <c r="G141" s="505">
        <v>53571.35</v>
      </c>
      <c r="H141" s="505">
        <v>11569.2</v>
      </c>
      <c r="I141" s="505"/>
      <c r="J141" s="505">
        <v>17788.330000000002</v>
      </c>
      <c r="K141" s="505">
        <v>2807.35</v>
      </c>
      <c r="L141" s="505">
        <v>264611.55</v>
      </c>
      <c r="M141" s="384">
        <f t="shared" si="8"/>
        <v>3237692.42</v>
      </c>
      <c r="N141" s="510">
        <v>18593.8</v>
      </c>
      <c r="O141" s="510">
        <v>18310.400000000001</v>
      </c>
      <c r="P141" s="510">
        <v>152355.85</v>
      </c>
      <c r="Q141" s="510">
        <v>415.77</v>
      </c>
      <c r="R141" s="510">
        <v>52218.8</v>
      </c>
      <c r="S141" s="505">
        <v>6750.05</v>
      </c>
      <c r="T141" s="384">
        <f t="shared" si="9"/>
        <v>3486337.0899999994</v>
      </c>
      <c r="U141" s="507">
        <v>-3344.64</v>
      </c>
      <c r="V141" s="510"/>
      <c r="W141" s="510">
        <v>-1876.2</v>
      </c>
      <c r="X141" s="515">
        <v>61</v>
      </c>
      <c r="Y141" s="518">
        <v>1.25</v>
      </c>
      <c r="Z141" s="519">
        <v>825</v>
      </c>
      <c r="AA141" s="588"/>
      <c r="AB141" s="524"/>
      <c r="AC141" s="337">
        <f>AB141/VPI!R141</f>
        <v>0</v>
      </c>
      <c r="AD141" s="339">
        <f t="shared" si="10"/>
        <v>0</v>
      </c>
      <c r="AE141" s="337">
        <f>AD141/VPI!R141</f>
        <v>0</v>
      </c>
      <c r="AF141" s="524"/>
      <c r="AG141" s="524"/>
      <c r="AH141" s="524"/>
      <c r="AI141" s="589"/>
      <c r="AJ141" s="519"/>
      <c r="AK141" s="337">
        <f>AJ141/VPI!R141</f>
        <v>0</v>
      </c>
      <c r="AL141" s="339">
        <f t="shared" si="11"/>
        <v>0</v>
      </c>
      <c r="AM141" s="337">
        <f>AL141/VPI!R141</f>
        <v>0</v>
      </c>
      <c r="AN141" s="519"/>
      <c r="AO141" s="589"/>
      <c r="AP141" s="532">
        <v>33.860595523964875</v>
      </c>
      <c r="AR141" s="591">
        <v>0</v>
      </c>
    </row>
    <row r="142" spans="1:92" x14ac:dyDescent="0.25">
      <c r="A142" s="586">
        <v>5640</v>
      </c>
      <c r="B142" s="587" t="s">
        <v>144</v>
      </c>
      <c r="C142" s="505">
        <v>2593052.6800000002</v>
      </c>
      <c r="D142" s="505">
        <v>652227.94999999995</v>
      </c>
      <c r="E142" s="505"/>
      <c r="F142" s="506"/>
      <c r="G142" s="505">
        <v>65049</v>
      </c>
      <c r="H142" s="505">
        <v>4319.1000000000004</v>
      </c>
      <c r="I142" s="505">
        <v>104668.49</v>
      </c>
      <c r="J142" s="505">
        <v>74315.009999999995</v>
      </c>
      <c r="K142" s="505">
        <v>10925.25</v>
      </c>
      <c r="L142" s="505">
        <v>219923.65</v>
      </c>
      <c r="M142" s="384">
        <f t="shared" si="8"/>
        <v>3724481.13</v>
      </c>
      <c r="N142" s="510">
        <v>16539.650000000001</v>
      </c>
      <c r="O142" s="510">
        <f>4118191.9-3800000</f>
        <v>318191.89999999991</v>
      </c>
      <c r="P142" s="510">
        <v>137918.39999999999</v>
      </c>
      <c r="Q142" s="510">
        <v>5572.33</v>
      </c>
      <c r="R142" s="510">
        <v>28369.4</v>
      </c>
      <c r="S142" s="505">
        <v>7188.12</v>
      </c>
      <c r="T142" s="384">
        <f t="shared" si="9"/>
        <v>4238260.9300000006</v>
      </c>
      <c r="U142" s="507">
        <v>-4352.1499999999996</v>
      </c>
      <c r="V142" s="510"/>
      <c r="W142" s="510">
        <v>-6689.35</v>
      </c>
      <c r="X142" s="515">
        <v>64.5</v>
      </c>
      <c r="Y142" s="518">
        <v>1</v>
      </c>
      <c r="Z142" s="519">
        <v>730</v>
      </c>
      <c r="AA142" s="588"/>
      <c r="AB142" s="524">
        <v>97506</v>
      </c>
      <c r="AC142" s="337">
        <f>AB142/VPI!R142</f>
        <v>1.6878151642356252</v>
      </c>
      <c r="AD142" s="339">
        <f t="shared" si="10"/>
        <v>43915</v>
      </c>
      <c r="AE142" s="337">
        <f>AD142/VPI!R142</f>
        <v>0.76016248166684597</v>
      </c>
      <c r="AF142" s="524">
        <v>141421</v>
      </c>
      <c r="AG142" s="524">
        <f>188232-(2863*2)</f>
        <v>182506</v>
      </c>
      <c r="AH142" s="524">
        <v>101470</v>
      </c>
      <c r="AI142" s="589"/>
      <c r="AJ142" s="519">
        <v>0</v>
      </c>
      <c r="AK142" s="337">
        <f>AJ142/VPI!R142</f>
        <v>0</v>
      </c>
      <c r="AL142" s="339">
        <f t="shared" si="11"/>
        <v>10791</v>
      </c>
      <c r="AM142" s="337">
        <f>AL142/VPI!R142</f>
        <v>0.18679069428821438</v>
      </c>
      <c r="AN142" s="519">
        <v>10791</v>
      </c>
      <c r="AO142" s="589"/>
      <c r="AP142" s="532">
        <v>41.174229512211667</v>
      </c>
      <c r="AR142" s="591">
        <v>1</v>
      </c>
    </row>
    <row r="143" spans="1:92" s="593" customFormat="1" x14ac:dyDescent="0.25">
      <c r="A143" s="586">
        <v>5642</v>
      </c>
      <c r="B143" s="587" t="s">
        <v>145</v>
      </c>
      <c r="C143" s="505">
        <v>39870694.57</v>
      </c>
      <c r="D143" s="505">
        <v>6477261.3499999996</v>
      </c>
      <c r="E143" s="505"/>
      <c r="F143" s="506"/>
      <c r="G143" s="535">
        <f>12073829.2-4000000</f>
        <v>8073829.1999999993</v>
      </c>
      <c r="H143" s="505">
        <v>-153042.54999999999</v>
      </c>
      <c r="I143" s="505">
        <v>266429.24</v>
      </c>
      <c r="J143" s="505">
        <v>2400215.56</v>
      </c>
      <c r="K143" s="505">
        <v>527538.19999999995</v>
      </c>
      <c r="L143" s="505">
        <v>3517820.55</v>
      </c>
      <c r="M143" s="384">
        <f t="shared" si="8"/>
        <v>60980746.120000012</v>
      </c>
      <c r="N143" s="510">
        <v>1601890.1</v>
      </c>
      <c r="O143" s="510">
        <v>2935540.6</v>
      </c>
      <c r="P143" s="510">
        <v>1427831.4</v>
      </c>
      <c r="Q143" s="510">
        <v>120064.25</v>
      </c>
      <c r="R143" s="510">
        <v>1754574.8</v>
      </c>
      <c r="S143" s="505">
        <v>1235265.74</v>
      </c>
      <c r="T143" s="384">
        <f t="shared" si="9"/>
        <v>70055913.010000005</v>
      </c>
      <c r="U143" s="507">
        <v>-609512.84</v>
      </c>
      <c r="V143" s="510"/>
      <c r="W143" s="510">
        <v>-40416.22</v>
      </c>
      <c r="X143" s="515">
        <v>67</v>
      </c>
      <c r="Y143" s="518">
        <v>1</v>
      </c>
      <c r="Z143" s="519">
        <v>17530</v>
      </c>
      <c r="AA143" s="588"/>
      <c r="AB143" s="524">
        <v>761999</v>
      </c>
      <c r="AC143" s="337">
        <f>AB143/VPI!R143</f>
        <v>0.82764016625350234</v>
      </c>
      <c r="AD143" s="339">
        <f t="shared" si="10"/>
        <v>2730406</v>
      </c>
      <c r="AE143" s="337">
        <f>AD143/VPI!R143</f>
        <v>2.9656123902781504</v>
      </c>
      <c r="AF143" s="524">
        <v>3492405</v>
      </c>
      <c r="AG143" s="524">
        <f>6129300-(73806*2)</f>
        <v>5981688</v>
      </c>
      <c r="AH143" s="524">
        <v>111211</v>
      </c>
      <c r="AI143" s="589"/>
      <c r="AJ143" s="519">
        <v>0</v>
      </c>
      <c r="AK143" s="337">
        <f>AJ143/VPI!R143</f>
        <v>0</v>
      </c>
      <c r="AL143" s="339">
        <f t="shared" si="11"/>
        <v>76388</v>
      </c>
      <c r="AM143" s="337">
        <f>AL143/VPI!R143</f>
        <v>8.2968320194347425E-2</v>
      </c>
      <c r="AN143" s="519">
        <v>76388</v>
      </c>
      <c r="AO143" s="589"/>
      <c r="AP143" s="532">
        <v>17.958007864232869</v>
      </c>
      <c r="AQ143" s="507"/>
      <c r="AR143" s="591">
        <v>1</v>
      </c>
      <c r="AS143" s="507"/>
      <c r="AT143" s="507"/>
      <c r="AU143" s="562"/>
      <c r="AV143" s="507"/>
      <c r="AW143" s="507"/>
      <c r="AX143" s="507"/>
      <c r="AY143" s="507"/>
      <c r="AZ143" s="507"/>
      <c r="BA143" s="507"/>
      <c r="BB143" s="507"/>
      <c r="BC143" s="507"/>
      <c r="BD143" s="507"/>
      <c r="BE143" s="507"/>
      <c r="BF143" s="507"/>
      <c r="BG143" s="507"/>
      <c r="BH143" s="507"/>
      <c r="BI143" s="507"/>
      <c r="BJ143" s="507"/>
      <c r="BK143" s="507"/>
      <c r="BL143" s="507"/>
      <c r="BM143" s="507"/>
      <c r="BN143" s="507"/>
      <c r="BO143" s="507"/>
      <c r="BP143" s="507"/>
      <c r="BQ143" s="507"/>
      <c r="BR143" s="507"/>
      <c r="BS143" s="507"/>
      <c r="BT143" s="507"/>
      <c r="BU143" s="507"/>
      <c r="BV143" s="507"/>
      <c r="BW143" s="507"/>
      <c r="BX143" s="507"/>
      <c r="BY143" s="507"/>
      <c r="BZ143" s="507"/>
      <c r="CA143" s="507"/>
      <c r="CB143" s="507"/>
      <c r="CC143" s="507"/>
      <c r="CD143" s="507"/>
      <c r="CE143" s="507"/>
      <c r="CF143" s="507"/>
      <c r="CG143" s="507"/>
      <c r="CH143" s="507"/>
      <c r="CI143" s="507"/>
      <c r="CJ143" s="507"/>
      <c r="CK143" s="507"/>
      <c r="CL143" s="507"/>
      <c r="CM143" s="507"/>
      <c r="CN143" s="507"/>
    </row>
    <row r="144" spans="1:92" x14ac:dyDescent="0.25">
      <c r="A144" s="586">
        <v>5643</v>
      </c>
      <c r="B144" s="587" t="s">
        <v>146</v>
      </c>
      <c r="C144" s="505">
        <v>11295543.789999999</v>
      </c>
      <c r="D144" s="505">
        <v>2131823.7799999998</v>
      </c>
      <c r="E144" s="505"/>
      <c r="F144" s="506"/>
      <c r="G144" s="505">
        <v>361553.65</v>
      </c>
      <c r="H144" s="505">
        <v>80692.95</v>
      </c>
      <c r="I144" s="505">
        <v>358963.77</v>
      </c>
      <c r="J144" s="505">
        <v>412475.28</v>
      </c>
      <c r="K144" s="505">
        <v>108863.1</v>
      </c>
      <c r="L144" s="505">
        <v>1160950.95</v>
      </c>
      <c r="M144" s="384">
        <f t="shared" si="8"/>
        <v>15910867.269999996</v>
      </c>
      <c r="N144" s="510">
        <v>183126.6</v>
      </c>
      <c r="O144" s="510">
        <v>295689.8</v>
      </c>
      <c r="P144" s="510">
        <v>449965.2</v>
      </c>
      <c r="Q144" s="510">
        <v>10506.74</v>
      </c>
      <c r="R144" s="510">
        <v>377464.35</v>
      </c>
      <c r="S144" s="505">
        <v>45826.85</v>
      </c>
      <c r="T144" s="384">
        <f t="shared" si="9"/>
        <v>17273446.809999999</v>
      </c>
      <c r="U144" s="507">
        <v>-132251.26999999999</v>
      </c>
      <c r="V144" s="510"/>
      <c r="W144" s="510">
        <v>-40065.440000000002</v>
      </c>
      <c r="X144" s="515">
        <v>62.5</v>
      </c>
      <c r="Y144" s="518">
        <v>1</v>
      </c>
      <c r="Z144" s="519">
        <v>5209</v>
      </c>
      <c r="AA144" s="588"/>
      <c r="AB144" s="524">
        <v>0</v>
      </c>
      <c r="AC144" s="337">
        <f>AB144/VPI!R144</f>
        <v>0</v>
      </c>
      <c r="AD144" s="339">
        <f t="shared" si="10"/>
        <v>226894</v>
      </c>
      <c r="AE144" s="337">
        <f>AD144/VPI!R144</f>
        <v>0.89781443569499075</v>
      </c>
      <c r="AF144" s="524">
        <v>226894</v>
      </c>
      <c r="AG144" s="524">
        <f>1419574-(17617*2)</f>
        <v>1384340</v>
      </c>
      <c r="AH144" s="524">
        <v>120016</v>
      </c>
      <c r="AI144" s="589"/>
      <c r="AJ144" s="519">
        <v>0</v>
      </c>
      <c r="AK144" s="337">
        <f>AJ144/VPI!R144</f>
        <v>0</v>
      </c>
      <c r="AL144" s="339">
        <f t="shared" si="11"/>
        <v>159</v>
      </c>
      <c r="AM144" s="337">
        <f>AL144/VPI!R144</f>
        <v>6.2915941045379575E-4</v>
      </c>
      <c r="AN144" s="519">
        <v>159</v>
      </c>
      <c r="AO144" s="589"/>
      <c r="AP144" s="532">
        <v>24.557926095717011</v>
      </c>
      <c r="AR144" s="591">
        <v>1</v>
      </c>
    </row>
    <row r="145" spans="1:44" x14ac:dyDescent="0.25">
      <c r="A145" s="586">
        <v>5645</v>
      </c>
      <c r="B145" s="587" t="s">
        <v>263</v>
      </c>
      <c r="C145" s="505">
        <v>896866.06</v>
      </c>
      <c r="D145" s="505">
        <v>189168.52</v>
      </c>
      <c r="E145" s="505"/>
      <c r="F145" s="506"/>
      <c r="G145" s="505">
        <v>79152.850000000006</v>
      </c>
      <c r="H145" s="505">
        <v>-5231.55</v>
      </c>
      <c r="I145" s="505"/>
      <c r="J145" s="505">
        <v>-12613.84</v>
      </c>
      <c r="K145" s="505">
        <v>21580.5</v>
      </c>
      <c r="L145" s="505">
        <v>162671.5</v>
      </c>
      <c r="M145" s="384">
        <f t="shared" si="8"/>
        <v>1331594.04</v>
      </c>
      <c r="N145" s="510">
        <v>105835.3</v>
      </c>
      <c r="O145" s="510">
        <v>18.899999999999999</v>
      </c>
      <c r="P145" s="510">
        <v>26349.45</v>
      </c>
      <c r="Q145" s="510">
        <v>60.08</v>
      </c>
      <c r="R145" s="510">
        <v>32984.65</v>
      </c>
      <c r="S145" s="505">
        <v>7659.93</v>
      </c>
      <c r="T145" s="384">
        <f t="shared" si="9"/>
        <v>1504502.3499999999</v>
      </c>
      <c r="U145" s="507">
        <v>-7648.22</v>
      </c>
      <c r="V145" s="510"/>
      <c r="W145" s="510">
        <v>-667.21</v>
      </c>
      <c r="X145" s="515">
        <v>56</v>
      </c>
      <c r="Y145" s="518">
        <v>1</v>
      </c>
      <c r="Z145" s="519">
        <v>458</v>
      </c>
      <c r="AA145" s="588"/>
      <c r="AB145" s="524">
        <v>78672</v>
      </c>
      <c r="AC145" s="337">
        <f>AB145/VPI!R145</f>
        <v>3.3100199608020628</v>
      </c>
      <c r="AD145" s="339">
        <f t="shared" si="10"/>
        <v>83448</v>
      </c>
      <c r="AE145" s="337">
        <f>AD145/VPI!R145</f>
        <v>3.5109638205334877</v>
      </c>
      <c r="AF145" s="524">
        <v>162120</v>
      </c>
      <c r="AG145" s="524">
        <v>27443</v>
      </c>
      <c r="AH145" s="524">
        <v>36912</v>
      </c>
      <c r="AI145" s="589"/>
      <c r="AJ145" s="519">
        <v>0</v>
      </c>
      <c r="AK145" s="337">
        <f>AJ145/VPI!R145</f>
        <v>0</v>
      </c>
      <c r="AL145" s="339">
        <f t="shared" si="11"/>
        <v>394</v>
      </c>
      <c r="AM145" s="337">
        <f>AL145/VPI!R145</f>
        <v>1.6577026954393087E-2</v>
      </c>
      <c r="AN145" s="519">
        <v>394</v>
      </c>
      <c r="AO145" s="589"/>
      <c r="AP145" s="532">
        <v>31.499299221568311</v>
      </c>
      <c r="AR145" s="591">
        <v>0</v>
      </c>
    </row>
    <row r="146" spans="1:44" x14ac:dyDescent="0.25">
      <c r="A146" s="586">
        <v>5646</v>
      </c>
      <c r="B146" s="587" t="s">
        <v>264</v>
      </c>
      <c r="C146" s="505">
        <v>14167285.82</v>
      </c>
      <c r="D146" s="505">
        <v>3291926.33</v>
      </c>
      <c r="E146" s="505"/>
      <c r="F146" s="506"/>
      <c r="G146" s="505">
        <v>3139877.25</v>
      </c>
      <c r="H146" s="505">
        <v>6135056.25</v>
      </c>
      <c r="I146" s="505">
        <v>675909.13</v>
      </c>
      <c r="J146" s="505">
        <v>328610.83</v>
      </c>
      <c r="K146" s="505">
        <v>162060.35</v>
      </c>
      <c r="L146" s="505">
        <v>2068669.05</v>
      </c>
      <c r="M146" s="384">
        <f t="shared" si="8"/>
        <v>29969395.009999998</v>
      </c>
      <c r="N146" s="510">
        <v>672225.75</v>
      </c>
      <c r="O146" s="510">
        <f>2856509-2000000</f>
        <v>856509</v>
      </c>
      <c r="P146" s="510">
        <v>805531.25</v>
      </c>
      <c r="Q146" s="510">
        <v>19039.990000000002</v>
      </c>
      <c r="R146" s="510">
        <v>755063.35</v>
      </c>
      <c r="S146" s="505">
        <v>961094.92</v>
      </c>
      <c r="T146" s="384">
        <f t="shared" si="9"/>
        <v>34038859.269999996</v>
      </c>
      <c r="U146" s="507">
        <v>-171672.91</v>
      </c>
      <c r="V146" s="510"/>
      <c r="W146" s="510">
        <v>-22144.55</v>
      </c>
      <c r="X146" s="515">
        <v>59</v>
      </c>
      <c r="Y146" s="518">
        <v>1.2</v>
      </c>
      <c r="Z146" s="519">
        <v>5876</v>
      </c>
      <c r="AA146" s="588"/>
      <c r="AB146" s="524"/>
      <c r="AC146" s="337">
        <f>AB146/VPI!R146</f>
        <v>0</v>
      </c>
      <c r="AD146" s="339">
        <f t="shared" si="10"/>
        <v>0</v>
      </c>
      <c r="AE146" s="337">
        <f>AD146/VPI!R146</f>
        <v>0</v>
      </c>
      <c r="AF146" s="524"/>
      <c r="AG146" s="524"/>
      <c r="AH146" s="524"/>
      <c r="AI146" s="589"/>
      <c r="AJ146" s="519"/>
      <c r="AK146" s="337">
        <f>AJ146/VPI!R146</f>
        <v>0</v>
      </c>
      <c r="AL146" s="339">
        <f t="shared" si="11"/>
        <v>0</v>
      </c>
      <c r="AM146" s="337">
        <f>AL146/VPI!R146</f>
        <v>0</v>
      </c>
      <c r="AN146" s="519"/>
      <c r="AO146" s="589"/>
      <c r="AP146" s="532">
        <v>36.201014765511232</v>
      </c>
      <c r="AR146" s="591">
        <v>1</v>
      </c>
    </row>
    <row r="147" spans="1:44" x14ac:dyDescent="0.25">
      <c r="A147" s="586">
        <v>5648</v>
      </c>
      <c r="B147" s="587" t="s">
        <v>265</v>
      </c>
      <c r="C147" s="505">
        <v>15006223.35</v>
      </c>
      <c r="D147" s="505">
        <v>4120924.67</v>
      </c>
      <c r="E147" s="505"/>
      <c r="F147" s="506"/>
      <c r="G147" s="505">
        <v>859650.2</v>
      </c>
      <c r="H147" s="505">
        <v>-10940.35</v>
      </c>
      <c r="I147" s="505">
        <v>246593.19</v>
      </c>
      <c r="J147" s="505">
        <v>839949.43</v>
      </c>
      <c r="K147" s="505">
        <v>235136.3</v>
      </c>
      <c r="L147" s="505">
        <v>1470926.29</v>
      </c>
      <c r="M147" s="384">
        <f t="shared" si="8"/>
        <v>22768463.079999998</v>
      </c>
      <c r="N147" s="510">
        <v>77180.149999999994</v>
      </c>
      <c r="O147" s="510">
        <v>54740.800000000003</v>
      </c>
      <c r="P147" s="510">
        <v>804965.25</v>
      </c>
      <c r="Q147" s="510">
        <v>28144.13</v>
      </c>
      <c r="R147" s="510">
        <v>847280.4</v>
      </c>
      <c r="S147" s="505">
        <v>87945.72</v>
      </c>
      <c r="T147" s="384">
        <f t="shared" si="9"/>
        <v>24668719.529999994</v>
      </c>
      <c r="U147" s="507">
        <v>-184047.47</v>
      </c>
      <c r="V147" s="510"/>
      <c r="W147" s="510">
        <v>-131761.34</v>
      </c>
      <c r="X147" s="515">
        <v>55</v>
      </c>
      <c r="Y147" s="518">
        <v>0.8</v>
      </c>
      <c r="Z147" s="519">
        <v>5036</v>
      </c>
      <c r="AA147" s="588"/>
      <c r="AB147" s="524">
        <v>396703</v>
      </c>
      <c r="AC147" s="337">
        <f>AB147/VPI!R147</f>
        <v>0.95126493243835553</v>
      </c>
      <c r="AD147" s="339">
        <f t="shared" si="10"/>
        <v>349960</v>
      </c>
      <c r="AE147" s="337">
        <f>AD147/VPI!R147</f>
        <v>0.83917861915873315</v>
      </c>
      <c r="AF147" s="524">
        <v>746663</v>
      </c>
      <c r="AG147" s="524">
        <v>2523009</v>
      </c>
      <c r="AH147" s="524">
        <v>68695</v>
      </c>
      <c r="AI147" s="589"/>
      <c r="AJ147" s="519">
        <v>0</v>
      </c>
      <c r="AK147" s="337">
        <f>AJ147/VPI!R147</f>
        <v>0</v>
      </c>
      <c r="AL147" s="339">
        <f t="shared" si="11"/>
        <v>43775</v>
      </c>
      <c r="AM147" s="337">
        <f>AL147/VPI!R147</f>
        <v>0.10496926521223438</v>
      </c>
      <c r="AN147" s="519">
        <v>43775</v>
      </c>
      <c r="AO147" s="589"/>
      <c r="AP147" s="532">
        <v>33.79083405301138</v>
      </c>
      <c r="AR147" s="591">
        <v>1</v>
      </c>
    </row>
    <row r="148" spans="1:44" x14ac:dyDescent="0.25">
      <c r="A148" s="586">
        <v>5649</v>
      </c>
      <c r="B148" s="587" t="s">
        <v>266</v>
      </c>
      <c r="C148" s="505">
        <v>3751341.45</v>
      </c>
      <c r="D148" s="505">
        <v>710795.8</v>
      </c>
      <c r="E148" s="505"/>
      <c r="F148" s="506"/>
      <c r="G148" s="505">
        <f>2777187.35+10000000</f>
        <v>12777187.35</v>
      </c>
      <c r="H148" s="505">
        <v>2183846.7000000002</v>
      </c>
      <c r="I148" s="505">
        <v>58975.95</v>
      </c>
      <c r="J148" s="505">
        <v>526595.52</v>
      </c>
      <c r="K148" s="505">
        <v>58417.15</v>
      </c>
      <c r="L148" s="505">
        <v>577018.80000000005</v>
      </c>
      <c r="M148" s="384">
        <f t="shared" si="8"/>
        <v>20644178.719999999</v>
      </c>
      <c r="N148" s="510">
        <v>438984.5</v>
      </c>
      <c r="O148" s="510">
        <v>96361.7</v>
      </c>
      <c r="P148" s="510">
        <v>276914</v>
      </c>
      <c r="Q148" s="510">
        <v>5469.7</v>
      </c>
      <c r="R148" s="510">
        <v>372864.4</v>
      </c>
      <c r="S148" s="505">
        <v>514076.42</v>
      </c>
      <c r="T148" s="384">
        <f t="shared" si="9"/>
        <v>22348849.439999998</v>
      </c>
      <c r="U148" s="507">
        <v>-62186.33</v>
      </c>
      <c r="V148" s="510"/>
      <c r="W148" s="510">
        <v>-4216.2700000000004</v>
      </c>
      <c r="X148" s="515">
        <v>64</v>
      </c>
      <c r="Y148" s="518">
        <v>1</v>
      </c>
      <c r="Z148" s="519">
        <v>1890</v>
      </c>
      <c r="AA148" s="588"/>
      <c r="AB148" s="524"/>
      <c r="AC148" s="337">
        <f>AB148/VPI!R148</f>
        <v>0</v>
      </c>
      <c r="AD148" s="339">
        <f t="shared" si="10"/>
        <v>0</v>
      </c>
      <c r="AE148" s="337">
        <f>AD148/VPI!R148</f>
        <v>0</v>
      </c>
      <c r="AF148" s="524"/>
      <c r="AG148" s="524"/>
      <c r="AH148" s="524"/>
      <c r="AI148" s="589"/>
      <c r="AJ148" s="519"/>
      <c r="AK148" s="337">
        <f>AJ148/VPI!R148</f>
        <v>0</v>
      </c>
      <c r="AL148" s="339">
        <f t="shared" si="11"/>
        <v>0</v>
      </c>
      <c r="AM148" s="337">
        <f>AL148/VPI!R148</f>
        <v>0</v>
      </c>
      <c r="AN148" s="519"/>
      <c r="AO148" s="589"/>
      <c r="AP148" s="532">
        <v>37.207578806614052</v>
      </c>
      <c r="AR148" s="591">
        <v>1</v>
      </c>
    </row>
    <row r="149" spans="1:44" x14ac:dyDescent="0.25">
      <c r="A149" s="594">
        <v>5650</v>
      </c>
      <c r="B149" s="587" t="s">
        <v>267</v>
      </c>
      <c r="C149" s="505">
        <v>2341763.13</v>
      </c>
      <c r="D149" s="505">
        <v>2670086.7999999998</v>
      </c>
      <c r="E149" s="505"/>
      <c r="F149" s="506"/>
      <c r="G149" s="505">
        <v>8365.2000000000007</v>
      </c>
      <c r="H149" s="505">
        <v>16.45</v>
      </c>
      <c r="I149" s="505"/>
      <c r="J149" s="505">
        <v>-4147.5600000000004</v>
      </c>
      <c r="K149" s="505"/>
      <c r="L149" s="505">
        <v>57895</v>
      </c>
      <c r="M149" s="384">
        <f t="shared" si="8"/>
        <v>5073979.0200000005</v>
      </c>
      <c r="N149" s="510">
        <v>0</v>
      </c>
      <c r="O149" s="510">
        <v>32535.4</v>
      </c>
      <c r="P149" s="510">
        <v>0</v>
      </c>
      <c r="Q149" s="510">
        <v>0</v>
      </c>
      <c r="R149" s="510">
        <v>0</v>
      </c>
      <c r="S149" s="505">
        <v>868.53</v>
      </c>
      <c r="T149" s="384">
        <f t="shared" si="9"/>
        <v>5107382.9500000011</v>
      </c>
      <c r="U149" s="507">
        <v>-0.02</v>
      </c>
      <c r="V149" s="510"/>
      <c r="W149" s="510">
        <v>-435.55</v>
      </c>
      <c r="X149" s="515">
        <v>56</v>
      </c>
      <c r="Y149" s="518">
        <v>1.25</v>
      </c>
      <c r="Z149" s="519">
        <v>185</v>
      </c>
      <c r="AA149" s="588"/>
      <c r="AB149" s="524"/>
      <c r="AC149" s="337">
        <f>AB149/VPI!R149</f>
        <v>0</v>
      </c>
      <c r="AD149" s="339">
        <f t="shared" si="10"/>
        <v>0</v>
      </c>
      <c r="AE149" s="337">
        <f>AD149/VPI!R149</f>
        <v>0</v>
      </c>
      <c r="AF149" s="524"/>
      <c r="AG149" s="524"/>
      <c r="AH149" s="524"/>
      <c r="AI149" s="589"/>
      <c r="AJ149" s="519"/>
      <c r="AK149" s="337">
        <f>AJ149/VPI!R149</f>
        <v>0</v>
      </c>
      <c r="AL149" s="339">
        <f t="shared" si="11"/>
        <v>0</v>
      </c>
      <c r="AM149" s="337">
        <f>AL149/VPI!R149</f>
        <v>0</v>
      </c>
      <c r="AN149" s="519"/>
      <c r="AO149" s="589"/>
      <c r="AP149" s="532">
        <v>59.131360249931419</v>
      </c>
      <c r="AR149" s="591">
        <v>0</v>
      </c>
    </row>
    <row r="150" spans="1:44" x14ac:dyDescent="0.25">
      <c r="A150" s="586">
        <v>5651</v>
      </c>
      <c r="B150" s="587" t="s">
        <v>268</v>
      </c>
      <c r="C150" s="505">
        <v>2120790.39</v>
      </c>
      <c r="D150" s="505">
        <v>306464.87</v>
      </c>
      <c r="E150" s="505"/>
      <c r="F150" s="506"/>
      <c r="G150" s="505">
        <v>506064.9</v>
      </c>
      <c r="H150" s="505">
        <v>49863</v>
      </c>
      <c r="I150" s="505"/>
      <c r="J150" s="505">
        <v>59028.82</v>
      </c>
      <c r="K150" s="505">
        <v>3066.7</v>
      </c>
      <c r="L150" s="505">
        <v>377858.7</v>
      </c>
      <c r="M150" s="384">
        <f t="shared" si="8"/>
        <v>3423137.3800000004</v>
      </c>
      <c r="N150" s="510">
        <v>218515.45</v>
      </c>
      <c r="O150" s="510">
        <v>16601.900000000001</v>
      </c>
      <c r="P150" s="510">
        <v>167942.5</v>
      </c>
      <c r="Q150" s="510">
        <v>341300.04</v>
      </c>
      <c r="R150" s="510">
        <v>108775</v>
      </c>
      <c r="S150" s="505">
        <v>43843.58</v>
      </c>
      <c r="T150" s="384">
        <f t="shared" si="9"/>
        <v>4320115.8500000006</v>
      </c>
      <c r="U150" s="507">
        <v>-433097.85</v>
      </c>
      <c r="V150" s="510"/>
      <c r="W150" s="510">
        <v>-943.98</v>
      </c>
      <c r="X150" s="515">
        <v>60.5</v>
      </c>
      <c r="Y150" s="518">
        <v>1</v>
      </c>
      <c r="Z150" s="519">
        <v>978</v>
      </c>
      <c r="AA150" s="588"/>
      <c r="AB150" s="524">
        <v>20656</v>
      </c>
      <c r="AC150" s="337">
        <f>AB150/VPI!R150</f>
        <v>0.37036141691165297</v>
      </c>
      <c r="AD150" s="339">
        <f t="shared" si="10"/>
        <v>92177</v>
      </c>
      <c r="AE150" s="337">
        <f>AD150/VPI!R150</f>
        <v>1.652730650981092</v>
      </c>
      <c r="AF150" s="524">
        <v>112833</v>
      </c>
      <c r="AG150" s="524">
        <v>441991</v>
      </c>
      <c r="AH150" s="524">
        <v>23351</v>
      </c>
      <c r="AI150" s="589"/>
      <c r="AJ150" s="519">
        <v>0</v>
      </c>
      <c r="AK150" s="337">
        <f>AJ150/VPI!R150</f>
        <v>0</v>
      </c>
      <c r="AL150" s="339">
        <f t="shared" si="11"/>
        <v>26448</v>
      </c>
      <c r="AM150" s="337">
        <f>AL150/VPI!R150</f>
        <v>0.4742117909798314</v>
      </c>
      <c r="AN150" s="519">
        <v>26448</v>
      </c>
      <c r="AO150" s="589"/>
      <c r="AP150" s="532">
        <v>32.49835661325389</v>
      </c>
      <c r="AR150" s="591">
        <v>1</v>
      </c>
    </row>
    <row r="151" spans="1:44" x14ac:dyDescent="0.25">
      <c r="A151" s="586">
        <v>5652</v>
      </c>
      <c r="B151" s="587" t="s">
        <v>178</v>
      </c>
      <c r="C151" s="505">
        <v>1519352.67</v>
      </c>
      <c r="D151" s="505">
        <v>303839.38</v>
      </c>
      <c r="E151" s="505"/>
      <c r="F151" s="506"/>
      <c r="G151" s="505">
        <v>7908.15</v>
      </c>
      <c r="H151" s="505">
        <v>375.55</v>
      </c>
      <c r="I151" s="505"/>
      <c r="J151" s="505">
        <v>41549.61</v>
      </c>
      <c r="K151" s="505">
        <v>854.15</v>
      </c>
      <c r="L151" s="505">
        <v>140133.95000000001</v>
      </c>
      <c r="M151" s="384">
        <f t="shared" si="8"/>
        <v>2014013.4599999997</v>
      </c>
      <c r="N151" s="510">
        <v>0</v>
      </c>
      <c r="O151" s="510">
        <v>301155.20000000001</v>
      </c>
      <c r="P151" s="510">
        <v>106029</v>
      </c>
      <c r="Q151" s="510">
        <v>697.31</v>
      </c>
      <c r="R151" s="510">
        <v>84138.25</v>
      </c>
      <c r="S151" s="505">
        <v>858.38</v>
      </c>
      <c r="T151" s="384">
        <f t="shared" si="9"/>
        <v>2506891.5999999996</v>
      </c>
      <c r="U151" s="507">
        <v>-17013.669999999998</v>
      </c>
      <c r="V151" s="510"/>
      <c r="W151" s="510">
        <v>-2458.98</v>
      </c>
      <c r="X151" s="515">
        <v>76</v>
      </c>
      <c r="Y151" s="518">
        <v>1.2</v>
      </c>
      <c r="Z151" s="519">
        <v>615</v>
      </c>
      <c r="AA151" s="588"/>
      <c r="AB151" s="524">
        <v>12431</v>
      </c>
      <c r="AC151" s="337">
        <f>AB151/VPI!R151</f>
        <v>0.47890527739154243</v>
      </c>
      <c r="AD151" s="339">
        <f t="shared" si="10"/>
        <v>322790</v>
      </c>
      <c r="AE151" s="337">
        <f>AD151/VPI!R151</f>
        <v>12.435510778635345</v>
      </c>
      <c r="AF151" s="524">
        <v>335221</v>
      </c>
      <c r="AG151" s="524">
        <v>49154</v>
      </c>
      <c r="AH151" s="524">
        <v>75258</v>
      </c>
      <c r="AI151" s="589"/>
      <c r="AJ151" s="519">
        <v>0</v>
      </c>
      <c r="AK151" s="337">
        <f>AJ151/VPI!R151</f>
        <v>0</v>
      </c>
      <c r="AL151" s="339">
        <f t="shared" si="11"/>
        <v>13949</v>
      </c>
      <c r="AM151" s="337">
        <f>AL151/VPI!R151</f>
        <v>0.5373863497976531</v>
      </c>
      <c r="AN151" s="519">
        <v>13949</v>
      </c>
      <c r="AO151" s="589"/>
      <c r="AP151" s="532">
        <v>25.207072467329795</v>
      </c>
      <c r="AR151" s="591">
        <v>0</v>
      </c>
    </row>
    <row r="152" spans="1:44" x14ac:dyDescent="0.25">
      <c r="A152" s="586">
        <v>5653</v>
      </c>
      <c r="B152" s="587" t="s">
        <v>179</v>
      </c>
      <c r="C152" s="505">
        <v>2828765.97</v>
      </c>
      <c r="D152" s="505">
        <v>910564.86</v>
      </c>
      <c r="E152" s="505"/>
      <c r="F152" s="506"/>
      <c r="G152" s="505">
        <v>23623</v>
      </c>
      <c r="H152" s="505">
        <v>8527.2000000000007</v>
      </c>
      <c r="I152" s="505">
        <v>154696.4</v>
      </c>
      <c r="J152" s="505">
        <v>15596.85</v>
      </c>
      <c r="K152" s="505">
        <v>-15452.85</v>
      </c>
      <c r="L152" s="505">
        <v>216144.8</v>
      </c>
      <c r="M152" s="384">
        <f t="shared" si="8"/>
        <v>4142466.23</v>
      </c>
      <c r="N152" s="510">
        <v>4772.5</v>
      </c>
      <c r="O152" s="510"/>
      <c r="P152" s="510">
        <v>229944</v>
      </c>
      <c r="Q152" s="510">
        <v>133.04</v>
      </c>
      <c r="R152" s="510">
        <v>130038.3</v>
      </c>
      <c r="S152" s="505">
        <v>3331.5</v>
      </c>
      <c r="T152" s="384">
        <f t="shared" si="9"/>
        <v>4510685.57</v>
      </c>
      <c r="U152" s="507">
        <v>-406.57</v>
      </c>
      <c r="V152" s="510"/>
      <c r="W152" s="510">
        <v>-25790.98</v>
      </c>
      <c r="X152" s="515">
        <v>58.5</v>
      </c>
      <c r="Y152" s="518">
        <v>0.8</v>
      </c>
      <c r="Z152" s="519">
        <v>884</v>
      </c>
      <c r="AA152" s="588"/>
      <c r="AB152" s="524"/>
      <c r="AC152" s="337">
        <f>AB152/VPI!R152</f>
        <v>0</v>
      </c>
      <c r="AD152" s="339">
        <f t="shared" si="10"/>
        <v>0</v>
      </c>
      <c r="AE152" s="337">
        <f>AD152/VPI!R152</f>
        <v>0</v>
      </c>
      <c r="AF152" s="524"/>
      <c r="AG152" s="524"/>
      <c r="AH152" s="524"/>
      <c r="AI152" s="589"/>
      <c r="AJ152" s="519"/>
      <c r="AK152" s="337">
        <f>AJ152/VPI!R152</f>
        <v>0</v>
      </c>
      <c r="AL152" s="339">
        <f t="shared" si="11"/>
        <v>0</v>
      </c>
      <c r="AM152" s="337">
        <f>AL152/VPI!R152</f>
        <v>0</v>
      </c>
      <c r="AN152" s="519"/>
      <c r="AO152" s="589"/>
      <c r="AP152" s="532">
        <v>36.263701440119178</v>
      </c>
      <c r="AR152" s="591">
        <v>0</v>
      </c>
    </row>
    <row r="153" spans="1:44" x14ac:dyDescent="0.25">
      <c r="A153" s="586">
        <v>5654</v>
      </c>
      <c r="B153" s="587" t="s">
        <v>180</v>
      </c>
      <c r="C153" s="505">
        <v>1169645.44</v>
      </c>
      <c r="D153" s="505">
        <v>257708.72</v>
      </c>
      <c r="E153" s="505"/>
      <c r="F153" s="506"/>
      <c r="G153" s="505">
        <v>14576.6</v>
      </c>
      <c r="H153" s="505">
        <v>259.60000000000002</v>
      </c>
      <c r="I153" s="505"/>
      <c r="J153" s="505">
        <v>25957.38</v>
      </c>
      <c r="K153" s="505">
        <v>1821.5</v>
      </c>
      <c r="L153" s="505">
        <v>115215.45</v>
      </c>
      <c r="M153" s="384">
        <f t="shared" si="8"/>
        <v>1585184.69</v>
      </c>
      <c r="N153" s="510">
        <v>6384.2</v>
      </c>
      <c r="O153" s="510"/>
      <c r="P153" s="510">
        <v>42271.3</v>
      </c>
      <c r="Q153" s="510"/>
      <c r="R153" s="510">
        <v>36996.6</v>
      </c>
      <c r="S153" s="505">
        <v>1537.37</v>
      </c>
      <c r="T153" s="384">
        <f t="shared" si="9"/>
        <v>1672374.1600000001</v>
      </c>
      <c r="U153" s="507">
        <v>-10079.64</v>
      </c>
      <c r="V153" s="510"/>
      <c r="W153" s="510">
        <v>-315.85000000000002</v>
      </c>
      <c r="X153" s="515">
        <v>76</v>
      </c>
      <c r="Y153" s="518">
        <v>1</v>
      </c>
      <c r="Z153" s="519">
        <v>562</v>
      </c>
      <c r="AA153" s="588"/>
      <c r="AB153" s="524">
        <v>17916</v>
      </c>
      <c r="AC153" s="337">
        <f>AB153/VPI!R153</f>
        <v>0.86379055324811294</v>
      </c>
      <c r="AD153" s="339">
        <f t="shared" si="10"/>
        <v>85537</v>
      </c>
      <c r="AE153" s="337">
        <f>AD153/VPI!R153</f>
        <v>4.1240261527787361</v>
      </c>
      <c r="AF153" s="524">
        <v>103453</v>
      </c>
      <c r="AG153" s="524">
        <f>50086-17107</f>
        <v>32979</v>
      </c>
      <c r="AH153" s="524">
        <v>88997</v>
      </c>
      <c r="AI153" s="589"/>
      <c r="AJ153" s="519">
        <v>0</v>
      </c>
      <c r="AK153" s="337">
        <f>AJ153/VPI!R153</f>
        <v>0</v>
      </c>
      <c r="AL153" s="339">
        <f t="shared" si="11"/>
        <v>2070</v>
      </c>
      <c r="AM153" s="337">
        <f>AL153/VPI!R153</f>
        <v>9.9801654678700252E-2</v>
      </c>
      <c r="AN153" s="519">
        <v>2070</v>
      </c>
      <c r="AO153" s="589"/>
      <c r="AP153" s="532">
        <v>21.578998159587083</v>
      </c>
      <c r="AR153" s="591">
        <v>0</v>
      </c>
    </row>
    <row r="154" spans="1:44" x14ac:dyDescent="0.25">
      <c r="A154" s="586">
        <v>5655</v>
      </c>
      <c r="B154" s="587" t="s">
        <v>181</v>
      </c>
      <c r="C154" s="505">
        <v>4397172.7</v>
      </c>
      <c r="D154" s="505">
        <v>830661.18</v>
      </c>
      <c r="E154" s="505"/>
      <c r="F154" s="506"/>
      <c r="G154" s="505">
        <v>28080.75</v>
      </c>
      <c r="H154" s="505">
        <v>36530.800000000003</v>
      </c>
      <c r="I154" s="505">
        <v>66010.45</v>
      </c>
      <c r="J154" s="505">
        <v>68413.63</v>
      </c>
      <c r="K154" s="505">
        <v>11954.3</v>
      </c>
      <c r="L154" s="505">
        <v>444149</v>
      </c>
      <c r="M154" s="384">
        <f t="shared" si="8"/>
        <v>5882972.8099999996</v>
      </c>
      <c r="N154" s="510">
        <v>90461.05</v>
      </c>
      <c r="O154" s="510">
        <v>80505.3</v>
      </c>
      <c r="P154" s="510">
        <v>258895.4</v>
      </c>
      <c r="Q154" s="510">
        <v>-1151.07</v>
      </c>
      <c r="R154" s="510">
        <v>296444.2</v>
      </c>
      <c r="S154" s="505">
        <v>6695.24</v>
      </c>
      <c r="T154" s="384">
        <f t="shared" si="9"/>
        <v>6614822.9299999997</v>
      </c>
      <c r="U154" s="507">
        <v>-57546.9</v>
      </c>
      <c r="V154" s="510"/>
      <c r="W154" s="510">
        <v>-4584.29</v>
      </c>
      <c r="X154" s="515">
        <v>71.5</v>
      </c>
      <c r="Y154" s="518">
        <v>1</v>
      </c>
      <c r="Z154" s="519">
        <v>1513</v>
      </c>
      <c r="AA154" s="588"/>
      <c r="AB154" s="524"/>
      <c r="AC154" s="337">
        <f>AB154/VPI!R154</f>
        <v>0</v>
      </c>
      <c r="AD154" s="339">
        <f t="shared" si="10"/>
        <v>0</v>
      </c>
      <c r="AE154" s="337">
        <f>AD154/VPI!R154</f>
        <v>0</v>
      </c>
      <c r="AF154" s="524"/>
      <c r="AG154" s="524"/>
      <c r="AH154" s="524"/>
      <c r="AI154" s="595"/>
      <c r="AJ154" s="519"/>
      <c r="AK154" s="337">
        <f>AJ154/VPI!R154</f>
        <v>0</v>
      </c>
      <c r="AL154" s="339">
        <f t="shared" si="11"/>
        <v>0</v>
      </c>
      <c r="AM154" s="337">
        <f>AL154/VPI!R154</f>
        <v>0</v>
      </c>
      <c r="AN154" s="519"/>
      <c r="AO154" s="595"/>
      <c r="AP154" s="532">
        <v>28.145046226083728</v>
      </c>
      <c r="AR154" s="591">
        <v>0</v>
      </c>
    </row>
    <row r="155" spans="1:44" x14ac:dyDescent="0.25">
      <c r="A155" s="586">
        <v>5656</v>
      </c>
      <c r="B155" s="587" t="s">
        <v>394</v>
      </c>
      <c r="C155" s="505">
        <v>9174404.1999999993</v>
      </c>
      <c r="D155" s="505">
        <v>1616901.09</v>
      </c>
      <c r="E155" s="505"/>
      <c r="F155" s="505"/>
      <c r="G155" s="505">
        <v>175624.2</v>
      </c>
      <c r="H155" s="505">
        <v>121297.65</v>
      </c>
      <c r="I155" s="505">
        <v>113352.09</v>
      </c>
      <c r="J155" s="505">
        <v>249232.87</v>
      </c>
      <c r="K155" s="505">
        <v>29945.5</v>
      </c>
      <c r="L155" s="505">
        <v>885531.1</v>
      </c>
      <c r="M155" s="384">
        <f t="shared" si="8"/>
        <v>12366288.699999997</v>
      </c>
      <c r="N155" s="505">
        <v>56090.15</v>
      </c>
      <c r="O155" s="505">
        <v>203223.7</v>
      </c>
      <c r="P155" s="505">
        <v>573714.94999999995</v>
      </c>
      <c r="Q155" s="505">
        <v>19360.830000000002</v>
      </c>
      <c r="R155" s="505">
        <v>403873.65</v>
      </c>
      <c r="S155" s="505">
        <v>30767.88</v>
      </c>
      <c r="T155" s="384">
        <f t="shared" si="9"/>
        <v>13653319.859999998</v>
      </c>
      <c r="U155" s="505">
        <v>-155731.18</v>
      </c>
      <c r="V155" s="505"/>
      <c r="W155" s="505">
        <v>-13161.42</v>
      </c>
      <c r="X155" s="505">
        <v>72.5</v>
      </c>
      <c r="Y155" s="520">
        <v>1</v>
      </c>
      <c r="Z155" s="519">
        <v>4257</v>
      </c>
      <c r="AA155" s="505"/>
      <c r="AB155" s="525">
        <v>255664</v>
      </c>
      <c r="AC155" s="337">
        <f>AB155/VPI!R155</f>
        <v>1.5134192653250076</v>
      </c>
      <c r="AD155" s="339">
        <f t="shared" si="10"/>
        <v>1319846</v>
      </c>
      <c r="AE155" s="337">
        <f>AD155/VPI!R155</f>
        <v>7.8129121177097671</v>
      </c>
      <c r="AF155" s="525">
        <v>1575510</v>
      </c>
      <c r="AG155" s="525">
        <v>409582</v>
      </c>
      <c r="AH155" s="525">
        <v>590073</v>
      </c>
      <c r="AI155" s="592"/>
      <c r="AJ155" s="505">
        <v>0</v>
      </c>
      <c r="AK155" s="337">
        <f>AJ155/VPI!R155</f>
        <v>0</v>
      </c>
      <c r="AL155" s="339">
        <f t="shared" si="11"/>
        <v>258516</v>
      </c>
      <c r="AM155" s="337">
        <f>AL155/VPI!R155</f>
        <v>1.5303018602335865</v>
      </c>
      <c r="AN155" s="525">
        <v>258516</v>
      </c>
      <c r="AO155" s="592"/>
      <c r="AP155" s="532">
        <v>20.022984666186463</v>
      </c>
      <c r="AQ155" s="505"/>
      <c r="AR155" s="591">
        <v>0</v>
      </c>
    </row>
    <row r="156" spans="1:44" x14ac:dyDescent="0.25">
      <c r="A156" s="586">
        <v>5661</v>
      </c>
      <c r="B156" s="587" t="s">
        <v>182</v>
      </c>
      <c r="C156" s="505">
        <v>670331.80000000005</v>
      </c>
      <c r="D156" s="505">
        <v>48847.24</v>
      </c>
      <c r="E156" s="505"/>
      <c r="F156" s="506"/>
      <c r="G156" s="505">
        <v>9229.9500000000007</v>
      </c>
      <c r="H156" s="505">
        <v>-56.75</v>
      </c>
      <c r="I156" s="505"/>
      <c r="J156" s="505">
        <v>13189.56</v>
      </c>
      <c r="K156" s="505">
        <v>555</v>
      </c>
      <c r="L156" s="505">
        <v>60017</v>
      </c>
      <c r="M156" s="384">
        <f t="shared" si="8"/>
        <v>802113.8</v>
      </c>
      <c r="N156" s="510">
        <v>20927.2</v>
      </c>
      <c r="O156" s="510"/>
      <c r="P156" s="510">
        <v>11146.05</v>
      </c>
      <c r="Q156" s="510"/>
      <c r="R156" s="510">
        <v>3087.8</v>
      </c>
      <c r="S156" s="505">
        <v>950.56</v>
      </c>
      <c r="T156" s="384">
        <f t="shared" si="9"/>
        <v>838225.41000000015</v>
      </c>
      <c r="U156" s="507">
        <v>-15944.9</v>
      </c>
      <c r="V156" s="510"/>
      <c r="W156" s="510">
        <v>0</v>
      </c>
      <c r="X156" s="515">
        <v>71.5</v>
      </c>
      <c r="Y156" s="518">
        <v>1</v>
      </c>
      <c r="Z156" s="519">
        <v>383</v>
      </c>
      <c r="AA156" s="588"/>
      <c r="AB156" s="524">
        <v>1084</v>
      </c>
      <c r="AC156" s="337">
        <f>AB156/VPI!R156</f>
        <v>9.8467899650200488E-2</v>
      </c>
      <c r="AD156" s="339">
        <f t="shared" si="10"/>
        <v>44558</v>
      </c>
      <c r="AE156" s="337">
        <f>AD156/VPI!R156</f>
        <v>4.0475393658797358</v>
      </c>
      <c r="AF156" s="524">
        <v>45642</v>
      </c>
      <c r="AG156" s="524">
        <v>14161</v>
      </c>
      <c r="AH156" s="524">
        <v>32670</v>
      </c>
      <c r="AI156" s="595"/>
      <c r="AJ156" s="519">
        <v>0</v>
      </c>
      <c r="AK156" s="337">
        <f>AJ156/VPI!R156</f>
        <v>0</v>
      </c>
      <c r="AL156" s="339">
        <f t="shared" si="11"/>
        <v>26107</v>
      </c>
      <c r="AM156" s="337">
        <f>AL156/VPI!R156</f>
        <v>2.3714958082728637</v>
      </c>
      <c r="AN156" s="519">
        <v>26107</v>
      </c>
      <c r="AO156" s="595"/>
      <c r="AP156" s="532">
        <v>15.782859895277332</v>
      </c>
      <c r="AR156" s="591">
        <v>0</v>
      </c>
    </row>
    <row r="157" spans="1:44" x14ac:dyDescent="0.25">
      <c r="A157" s="586">
        <v>5663</v>
      </c>
      <c r="B157" s="587" t="s">
        <v>183</v>
      </c>
      <c r="C157" s="505">
        <v>431649.94</v>
      </c>
      <c r="D157" s="505">
        <v>32952.43</v>
      </c>
      <c r="E157" s="505"/>
      <c r="F157" s="506">
        <v>1330</v>
      </c>
      <c r="G157" s="505">
        <v>-3080.25</v>
      </c>
      <c r="H157" s="505">
        <v>849.9</v>
      </c>
      <c r="I157" s="505"/>
      <c r="J157" s="505">
        <v>7475.8</v>
      </c>
      <c r="K157" s="505">
        <v>325.2</v>
      </c>
      <c r="L157" s="505">
        <v>33423.15</v>
      </c>
      <c r="M157" s="384">
        <f t="shared" si="8"/>
        <v>504926.17000000004</v>
      </c>
      <c r="N157" s="510">
        <v>0</v>
      </c>
      <c r="O157" s="510"/>
      <c r="P157" s="510">
        <v>14083.3</v>
      </c>
      <c r="Q157" s="510">
        <v>12732.51</v>
      </c>
      <c r="R157" s="510">
        <v>27199.45</v>
      </c>
      <c r="S157" s="505">
        <v>0</v>
      </c>
      <c r="T157" s="384">
        <f t="shared" si="9"/>
        <v>558941.42999999993</v>
      </c>
      <c r="U157" s="507">
        <v>-10255.459999999999</v>
      </c>
      <c r="V157" s="510"/>
      <c r="W157" s="510">
        <v>0</v>
      </c>
      <c r="X157" s="515">
        <v>78.5</v>
      </c>
      <c r="Y157" s="518">
        <v>1</v>
      </c>
      <c r="Z157" s="519">
        <v>246</v>
      </c>
      <c r="AA157" s="588"/>
      <c r="AB157" s="524">
        <v>0</v>
      </c>
      <c r="AC157" s="337">
        <f>AB157/VPI!R157</f>
        <v>0</v>
      </c>
      <c r="AD157" s="339">
        <f t="shared" si="10"/>
        <v>23422</v>
      </c>
      <c r="AE157" s="337">
        <f>AD157/VPI!R157</f>
        <v>3.6236013638226416</v>
      </c>
      <c r="AF157" s="524">
        <v>23422</v>
      </c>
      <c r="AG157" s="524">
        <v>9007</v>
      </c>
      <c r="AH157" s="524">
        <v>15572</v>
      </c>
      <c r="AI157" s="595"/>
      <c r="AJ157" s="519">
        <v>0</v>
      </c>
      <c r="AK157" s="337">
        <f>AJ157/VPI!R157</f>
        <v>0</v>
      </c>
      <c r="AL157" s="339">
        <f t="shared" si="11"/>
        <v>2192</v>
      </c>
      <c r="AM157" s="337">
        <f>AL157/VPI!R157</f>
        <v>0.33912279862946076</v>
      </c>
      <c r="AN157" s="519">
        <v>2192</v>
      </c>
      <c r="AO157" s="595"/>
      <c r="AP157" s="532">
        <v>-2.0987217282806907</v>
      </c>
      <c r="AR157" s="591">
        <v>0</v>
      </c>
    </row>
    <row r="158" spans="1:44" x14ac:dyDescent="0.25">
      <c r="A158" s="586">
        <v>5665</v>
      </c>
      <c r="B158" s="587" t="s">
        <v>85</v>
      </c>
      <c r="C158" s="505">
        <v>306165.69</v>
      </c>
      <c r="D158" s="505">
        <v>57579.12</v>
      </c>
      <c r="E158" s="505"/>
      <c r="F158" s="506"/>
      <c r="G158" s="505">
        <v>3297.35</v>
      </c>
      <c r="H158" s="505">
        <v>29.9</v>
      </c>
      <c r="I158" s="505"/>
      <c r="J158" s="505">
        <v>9616.44</v>
      </c>
      <c r="K158" s="505">
        <v>54.5</v>
      </c>
      <c r="L158" s="505">
        <v>28565.4</v>
      </c>
      <c r="M158" s="384">
        <f t="shared" si="8"/>
        <v>405308.4</v>
      </c>
      <c r="N158" s="510">
        <v>0</v>
      </c>
      <c r="O158" s="510"/>
      <c r="P158" s="510">
        <v>21230</v>
      </c>
      <c r="Q158" s="510">
        <v>120.89</v>
      </c>
      <c r="R158" s="510">
        <v>31269.8</v>
      </c>
      <c r="S158" s="505">
        <v>344.77</v>
      </c>
      <c r="T158" s="384">
        <f t="shared" si="9"/>
        <v>458273.86000000004</v>
      </c>
      <c r="U158" s="507">
        <v>-717.74</v>
      </c>
      <c r="V158" s="510"/>
      <c r="W158" s="510">
        <v>0</v>
      </c>
      <c r="X158" s="515">
        <v>70</v>
      </c>
      <c r="Y158" s="518">
        <v>1</v>
      </c>
      <c r="Z158" s="519">
        <v>218</v>
      </c>
      <c r="AA158" s="588"/>
      <c r="AB158" s="524">
        <v>7427</v>
      </c>
      <c r="AC158" s="337">
        <f>AB158/VPI!R158</f>
        <v>1.2835005265440615</v>
      </c>
      <c r="AD158" s="339">
        <f t="shared" si="10"/>
        <v>16725</v>
      </c>
      <c r="AE158" s="337">
        <f>AD158/VPI!R158</f>
        <v>2.8903388052308374</v>
      </c>
      <c r="AF158" s="524">
        <v>24152</v>
      </c>
      <c r="AG158" s="524">
        <v>8474</v>
      </c>
      <c r="AH158" s="524">
        <v>12776</v>
      </c>
      <c r="AI158" s="595"/>
      <c r="AJ158" s="519">
        <v>0</v>
      </c>
      <c r="AK158" s="337">
        <f>AJ158/VPI!R158</f>
        <v>0</v>
      </c>
      <c r="AL158" s="339">
        <f t="shared" si="11"/>
        <v>39355</v>
      </c>
      <c r="AM158" s="337">
        <f>AL158/VPI!R158</f>
        <v>6.8011529853428767</v>
      </c>
      <c r="AN158" s="519">
        <v>39355</v>
      </c>
      <c r="AO158" s="595"/>
      <c r="AP158" s="532">
        <v>3.3981301616507307</v>
      </c>
      <c r="AR158" s="591">
        <v>0</v>
      </c>
    </row>
    <row r="159" spans="1:44" x14ac:dyDescent="0.25">
      <c r="A159" s="586">
        <v>5669</v>
      </c>
      <c r="B159" s="587" t="s">
        <v>86</v>
      </c>
      <c r="C159" s="505">
        <v>452736.12</v>
      </c>
      <c r="D159" s="505">
        <v>118446.49</v>
      </c>
      <c r="E159" s="505"/>
      <c r="F159" s="506"/>
      <c r="G159" s="505">
        <v>-166.650000000001</v>
      </c>
      <c r="H159" s="505">
        <v>507.15</v>
      </c>
      <c r="I159" s="505"/>
      <c r="J159" s="505">
        <v>2535.21</v>
      </c>
      <c r="K159" s="505">
        <v>255.7</v>
      </c>
      <c r="L159" s="505">
        <v>24204.400000000001</v>
      </c>
      <c r="M159" s="384">
        <f t="shared" si="8"/>
        <v>598518.41999999993</v>
      </c>
      <c r="N159" s="510">
        <v>0</v>
      </c>
      <c r="O159" s="510"/>
      <c r="P159" s="510">
        <v>535.70000000000005</v>
      </c>
      <c r="Q159" s="510"/>
      <c r="R159" s="510">
        <v>9814.35</v>
      </c>
      <c r="S159" s="505">
        <v>35.29</v>
      </c>
      <c r="T159" s="384">
        <f t="shared" si="9"/>
        <v>608903.75999999989</v>
      </c>
      <c r="U159" s="507">
        <v>-7428.06</v>
      </c>
      <c r="V159" s="510"/>
      <c r="W159" s="510">
        <v>-84.3</v>
      </c>
      <c r="X159" s="515">
        <v>73</v>
      </c>
      <c r="Y159" s="518">
        <v>0.5</v>
      </c>
      <c r="Z159" s="519">
        <v>294</v>
      </c>
      <c r="AA159" s="588"/>
      <c r="AB159" s="524">
        <v>-4386</v>
      </c>
      <c r="AC159" s="337">
        <f>AB159/VPI!R159</f>
        <v>-0.52040668302056547</v>
      </c>
      <c r="AD159" s="339">
        <f t="shared" si="10"/>
        <v>27110</v>
      </c>
      <c r="AE159" s="337">
        <f>AD159/VPI!R159</f>
        <v>3.2166496070879003</v>
      </c>
      <c r="AF159" s="524">
        <v>22724</v>
      </c>
      <c r="AG159" s="524">
        <v>22596</v>
      </c>
      <c r="AH159" s="524">
        <v>16768</v>
      </c>
      <c r="AI159" s="595"/>
      <c r="AJ159" s="519">
        <v>0</v>
      </c>
      <c r="AK159" s="337">
        <f>AJ159/VPI!R159</f>
        <v>0</v>
      </c>
      <c r="AL159" s="339">
        <f t="shared" si="11"/>
        <v>514</v>
      </c>
      <c r="AM159" s="337">
        <f>AL159/VPI!R159</f>
        <v>6.0987012100449309E-2</v>
      </c>
      <c r="AN159" s="519">
        <v>514</v>
      </c>
      <c r="AO159" s="595"/>
      <c r="AP159" s="532">
        <v>16.826130399731479</v>
      </c>
      <c r="AR159" s="591">
        <v>0</v>
      </c>
    </row>
    <row r="160" spans="1:44" x14ac:dyDescent="0.25">
      <c r="A160" s="586">
        <v>5671</v>
      </c>
      <c r="B160" s="587" t="s">
        <v>87</v>
      </c>
      <c r="C160" s="505">
        <v>422994.22</v>
      </c>
      <c r="D160" s="505">
        <v>58901.78</v>
      </c>
      <c r="E160" s="505"/>
      <c r="F160" s="506">
        <v>2150</v>
      </c>
      <c r="G160" s="505">
        <v>6157.3</v>
      </c>
      <c r="H160" s="505">
        <v>29.15</v>
      </c>
      <c r="I160" s="505">
        <v>0</v>
      </c>
      <c r="J160" s="505">
        <v>4571.75</v>
      </c>
      <c r="K160" s="505">
        <v>223.5</v>
      </c>
      <c r="L160" s="505">
        <v>34982.800000000003</v>
      </c>
      <c r="M160" s="384">
        <f t="shared" si="8"/>
        <v>530010.5</v>
      </c>
      <c r="N160" s="510">
        <v>3329.85</v>
      </c>
      <c r="O160" s="510"/>
      <c r="P160" s="510">
        <v>9900</v>
      </c>
      <c r="Q160" s="510">
        <v>5400.68</v>
      </c>
      <c r="R160" s="510">
        <v>6610.7</v>
      </c>
      <c r="S160" s="505">
        <v>641.05999999999995</v>
      </c>
      <c r="T160" s="384">
        <f t="shared" si="9"/>
        <v>555892.79</v>
      </c>
      <c r="U160" s="507">
        <v>-9450.3799999999992</v>
      </c>
      <c r="V160" s="510"/>
      <c r="W160" s="510">
        <v>0</v>
      </c>
      <c r="X160" s="515">
        <v>78</v>
      </c>
      <c r="Y160" s="518">
        <v>1</v>
      </c>
      <c r="Z160" s="519">
        <v>248</v>
      </c>
      <c r="AA160" s="588"/>
      <c r="AB160" s="524">
        <v>0</v>
      </c>
      <c r="AC160" s="337">
        <f>AB160/VPI!R160</f>
        <v>0</v>
      </c>
      <c r="AD160" s="339">
        <f t="shared" si="10"/>
        <v>44126</v>
      </c>
      <c r="AE160" s="337">
        <f>AD160/VPI!R160</f>
        <v>6.5359207048755961</v>
      </c>
      <c r="AF160" s="524">
        <v>44126</v>
      </c>
      <c r="AG160" s="524">
        <v>9390</v>
      </c>
      <c r="AH160" s="524">
        <v>14726</v>
      </c>
      <c r="AI160" s="595"/>
      <c r="AJ160" s="519">
        <v>0</v>
      </c>
      <c r="AK160" s="337">
        <f>AJ160/VPI!R160</f>
        <v>0</v>
      </c>
      <c r="AL160" s="339">
        <f t="shared" si="11"/>
        <v>6982</v>
      </c>
      <c r="AM160" s="337">
        <f>AL160/VPI!R160</f>
        <v>1.0341702932838104</v>
      </c>
      <c r="AN160" s="519">
        <v>6982</v>
      </c>
      <c r="AO160" s="595"/>
      <c r="AP160" s="532">
        <v>7.0291652322730283</v>
      </c>
      <c r="AR160" s="591">
        <v>0</v>
      </c>
    </row>
    <row r="161" spans="1:44" x14ac:dyDescent="0.25">
      <c r="A161" s="586">
        <v>5673</v>
      </c>
      <c r="B161" s="587" t="s">
        <v>88</v>
      </c>
      <c r="C161" s="505">
        <v>590014.69999999995</v>
      </c>
      <c r="D161" s="505">
        <v>67317.119999999995</v>
      </c>
      <c r="E161" s="505"/>
      <c r="F161" s="506">
        <v>2240</v>
      </c>
      <c r="G161" s="505">
        <v>3846.1</v>
      </c>
      <c r="H161" s="505">
        <v>899.65</v>
      </c>
      <c r="I161" s="505"/>
      <c r="J161" s="505">
        <v>-165.79</v>
      </c>
      <c r="K161" s="505">
        <v>408</v>
      </c>
      <c r="L161" s="505">
        <v>29513.1</v>
      </c>
      <c r="M161" s="384">
        <f t="shared" si="8"/>
        <v>694072.87999999989</v>
      </c>
      <c r="N161" s="510">
        <v>12176</v>
      </c>
      <c r="O161" s="510">
        <v>4727.7</v>
      </c>
      <c r="P161" s="510">
        <v>36408.85</v>
      </c>
      <c r="Q161" s="510">
        <v>2579.54</v>
      </c>
      <c r="R161" s="510">
        <v>17638.400000000001</v>
      </c>
      <c r="S161" s="505">
        <v>491.77</v>
      </c>
      <c r="T161" s="384">
        <f t="shared" si="9"/>
        <v>768095.1399999999</v>
      </c>
      <c r="U161" s="507">
        <v>-5636.18</v>
      </c>
      <c r="V161" s="510"/>
      <c r="W161" s="510">
        <v>-74.55</v>
      </c>
      <c r="X161" s="515">
        <v>73.5</v>
      </c>
      <c r="Y161" s="518">
        <v>0.6</v>
      </c>
      <c r="Z161" s="519">
        <v>374</v>
      </c>
      <c r="AA161" s="588"/>
      <c r="AB161" s="524">
        <v>7774</v>
      </c>
      <c r="AC161" s="337">
        <f>AB161/VPI!R161</f>
        <v>0.80351832488769748</v>
      </c>
      <c r="AD161" s="339">
        <f t="shared" si="10"/>
        <v>111840</v>
      </c>
      <c r="AE161" s="337">
        <f>AD161/VPI!R161</f>
        <v>11.559749093830728</v>
      </c>
      <c r="AF161" s="524">
        <v>119614</v>
      </c>
      <c r="AG161" s="524">
        <v>14161</v>
      </c>
      <c r="AH161" s="524">
        <v>22501</v>
      </c>
      <c r="AI161" s="595"/>
      <c r="AJ161" s="519">
        <v>4763</v>
      </c>
      <c r="AK161" s="337">
        <f>AJ161/VPI!R161</f>
        <v>0.49230226156934692</v>
      </c>
      <c r="AL161" s="339">
        <f t="shared" si="11"/>
        <v>25295</v>
      </c>
      <c r="AM161" s="337">
        <f>AL161/VPI!R161</f>
        <v>2.6144836670998592</v>
      </c>
      <c r="AN161" s="519">
        <v>30058</v>
      </c>
      <c r="AO161" s="595"/>
      <c r="AP161" s="532">
        <v>11.350019286679249</v>
      </c>
      <c r="AR161" s="591">
        <v>0</v>
      </c>
    </row>
    <row r="162" spans="1:44" x14ac:dyDescent="0.25">
      <c r="A162" s="586">
        <v>5674</v>
      </c>
      <c r="B162" s="587" t="s">
        <v>89</v>
      </c>
      <c r="C162" s="505">
        <v>194148.82</v>
      </c>
      <c r="D162" s="505">
        <v>50592.11</v>
      </c>
      <c r="E162" s="505"/>
      <c r="F162" s="506"/>
      <c r="G162" s="505">
        <v>242.05</v>
      </c>
      <c r="H162" s="505">
        <v>101.7</v>
      </c>
      <c r="I162" s="505"/>
      <c r="J162" s="505">
        <v>122.21</v>
      </c>
      <c r="K162" s="505">
        <v>64.099999999999994</v>
      </c>
      <c r="L162" s="505">
        <v>14836.5</v>
      </c>
      <c r="M162" s="384">
        <f t="shared" si="8"/>
        <v>260107.49</v>
      </c>
      <c r="N162" s="510">
        <v>0</v>
      </c>
      <c r="O162" s="510"/>
      <c r="P162" s="510">
        <v>16742</v>
      </c>
      <c r="Q162" s="510"/>
      <c r="R162" s="510">
        <v>21208.15</v>
      </c>
      <c r="S162" s="505">
        <v>35.619999999999997</v>
      </c>
      <c r="T162" s="384">
        <f t="shared" si="9"/>
        <v>298093.26</v>
      </c>
      <c r="U162" s="507">
        <v>-943.13</v>
      </c>
      <c r="V162" s="510"/>
      <c r="W162" s="510">
        <v>-137.80000000000001</v>
      </c>
      <c r="X162" s="515">
        <v>75</v>
      </c>
      <c r="Y162" s="518">
        <v>0.7</v>
      </c>
      <c r="Z162" s="519">
        <v>143</v>
      </c>
      <c r="AA162" s="588"/>
      <c r="AB162" s="524">
        <v>17729</v>
      </c>
      <c r="AC162" s="337">
        <f>AB162/VPI!R162</f>
        <v>5.0096887702947637</v>
      </c>
      <c r="AD162" s="339">
        <f t="shared" si="10"/>
        <v>22691</v>
      </c>
      <c r="AE162" s="337">
        <f>AD162/VPI!R162</f>
        <v>6.4118025769506737</v>
      </c>
      <c r="AF162" s="524">
        <v>40420</v>
      </c>
      <c r="AG162" s="524">
        <v>5573</v>
      </c>
      <c r="AH162" s="524">
        <v>7925</v>
      </c>
      <c r="AI162" s="595"/>
      <c r="AJ162" s="519">
        <v>0</v>
      </c>
      <c r="AK162" s="337">
        <f>AJ162/VPI!R162</f>
        <v>0</v>
      </c>
      <c r="AL162" s="339">
        <f t="shared" si="11"/>
        <v>382</v>
      </c>
      <c r="AM162" s="337">
        <f>AL162/VPI!R162</f>
        <v>0.10794185291063228</v>
      </c>
      <c r="AN162" s="519">
        <v>382</v>
      </c>
      <c r="AO162" s="595"/>
      <c r="AP162" s="532">
        <v>12.74395299978449</v>
      </c>
      <c r="AR162" s="591">
        <v>0</v>
      </c>
    </row>
    <row r="163" spans="1:44" x14ac:dyDescent="0.25">
      <c r="A163" s="586">
        <v>5675</v>
      </c>
      <c r="B163" s="587" t="s">
        <v>90</v>
      </c>
      <c r="C163" s="505">
        <v>4742451.54</v>
      </c>
      <c r="D163" s="505">
        <v>520599.03</v>
      </c>
      <c r="E163" s="505"/>
      <c r="F163" s="506"/>
      <c r="G163" s="505">
        <v>298182.7</v>
      </c>
      <c r="H163" s="505">
        <v>36584.449999999997</v>
      </c>
      <c r="I163" s="505"/>
      <c r="J163" s="505">
        <v>280868.17</v>
      </c>
      <c r="K163" s="505">
        <v>58545</v>
      </c>
      <c r="L163" s="505">
        <v>735280.6</v>
      </c>
      <c r="M163" s="384">
        <f t="shared" si="8"/>
        <v>6672511.4900000002</v>
      </c>
      <c r="N163" s="510">
        <v>34660.699999999997</v>
      </c>
      <c r="O163" s="510">
        <v>23520.1</v>
      </c>
      <c r="P163" s="510">
        <v>412395.7</v>
      </c>
      <c r="Q163" s="510">
        <v>38604.35</v>
      </c>
      <c r="R163" s="510">
        <v>326555.84999999998</v>
      </c>
      <c r="S163" s="505">
        <v>34689.519999999997</v>
      </c>
      <c r="T163" s="384">
        <f t="shared" si="9"/>
        <v>7542937.709999999</v>
      </c>
      <c r="U163" s="507">
        <v>-227428.09</v>
      </c>
      <c r="V163" s="510"/>
      <c r="W163" s="510">
        <v>-1963.57</v>
      </c>
      <c r="X163" s="515">
        <v>69.5</v>
      </c>
      <c r="Y163" s="518">
        <v>1.1000000000000001</v>
      </c>
      <c r="Z163" s="519">
        <v>4420</v>
      </c>
      <c r="AA163" s="588"/>
      <c r="AB163" s="524">
        <v>355358</v>
      </c>
      <c r="AC163" s="337">
        <f>AB163/VPI!R163</f>
        <v>3.8293065995389028</v>
      </c>
      <c r="AD163" s="339">
        <f t="shared" si="10"/>
        <v>553795</v>
      </c>
      <c r="AE163" s="337">
        <f>AD163/VPI!R163</f>
        <v>5.9676462842869631</v>
      </c>
      <c r="AF163" s="524">
        <v>909153</v>
      </c>
      <c r="AG163" s="524">
        <v>417283</v>
      </c>
      <c r="AH163" s="524">
        <v>302775</v>
      </c>
      <c r="AI163" s="595"/>
      <c r="AJ163" s="519">
        <v>-685</v>
      </c>
      <c r="AK163" s="337">
        <f>AJ163/VPI!R163</f>
        <v>-7.3814998415236144E-3</v>
      </c>
      <c r="AL163" s="339">
        <f t="shared" si="11"/>
        <v>46418</v>
      </c>
      <c r="AM163" s="337">
        <f>AL163/VPI!R163</f>
        <v>0.50019629145086586</v>
      </c>
      <c r="AN163" s="519">
        <v>45733</v>
      </c>
      <c r="AO163" s="595"/>
      <c r="AP163" s="532">
        <v>-0.94509619435942138</v>
      </c>
      <c r="AR163" s="591">
        <v>0</v>
      </c>
    </row>
    <row r="164" spans="1:44" x14ac:dyDescent="0.25">
      <c r="A164" s="586">
        <v>5678</v>
      </c>
      <c r="B164" s="587" t="s">
        <v>91</v>
      </c>
      <c r="C164" s="505">
        <v>6675784.1500000004</v>
      </c>
      <c r="D164" s="505">
        <v>737875.74</v>
      </c>
      <c r="E164" s="505"/>
      <c r="F164" s="506">
        <v>35058.9</v>
      </c>
      <c r="G164" s="505">
        <v>788590.5</v>
      </c>
      <c r="H164" s="505">
        <v>17524.650000000001</v>
      </c>
      <c r="I164" s="505"/>
      <c r="J164" s="505">
        <v>443201.87</v>
      </c>
      <c r="K164" s="505">
        <v>45101.55</v>
      </c>
      <c r="L164" s="505">
        <v>894845.5</v>
      </c>
      <c r="M164" s="384">
        <f t="shared" si="8"/>
        <v>9637982.8600000013</v>
      </c>
      <c r="N164" s="510">
        <v>241493.45</v>
      </c>
      <c r="O164" s="510">
        <v>451136</v>
      </c>
      <c r="P164" s="510">
        <v>339572.4</v>
      </c>
      <c r="Q164" s="510">
        <v>106648.87</v>
      </c>
      <c r="R164" s="510">
        <v>208124.75</v>
      </c>
      <c r="S164" s="505">
        <v>83531.94</v>
      </c>
      <c r="T164" s="384">
        <f t="shared" si="9"/>
        <v>11068490.27</v>
      </c>
      <c r="U164" s="507">
        <v>-352863.06</v>
      </c>
      <c r="V164" s="510"/>
      <c r="W164" s="510">
        <v>-2020.57</v>
      </c>
      <c r="X164" s="515">
        <v>72.5</v>
      </c>
      <c r="Y164" s="518">
        <v>1</v>
      </c>
      <c r="Z164" s="519">
        <v>6132</v>
      </c>
      <c r="AA164" s="588"/>
      <c r="AB164" s="524">
        <v>372569</v>
      </c>
      <c r="AC164" s="337">
        <f>AB164/VPI!R164</f>
        <v>2.8513094077180896</v>
      </c>
      <c r="AD164" s="339">
        <f t="shared" si="10"/>
        <v>1430173</v>
      </c>
      <c r="AE164" s="337">
        <f>AD164/VPI!R164</f>
        <v>10.945263104456902</v>
      </c>
      <c r="AF164" s="524">
        <v>1802742</v>
      </c>
      <c r="AG164" s="524">
        <v>583986</v>
      </c>
      <c r="AH164" s="524">
        <v>443088</v>
      </c>
      <c r="AI164" s="595"/>
      <c r="AJ164" s="519">
        <v>0</v>
      </c>
      <c r="AK164" s="337">
        <f>AJ164/VPI!R164</f>
        <v>0</v>
      </c>
      <c r="AL164" s="339">
        <f t="shared" si="11"/>
        <v>92946</v>
      </c>
      <c r="AM164" s="337">
        <f>AL164/VPI!R164</f>
        <v>0.71132543021498185</v>
      </c>
      <c r="AN164" s="519">
        <v>92946</v>
      </c>
      <c r="AO164" s="595"/>
      <c r="AP164" s="532">
        <v>-17.028303687791414</v>
      </c>
      <c r="AR164" s="591">
        <v>0</v>
      </c>
    </row>
    <row r="165" spans="1:44" x14ac:dyDescent="0.25">
      <c r="A165" s="586">
        <v>5680</v>
      </c>
      <c r="B165" s="587" t="s">
        <v>92</v>
      </c>
      <c r="C165" s="505">
        <v>514467.31</v>
      </c>
      <c r="D165" s="505">
        <v>101713.56</v>
      </c>
      <c r="E165" s="505"/>
      <c r="F165" s="506"/>
      <c r="G165" s="505">
        <v>93861.05</v>
      </c>
      <c r="H165" s="505">
        <v>6164.25</v>
      </c>
      <c r="I165" s="505"/>
      <c r="J165" s="505">
        <v>22372.31</v>
      </c>
      <c r="K165" s="505">
        <v>625</v>
      </c>
      <c r="L165" s="505">
        <v>87482.6</v>
      </c>
      <c r="M165" s="384">
        <f t="shared" si="8"/>
        <v>826686.08000000007</v>
      </c>
      <c r="N165" s="510">
        <v>0</v>
      </c>
      <c r="O165" s="510"/>
      <c r="P165" s="510">
        <v>99800.15</v>
      </c>
      <c r="Q165" s="510"/>
      <c r="R165" s="510">
        <v>49643.55</v>
      </c>
      <c r="S165" s="505">
        <v>10364.91</v>
      </c>
      <c r="T165" s="384">
        <f t="shared" si="9"/>
        <v>986494.69000000018</v>
      </c>
      <c r="U165" s="507">
        <v>-20425.57</v>
      </c>
      <c r="V165" s="510"/>
      <c r="W165" s="510">
        <v>0</v>
      </c>
      <c r="X165" s="515">
        <v>78</v>
      </c>
      <c r="Y165" s="518">
        <v>1.5</v>
      </c>
      <c r="Z165" s="519">
        <v>324</v>
      </c>
      <c r="AA165" s="588"/>
      <c r="AB165" s="524">
        <v>31580</v>
      </c>
      <c r="AC165" s="337">
        <f>AB165/VPI!R165</f>
        <v>3.128064608842541</v>
      </c>
      <c r="AD165" s="339">
        <f t="shared" si="10"/>
        <v>20869</v>
      </c>
      <c r="AE165" s="337">
        <f>AD165/VPI!R165</f>
        <v>2.0671178062677322</v>
      </c>
      <c r="AF165" s="524">
        <v>52449</v>
      </c>
      <c r="AG165" s="524">
        <v>15340</v>
      </c>
      <c r="AH165" s="524">
        <v>28267</v>
      </c>
      <c r="AI165" s="595"/>
      <c r="AJ165" s="519">
        <v>0</v>
      </c>
      <c r="AK165" s="337">
        <f>AJ165/VPI!R165</f>
        <v>0</v>
      </c>
      <c r="AL165" s="339">
        <f t="shared" si="11"/>
        <v>15242</v>
      </c>
      <c r="AM165" s="337">
        <f>AL165/VPI!R165</f>
        <v>1.509751765927106</v>
      </c>
      <c r="AN165" s="519">
        <v>15242</v>
      </c>
      <c r="AO165" s="595"/>
      <c r="AP165" s="532">
        <v>7.4209701340456515</v>
      </c>
      <c r="AR165" s="591">
        <v>0</v>
      </c>
    </row>
    <row r="166" spans="1:44" x14ac:dyDescent="0.25">
      <c r="A166" s="586">
        <v>5683</v>
      </c>
      <c r="B166" s="587" t="s">
        <v>93</v>
      </c>
      <c r="C166" s="505">
        <v>310715.03000000003</v>
      </c>
      <c r="D166" s="505">
        <v>17858.580000000002</v>
      </c>
      <c r="E166" s="505"/>
      <c r="F166" s="506"/>
      <c r="G166" s="505">
        <v>4459.2</v>
      </c>
      <c r="H166" s="505">
        <v>487.6</v>
      </c>
      <c r="I166" s="505"/>
      <c r="J166" s="505">
        <v>10522.58</v>
      </c>
      <c r="K166" s="505">
        <v>2220.5</v>
      </c>
      <c r="L166" s="505">
        <v>31663</v>
      </c>
      <c r="M166" s="384">
        <f t="shared" si="8"/>
        <v>377926.49000000005</v>
      </c>
      <c r="N166" s="510">
        <v>0</v>
      </c>
      <c r="O166" s="510"/>
      <c r="P166" s="510">
        <v>11117</v>
      </c>
      <c r="Q166" s="510"/>
      <c r="R166" s="510"/>
      <c r="S166" s="505">
        <v>512.6</v>
      </c>
      <c r="T166" s="384">
        <f t="shared" si="9"/>
        <v>389556.09</v>
      </c>
      <c r="U166" s="507">
        <v>-2777.64</v>
      </c>
      <c r="V166" s="510"/>
      <c r="W166" s="510">
        <v>-0.61</v>
      </c>
      <c r="X166" s="515">
        <v>72.5</v>
      </c>
      <c r="Y166" s="518">
        <v>1</v>
      </c>
      <c r="Z166" s="519">
        <v>220</v>
      </c>
      <c r="AA166" s="588"/>
      <c r="AB166" s="524">
        <v>18000</v>
      </c>
      <c r="AC166" s="337">
        <f>AB166/VPI!R166</f>
        <v>3.4738781928933551</v>
      </c>
      <c r="AD166" s="339">
        <f t="shared" si="10"/>
        <v>-18000</v>
      </c>
      <c r="AE166" s="337">
        <f>AD166/VPI!R166</f>
        <v>-3.4738781928933551</v>
      </c>
      <c r="AF166" s="524">
        <v>0</v>
      </c>
      <c r="AG166" s="524">
        <v>8206</v>
      </c>
      <c r="AH166" s="524">
        <v>13761</v>
      </c>
      <c r="AI166" s="595"/>
      <c r="AJ166" s="519">
        <v>0</v>
      </c>
      <c r="AK166" s="337">
        <f>AJ166/VPI!R166</f>
        <v>0</v>
      </c>
      <c r="AL166" s="339">
        <f t="shared" si="11"/>
        <v>-951</v>
      </c>
      <c r="AM166" s="337">
        <f>AL166/VPI!R166</f>
        <v>-0.18353656452453226</v>
      </c>
      <c r="AN166" s="519">
        <v>-951</v>
      </c>
      <c r="AO166" s="595"/>
      <c r="AP166" s="532">
        <v>7.6477323551855712</v>
      </c>
      <c r="AR166" s="591">
        <v>0</v>
      </c>
    </row>
    <row r="167" spans="1:44" x14ac:dyDescent="0.25">
      <c r="A167" s="586">
        <v>5684</v>
      </c>
      <c r="B167" s="587" t="s">
        <v>94</v>
      </c>
      <c r="C167" s="535">
        <f>376431.95-250000</f>
        <v>126431.95000000001</v>
      </c>
      <c r="D167" s="535">
        <v>123452.14</v>
      </c>
      <c r="E167" s="505"/>
      <c r="F167" s="506"/>
      <c r="G167" s="505">
        <v>1125.25</v>
      </c>
      <c r="H167" s="505">
        <v>9</v>
      </c>
      <c r="I167" s="505"/>
      <c r="J167" s="505">
        <v>12748.25</v>
      </c>
      <c r="K167" s="505"/>
      <c r="L167" s="505">
        <v>10906.1</v>
      </c>
      <c r="M167" s="384">
        <f t="shared" si="8"/>
        <v>274672.69</v>
      </c>
      <c r="N167" s="510">
        <v>0</v>
      </c>
      <c r="O167" s="510"/>
      <c r="P167" s="510">
        <v>2777.5</v>
      </c>
      <c r="Q167" s="510"/>
      <c r="R167" s="510">
        <v>10149.15</v>
      </c>
      <c r="S167" s="505">
        <v>117.54</v>
      </c>
      <c r="T167" s="384">
        <f t="shared" si="9"/>
        <v>287716.88</v>
      </c>
      <c r="U167" s="507">
        <v>-19.18</v>
      </c>
      <c r="V167" s="510"/>
      <c r="W167" s="510">
        <v>0</v>
      </c>
      <c r="X167" s="515">
        <v>75</v>
      </c>
      <c r="Y167" s="518">
        <v>0.8</v>
      </c>
      <c r="Z167" s="519">
        <v>93</v>
      </c>
      <c r="AA167" s="588"/>
      <c r="AB167" s="524">
        <v>0</v>
      </c>
      <c r="AC167" s="337">
        <f>AB167/VPI!R167</f>
        <v>0</v>
      </c>
      <c r="AD167" s="339">
        <f t="shared" si="10"/>
        <v>2227</v>
      </c>
      <c r="AE167" s="337">
        <f>AD167/VPI!R167</f>
        <v>0.60189715171384828</v>
      </c>
      <c r="AF167" s="524">
        <v>2227</v>
      </c>
      <c r="AG167" s="524">
        <v>3549</v>
      </c>
      <c r="AH167" s="524">
        <v>5264</v>
      </c>
      <c r="AI167" s="595"/>
      <c r="AJ167" s="519">
        <v>0</v>
      </c>
      <c r="AK167" s="337">
        <f>AJ167/VPI!R167</f>
        <v>0</v>
      </c>
      <c r="AL167" s="339">
        <f t="shared" si="11"/>
        <v>119</v>
      </c>
      <c r="AM167" s="337">
        <f>AL167/VPI!R167</f>
        <v>3.2162443221350673E-2</v>
      </c>
      <c r="AN167" s="519">
        <v>119</v>
      </c>
      <c r="AO167" s="595"/>
      <c r="AP167" s="532">
        <v>19.968454175444691</v>
      </c>
      <c r="AR167" s="591">
        <v>0</v>
      </c>
    </row>
    <row r="168" spans="1:44" x14ac:dyDescent="0.25">
      <c r="A168" s="586">
        <v>5688</v>
      </c>
      <c r="B168" s="587" t="s">
        <v>95</v>
      </c>
      <c r="C168" s="505">
        <v>234499.7</v>
      </c>
      <c r="D168" s="505">
        <v>60667.35</v>
      </c>
      <c r="E168" s="505"/>
      <c r="F168" s="506"/>
      <c r="G168" s="505">
        <v>6381</v>
      </c>
      <c r="H168" s="505">
        <v>75.95</v>
      </c>
      <c r="I168" s="505"/>
      <c r="J168" s="505">
        <v>16049.15</v>
      </c>
      <c r="K168" s="505">
        <v>105</v>
      </c>
      <c r="L168" s="505">
        <v>24608.3</v>
      </c>
      <c r="M168" s="384">
        <f t="shared" si="8"/>
        <v>342386.45</v>
      </c>
      <c r="N168" s="510">
        <v>925.7</v>
      </c>
      <c r="O168" s="510"/>
      <c r="P168" s="510">
        <v>23595</v>
      </c>
      <c r="Q168" s="510"/>
      <c r="R168" s="510">
        <v>1882.3</v>
      </c>
      <c r="S168" s="505">
        <v>669.08</v>
      </c>
      <c r="T168" s="384">
        <f t="shared" si="9"/>
        <v>369458.53</v>
      </c>
      <c r="U168" s="507">
        <v>-55.55</v>
      </c>
      <c r="V168" s="510"/>
      <c r="W168" s="510">
        <v>0</v>
      </c>
      <c r="X168" s="515">
        <v>65</v>
      </c>
      <c r="Y168" s="518">
        <v>1</v>
      </c>
      <c r="Z168" s="519">
        <v>164</v>
      </c>
      <c r="AA168" s="588"/>
      <c r="AB168" s="524">
        <v>0</v>
      </c>
      <c r="AC168" s="337">
        <f>AB168/VPI!R168</f>
        <v>0</v>
      </c>
      <c r="AD168" s="339">
        <f t="shared" si="10"/>
        <v>32455</v>
      </c>
      <c r="AE168" s="337">
        <f>AD168/VPI!R168</f>
        <v>6.1503647901087337</v>
      </c>
      <c r="AF168" s="524">
        <v>32455</v>
      </c>
      <c r="AG168" s="524">
        <v>9218</v>
      </c>
      <c r="AH168" s="524">
        <v>24718</v>
      </c>
      <c r="AI168" s="595"/>
      <c r="AJ168" s="519">
        <v>0</v>
      </c>
      <c r="AK168" s="337">
        <f>AJ168/VPI!R168</f>
        <v>0</v>
      </c>
      <c r="AL168" s="339">
        <f t="shared" si="11"/>
        <v>4751</v>
      </c>
      <c r="AM168" s="337">
        <f>AL168/VPI!R168</f>
        <v>0.90033532946561678</v>
      </c>
      <c r="AN168" s="519">
        <v>4751</v>
      </c>
      <c r="AO168" s="595"/>
      <c r="AP168" s="532">
        <v>24.464203919015485</v>
      </c>
      <c r="AR168" s="591">
        <v>0</v>
      </c>
    </row>
    <row r="169" spans="1:44" x14ac:dyDescent="0.25">
      <c r="A169" s="586">
        <v>5690</v>
      </c>
      <c r="B169" s="587" t="s">
        <v>96</v>
      </c>
      <c r="C169" s="505">
        <v>241397.32</v>
      </c>
      <c r="D169" s="505">
        <v>37695.870000000003</v>
      </c>
      <c r="E169" s="505"/>
      <c r="F169" s="506">
        <v>800</v>
      </c>
      <c r="G169" s="505">
        <v>999.6</v>
      </c>
      <c r="H169" s="505">
        <v>491.7</v>
      </c>
      <c r="I169" s="505"/>
      <c r="J169" s="505"/>
      <c r="K169" s="505">
        <v>184.1</v>
      </c>
      <c r="L169" s="505">
        <v>25844.9</v>
      </c>
      <c r="M169" s="384">
        <f t="shared" si="8"/>
        <v>307413.49</v>
      </c>
      <c r="N169" s="510">
        <v>0</v>
      </c>
      <c r="O169" s="510">
        <v>75.3</v>
      </c>
      <c r="P169" s="510">
        <v>20713.650000000001</v>
      </c>
      <c r="Q169" s="510"/>
      <c r="R169" s="510">
        <v>13571.55</v>
      </c>
      <c r="S169" s="505">
        <v>154.53</v>
      </c>
      <c r="T169" s="384">
        <f t="shared" si="9"/>
        <v>341928.52</v>
      </c>
      <c r="U169" s="507">
        <v>-65</v>
      </c>
      <c r="V169" s="510"/>
      <c r="W169" s="510">
        <v>0</v>
      </c>
      <c r="X169" s="515">
        <v>70</v>
      </c>
      <c r="Y169" s="518">
        <v>1.2</v>
      </c>
      <c r="Z169" s="519">
        <v>138</v>
      </c>
      <c r="AA169" s="588"/>
      <c r="AB169" s="524"/>
      <c r="AC169" s="337">
        <f>AB169/VPI!R169</f>
        <v>0</v>
      </c>
      <c r="AD169" s="339">
        <f t="shared" si="10"/>
        <v>0</v>
      </c>
      <c r="AE169" s="337">
        <f>AD169/VPI!R169</f>
        <v>0</v>
      </c>
      <c r="AF169" s="524"/>
      <c r="AG169" s="524"/>
      <c r="AH169" s="524"/>
      <c r="AI169" s="595"/>
      <c r="AJ169" s="519"/>
      <c r="AK169" s="337">
        <f>AJ169/VPI!R169</f>
        <v>0</v>
      </c>
      <c r="AL169" s="339">
        <f t="shared" si="11"/>
        <v>0</v>
      </c>
      <c r="AM169" s="337">
        <f>AL169/VPI!R169</f>
        <v>0</v>
      </c>
      <c r="AN169" s="519"/>
      <c r="AO169" s="595"/>
      <c r="AP169" s="532">
        <v>11.107240241538367</v>
      </c>
      <c r="AR169" s="591">
        <v>0</v>
      </c>
    </row>
    <row r="170" spans="1:44" x14ac:dyDescent="0.25">
      <c r="A170" s="586">
        <v>5692</v>
      </c>
      <c r="B170" s="587" t="s">
        <v>97</v>
      </c>
      <c r="C170" s="505">
        <v>1233184.3700000001</v>
      </c>
      <c r="D170" s="505">
        <v>126698.6</v>
      </c>
      <c r="E170" s="505"/>
      <c r="F170" s="506"/>
      <c r="G170" s="505">
        <v>9212.4</v>
      </c>
      <c r="H170" s="505">
        <v>190.65</v>
      </c>
      <c r="I170" s="505"/>
      <c r="J170" s="505">
        <v>6340.52</v>
      </c>
      <c r="K170" s="505">
        <v>3062.05</v>
      </c>
      <c r="L170" s="505">
        <v>111093.4</v>
      </c>
      <c r="M170" s="384">
        <f t="shared" si="8"/>
        <v>1489781.99</v>
      </c>
      <c r="N170" s="510">
        <v>13129.25</v>
      </c>
      <c r="O170" s="510">
        <v>490.7</v>
      </c>
      <c r="P170" s="510">
        <v>86886.25</v>
      </c>
      <c r="Q170" s="510"/>
      <c r="R170" s="510">
        <v>86968.3</v>
      </c>
      <c r="S170" s="505">
        <v>974.37</v>
      </c>
      <c r="T170" s="384">
        <f t="shared" si="9"/>
        <v>1678230.86</v>
      </c>
      <c r="U170" s="507">
        <v>-31726.07</v>
      </c>
      <c r="V170" s="510"/>
      <c r="W170" s="510">
        <v>-19.45</v>
      </c>
      <c r="X170" s="515">
        <v>77</v>
      </c>
      <c r="Y170" s="518">
        <v>1</v>
      </c>
      <c r="Z170" s="519">
        <v>637</v>
      </c>
      <c r="AA170" s="588"/>
      <c r="AB170" s="524">
        <v>5725</v>
      </c>
      <c r="AC170" s="337">
        <f>AB170/VPI!R170</f>
        <v>0.30213963317777676</v>
      </c>
      <c r="AD170" s="339">
        <f t="shared" si="10"/>
        <v>139113</v>
      </c>
      <c r="AE170" s="337">
        <f>AD170/VPI!R170</f>
        <v>7.341755596551975</v>
      </c>
      <c r="AF170" s="524">
        <v>144838</v>
      </c>
      <c r="AG170" s="524">
        <v>35669</v>
      </c>
      <c r="AH170" s="524">
        <v>98474</v>
      </c>
      <c r="AI170" s="595"/>
      <c r="AJ170" s="519">
        <v>0</v>
      </c>
      <c r="AK170" s="337">
        <f>AJ170/VPI!R170</f>
        <v>0</v>
      </c>
      <c r="AL170" s="339">
        <f t="shared" si="11"/>
        <v>22488</v>
      </c>
      <c r="AM170" s="337">
        <f>AL170/VPI!R170</f>
        <v>1.1868150342186627</v>
      </c>
      <c r="AN170" s="519">
        <v>22488</v>
      </c>
      <c r="AO170" s="595"/>
      <c r="AP170" s="532">
        <v>13.745650869158286</v>
      </c>
      <c r="AR170" s="591">
        <v>0</v>
      </c>
    </row>
    <row r="171" spans="1:44" x14ac:dyDescent="0.25">
      <c r="A171" s="586">
        <v>5693</v>
      </c>
      <c r="B171" s="587" t="s">
        <v>353</v>
      </c>
      <c r="C171" s="505">
        <v>4463533.08</v>
      </c>
      <c r="D171" s="505">
        <v>593669.14</v>
      </c>
      <c r="E171" s="505"/>
      <c r="F171" s="506"/>
      <c r="G171" s="505">
        <v>144153.15</v>
      </c>
      <c r="H171" s="505">
        <v>2633.6</v>
      </c>
      <c r="I171" s="505"/>
      <c r="J171" s="505">
        <v>73235.490000000005</v>
      </c>
      <c r="K171" s="505">
        <v>8525.6</v>
      </c>
      <c r="L171" s="505">
        <v>446483.3</v>
      </c>
      <c r="M171" s="384">
        <f t="shared" si="8"/>
        <v>5732233.3599999994</v>
      </c>
      <c r="N171" s="510">
        <v>74880.2</v>
      </c>
      <c r="O171" s="510">
        <v>14579.2</v>
      </c>
      <c r="P171" s="510">
        <v>181968.4</v>
      </c>
      <c r="Q171" s="510">
        <v>3859.79</v>
      </c>
      <c r="R171" s="510">
        <v>199173.4</v>
      </c>
      <c r="S171" s="505">
        <v>15210.46</v>
      </c>
      <c r="T171" s="384">
        <f t="shared" si="9"/>
        <v>6221904.8100000005</v>
      </c>
      <c r="U171" s="507">
        <v>-145624.10999999999</v>
      </c>
      <c r="V171" s="510"/>
      <c r="W171" s="510">
        <v>-345.86</v>
      </c>
      <c r="X171" s="515">
        <v>70</v>
      </c>
      <c r="Y171" s="518">
        <v>1</v>
      </c>
      <c r="Z171" s="519">
        <v>2820</v>
      </c>
      <c r="AA171" s="588"/>
      <c r="AB171" s="524">
        <v>213012</v>
      </c>
      <c r="AC171" s="337">
        <f>AB171/VPI!R171</f>
        <v>2.6601164101268382</v>
      </c>
      <c r="AD171" s="339">
        <f t="shared" si="10"/>
        <v>846450</v>
      </c>
      <c r="AE171" s="337">
        <f>AD171/VPI!R171</f>
        <v>10.570557223780174</v>
      </c>
      <c r="AF171" s="524">
        <v>1059462</v>
      </c>
      <c r="AG171" s="524">
        <v>158478</v>
      </c>
      <c r="AH171" s="524">
        <v>243750</v>
      </c>
      <c r="AI171" s="595"/>
      <c r="AJ171" s="519">
        <v>0</v>
      </c>
      <c r="AK171" s="337">
        <f>AJ171/VPI!R171</f>
        <v>0</v>
      </c>
      <c r="AL171" s="339">
        <f t="shared" si="11"/>
        <v>117913</v>
      </c>
      <c r="AM171" s="337">
        <f>AL171/VPI!R171</f>
        <v>1.4725100288588713</v>
      </c>
      <c r="AN171" s="519">
        <v>117913</v>
      </c>
      <c r="AO171" s="595"/>
      <c r="AP171" s="532">
        <v>7.0915239660645009</v>
      </c>
      <c r="AR171" s="591">
        <v>0</v>
      </c>
    </row>
    <row r="172" spans="1:44" x14ac:dyDescent="0.25">
      <c r="A172" s="586">
        <v>5701</v>
      </c>
      <c r="B172" s="587" t="s">
        <v>98</v>
      </c>
      <c r="C172" s="505">
        <v>564524.76</v>
      </c>
      <c r="D172" s="505">
        <v>183346.98</v>
      </c>
      <c r="E172" s="505"/>
      <c r="F172" s="506"/>
      <c r="G172" s="505">
        <v>2167.1</v>
      </c>
      <c r="H172" s="505">
        <v>1706.05</v>
      </c>
      <c r="I172" s="505">
        <v>65333.35</v>
      </c>
      <c r="J172" s="505">
        <v>22572</v>
      </c>
      <c r="K172" s="505">
        <v>508.25</v>
      </c>
      <c r="L172" s="505">
        <v>74026.600000000006</v>
      </c>
      <c r="M172" s="384">
        <f t="shared" si="8"/>
        <v>914185.09</v>
      </c>
      <c r="N172" s="510">
        <v>1445.9</v>
      </c>
      <c r="O172" s="510">
        <v>321000</v>
      </c>
      <c r="P172" s="510">
        <v>67485</v>
      </c>
      <c r="Q172" s="510"/>
      <c r="R172" s="510">
        <v>22990.85</v>
      </c>
      <c r="S172" s="505">
        <v>401.35</v>
      </c>
      <c r="T172" s="384">
        <f t="shared" si="9"/>
        <v>1327508.1900000002</v>
      </c>
      <c r="U172" s="507">
        <v>-1746.75</v>
      </c>
      <c r="V172" s="510"/>
      <c r="W172" s="510">
        <v>-3065.26</v>
      </c>
      <c r="X172" s="515">
        <v>70</v>
      </c>
      <c r="Y172" s="518">
        <v>1</v>
      </c>
      <c r="Z172" s="519">
        <v>240</v>
      </c>
      <c r="AA172" s="588"/>
      <c r="AB172" s="524"/>
      <c r="AC172" s="337">
        <f>AB172/VPI!R172</f>
        <v>0</v>
      </c>
      <c r="AD172" s="339">
        <f t="shared" si="10"/>
        <v>0</v>
      </c>
      <c r="AE172" s="337">
        <f>AD172/VPI!R172</f>
        <v>0</v>
      </c>
      <c r="AF172" s="524"/>
      <c r="AG172" s="524"/>
      <c r="AH172" s="524"/>
      <c r="AI172" s="595"/>
      <c r="AJ172" s="519"/>
      <c r="AK172" s="337">
        <f>AJ172/VPI!R172</f>
        <v>0</v>
      </c>
      <c r="AL172" s="339">
        <f t="shared" si="11"/>
        <v>0</v>
      </c>
      <c r="AM172" s="337">
        <f>AL172/VPI!R172</f>
        <v>0</v>
      </c>
      <c r="AN172" s="519"/>
      <c r="AO172" s="595"/>
      <c r="AP172" s="532">
        <v>34.214302587639096</v>
      </c>
      <c r="AR172" s="591">
        <v>0</v>
      </c>
    </row>
    <row r="173" spans="1:44" x14ac:dyDescent="0.25">
      <c r="A173" s="586">
        <v>5702</v>
      </c>
      <c r="B173" s="587" t="s">
        <v>352</v>
      </c>
      <c r="C173" s="505">
        <v>8914654.8000000007</v>
      </c>
      <c r="D173" s="505">
        <v>1615259.71</v>
      </c>
      <c r="E173" s="505"/>
      <c r="F173" s="506"/>
      <c r="G173" s="505">
        <v>67748.649999999994</v>
      </c>
      <c r="H173" s="505">
        <v>62512.7</v>
      </c>
      <c r="I173" s="505">
        <v>444158.53</v>
      </c>
      <c r="J173" s="505">
        <v>62657.440000000002</v>
      </c>
      <c r="K173" s="505">
        <v>19238.150000000001</v>
      </c>
      <c r="L173" s="505">
        <v>1298860.8</v>
      </c>
      <c r="M173" s="384">
        <f t="shared" si="8"/>
        <v>12485090.780000001</v>
      </c>
      <c r="N173" s="510">
        <v>82459.899999999994</v>
      </c>
      <c r="O173" s="510">
        <v>272482.5</v>
      </c>
      <c r="P173" s="510">
        <v>789846.55</v>
      </c>
      <c r="Q173" s="510">
        <v>12993.13</v>
      </c>
      <c r="R173" s="510">
        <v>574856.94999999995</v>
      </c>
      <c r="S173" s="505">
        <v>13498.05</v>
      </c>
      <c r="T173" s="384">
        <f t="shared" si="9"/>
        <v>14231227.860000003</v>
      </c>
      <c r="U173" s="507">
        <v>-30015.07</v>
      </c>
      <c r="V173" s="510"/>
      <c r="W173" s="510">
        <v>-17723.080000000002</v>
      </c>
      <c r="X173" s="515">
        <v>64</v>
      </c>
      <c r="Y173" s="518">
        <v>1.5</v>
      </c>
      <c r="Z173" s="519">
        <v>2954</v>
      </c>
      <c r="AA173" s="588"/>
      <c r="AB173" s="524">
        <v>64202</v>
      </c>
      <c r="AC173" s="337">
        <f>AB173/VPI!R173</f>
        <v>0.34153150168261737</v>
      </c>
      <c r="AD173" s="339">
        <f t="shared" si="10"/>
        <v>355502</v>
      </c>
      <c r="AE173" s="337">
        <f>AD173/VPI!R173</f>
        <v>1.8911425175411021</v>
      </c>
      <c r="AF173" s="524">
        <v>419704</v>
      </c>
      <c r="AG173" s="524">
        <v>251338</v>
      </c>
      <c r="AH173" s="524">
        <v>168952</v>
      </c>
      <c r="AI173" s="595"/>
      <c r="AJ173" s="519">
        <v>194949</v>
      </c>
      <c r="AK173" s="337">
        <f>AJ173/VPI!R173</f>
        <v>1.0370584206336964</v>
      </c>
      <c r="AL173" s="339">
        <f t="shared" si="11"/>
        <v>710038</v>
      </c>
      <c r="AM173" s="337">
        <f>AL173/VPI!R173</f>
        <v>3.7771462632273489</v>
      </c>
      <c r="AN173" s="519">
        <v>904987</v>
      </c>
      <c r="AO173" s="595"/>
      <c r="AP173" s="532">
        <v>29.869372124588075</v>
      </c>
      <c r="AR173" s="591">
        <v>0</v>
      </c>
    </row>
    <row r="174" spans="1:44" x14ac:dyDescent="0.25">
      <c r="A174" s="586">
        <v>5703</v>
      </c>
      <c r="B174" s="587" t="s">
        <v>99</v>
      </c>
      <c r="C174" s="505">
        <v>3673051.02</v>
      </c>
      <c r="D174" s="505">
        <v>506795.29</v>
      </c>
      <c r="E174" s="505"/>
      <c r="F174" s="506"/>
      <c r="G174" s="505">
        <v>46013.15</v>
      </c>
      <c r="H174" s="505">
        <v>1184.4000000000001</v>
      </c>
      <c r="I174" s="505"/>
      <c r="J174" s="505">
        <v>182230.27</v>
      </c>
      <c r="K174" s="505">
        <v>250.75</v>
      </c>
      <c r="L174" s="505">
        <v>482086.55</v>
      </c>
      <c r="M174" s="384">
        <f t="shared" si="8"/>
        <v>4891611.43</v>
      </c>
      <c r="N174" s="510">
        <v>43670.25</v>
      </c>
      <c r="O174" s="510">
        <v>42179.1</v>
      </c>
      <c r="P174" s="510">
        <v>260580.45</v>
      </c>
      <c r="Q174" s="510">
        <v>4661.6099999999997</v>
      </c>
      <c r="R174" s="510">
        <v>149753.20000000001</v>
      </c>
      <c r="S174" s="505">
        <v>4890.74</v>
      </c>
      <c r="T174" s="384">
        <f t="shared" si="9"/>
        <v>5397346.7800000003</v>
      </c>
      <c r="U174" s="507">
        <v>-17221.099999999999</v>
      </c>
      <c r="V174" s="510"/>
      <c r="W174" s="510">
        <v>-1754.91</v>
      </c>
      <c r="X174" s="515">
        <v>72.5</v>
      </c>
      <c r="Y174" s="518">
        <v>1.4</v>
      </c>
      <c r="Z174" s="519">
        <v>1478</v>
      </c>
      <c r="AA174" s="588"/>
      <c r="AB174" s="524"/>
      <c r="AC174" s="337">
        <f>AB174/VPI!R174</f>
        <v>0</v>
      </c>
      <c r="AD174" s="339">
        <f t="shared" si="10"/>
        <v>0</v>
      </c>
      <c r="AE174" s="337">
        <f>AD174/VPI!R174</f>
        <v>0</v>
      </c>
      <c r="AF174" s="524"/>
      <c r="AG174" s="524"/>
      <c r="AH174" s="524"/>
      <c r="AI174" s="595"/>
      <c r="AJ174" s="519"/>
      <c r="AK174" s="337">
        <f>AJ174/VPI!R174</f>
        <v>0</v>
      </c>
      <c r="AL174" s="339">
        <f t="shared" si="11"/>
        <v>0</v>
      </c>
      <c r="AM174" s="337">
        <f>AL174/VPI!R174</f>
        <v>0</v>
      </c>
      <c r="AN174" s="519"/>
      <c r="AO174" s="595"/>
      <c r="AP174" s="532">
        <v>26.002017649144221</v>
      </c>
      <c r="AR174" s="591">
        <v>0</v>
      </c>
    </row>
    <row r="175" spans="1:44" x14ac:dyDescent="0.25">
      <c r="A175" s="586">
        <v>5704</v>
      </c>
      <c r="B175" s="587" t="s">
        <v>195</v>
      </c>
      <c r="C175" s="505">
        <v>5387686.04</v>
      </c>
      <c r="D175" s="505">
        <v>1830590.67</v>
      </c>
      <c r="E175" s="505"/>
      <c r="F175" s="506"/>
      <c r="G175" s="505">
        <v>-25930.45</v>
      </c>
      <c r="H175" s="505">
        <v>3973.95</v>
      </c>
      <c r="I175" s="505">
        <v>259453.95</v>
      </c>
      <c r="J175" s="505">
        <v>107342.65</v>
      </c>
      <c r="K175" s="505">
        <v>21403.05</v>
      </c>
      <c r="L175" s="505">
        <v>818307.8</v>
      </c>
      <c r="M175" s="384">
        <f t="shared" si="8"/>
        <v>8402827.6600000001</v>
      </c>
      <c r="N175" s="510">
        <v>16362.45</v>
      </c>
      <c r="O175" s="510">
        <f>1453992.8-1300000</f>
        <v>153992.80000000005</v>
      </c>
      <c r="P175" s="510">
        <f>589700.5-300000</f>
        <v>289700.5</v>
      </c>
      <c r="Q175" s="510">
        <v>550.91999999999996</v>
      </c>
      <c r="R175" s="510">
        <f>577515.8-350000</f>
        <v>227515.80000000005</v>
      </c>
      <c r="S175" s="505">
        <v>0</v>
      </c>
      <c r="T175" s="384">
        <f t="shared" si="9"/>
        <v>9090950.1300000008</v>
      </c>
      <c r="U175" s="507">
        <v>-12433.37</v>
      </c>
      <c r="V175" s="510"/>
      <c r="W175" s="510">
        <v>-7754.07</v>
      </c>
      <c r="X175" s="515">
        <v>62.5</v>
      </c>
      <c r="Y175" s="518">
        <v>1.5</v>
      </c>
      <c r="Z175" s="519">
        <v>1938</v>
      </c>
      <c r="AA175" s="588"/>
      <c r="AB175" s="524">
        <v>247268</v>
      </c>
      <c r="AC175" s="337">
        <f>AB175/VPI!R175</f>
        <v>1.9054804104349752</v>
      </c>
      <c r="AD175" s="339">
        <f t="shared" si="10"/>
        <v>498903</v>
      </c>
      <c r="AE175" s="337">
        <f>AD175/VPI!R175</f>
        <v>3.8446135092581346</v>
      </c>
      <c r="AF175" s="524">
        <v>746171</v>
      </c>
      <c r="AG175" s="524">
        <v>99324</v>
      </c>
      <c r="AH175" s="524">
        <v>178303</v>
      </c>
      <c r="AI175" s="595"/>
      <c r="AJ175" s="519">
        <v>0</v>
      </c>
      <c r="AK175" s="337">
        <f>AJ175/VPI!R175</f>
        <v>0</v>
      </c>
      <c r="AL175" s="339">
        <f t="shared" si="11"/>
        <v>36244</v>
      </c>
      <c r="AM175" s="337">
        <f>AL175/VPI!R175</f>
        <v>0.27930113073994711</v>
      </c>
      <c r="AN175" s="519">
        <v>36244</v>
      </c>
      <c r="AO175" s="595"/>
      <c r="AP175" s="532">
        <v>35.094538502506502</v>
      </c>
      <c r="AR175" s="591">
        <v>0</v>
      </c>
    </row>
    <row r="176" spans="1:44" x14ac:dyDescent="0.25">
      <c r="A176" s="586">
        <v>5705</v>
      </c>
      <c r="B176" s="587" t="s">
        <v>196</v>
      </c>
      <c r="C176" s="505">
        <v>2968645.55</v>
      </c>
      <c r="D176" s="505">
        <v>463052.97</v>
      </c>
      <c r="E176" s="505"/>
      <c r="F176" s="506"/>
      <c r="G176" s="505">
        <v>40875.449999999997</v>
      </c>
      <c r="H176" s="505">
        <v>8309.1</v>
      </c>
      <c r="I176" s="505">
        <v>40643.15</v>
      </c>
      <c r="J176" s="505">
        <v>55908.49</v>
      </c>
      <c r="K176" s="505">
        <v>3484.75</v>
      </c>
      <c r="L176" s="505">
        <v>238427.2</v>
      </c>
      <c r="M176" s="384">
        <f t="shared" si="8"/>
        <v>3819346.66</v>
      </c>
      <c r="N176" s="510">
        <v>50994.15</v>
      </c>
      <c r="O176" s="510">
        <v>9306</v>
      </c>
      <c r="P176" s="510">
        <v>284952.8</v>
      </c>
      <c r="Q176" s="510">
        <v>573.07000000000005</v>
      </c>
      <c r="R176" s="510">
        <v>368957.2</v>
      </c>
      <c r="S176" s="505">
        <v>5096.6400000000003</v>
      </c>
      <c r="T176" s="384">
        <f t="shared" si="9"/>
        <v>4539226.5199999996</v>
      </c>
      <c r="U176" s="507">
        <v>-16935.310000000001</v>
      </c>
      <c r="V176" s="510"/>
      <c r="W176" s="510">
        <v>-5341.23</v>
      </c>
      <c r="X176" s="515">
        <v>74.5</v>
      </c>
      <c r="Y176" s="518">
        <v>1</v>
      </c>
      <c r="Z176" s="519">
        <v>923</v>
      </c>
      <c r="AA176" s="588"/>
      <c r="AB176" s="524"/>
      <c r="AC176" s="337">
        <f>AB176/VPI!R176</f>
        <v>0</v>
      </c>
      <c r="AD176" s="339">
        <f t="shared" si="10"/>
        <v>0</v>
      </c>
      <c r="AE176" s="337">
        <f>AD176/VPI!R176</f>
        <v>0</v>
      </c>
      <c r="AF176" s="524"/>
      <c r="AG176" s="524"/>
      <c r="AH176" s="524"/>
      <c r="AI176" s="595"/>
      <c r="AJ176" s="519"/>
      <c r="AK176" s="337">
        <f>AJ176/VPI!R176</f>
        <v>0</v>
      </c>
      <c r="AL176" s="339">
        <f t="shared" si="11"/>
        <v>0</v>
      </c>
      <c r="AM176" s="337">
        <f>AL176/VPI!R176</f>
        <v>0</v>
      </c>
      <c r="AN176" s="519"/>
      <c r="AO176" s="595"/>
      <c r="AP176" s="532">
        <v>32.586714508175007</v>
      </c>
      <c r="AR176" s="591">
        <v>0</v>
      </c>
    </row>
    <row r="177" spans="1:44" x14ac:dyDescent="0.25">
      <c r="A177" s="586">
        <v>5706</v>
      </c>
      <c r="B177" s="587" t="s">
        <v>197</v>
      </c>
      <c r="C177" s="505">
        <f>7368348.47-5000000</f>
        <v>2368348.4699999997</v>
      </c>
      <c r="D177" s="505">
        <v>1196440.28</v>
      </c>
      <c r="E177" s="505"/>
      <c r="F177" s="506"/>
      <c r="G177" s="505">
        <v>24463.1</v>
      </c>
      <c r="H177" s="505">
        <v>4411</v>
      </c>
      <c r="I177" s="505">
        <v>44894.05</v>
      </c>
      <c r="J177" s="505">
        <v>26641.87</v>
      </c>
      <c r="K177" s="505">
        <v>10637.7</v>
      </c>
      <c r="L177" s="505">
        <v>438367.2</v>
      </c>
      <c r="M177" s="384">
        <f t="shared" si="8"/>
        <v>4114203.6700000004</v>
      </c>
      <c r="N177" s="510">
        <v>9334.2000000000007</v>
      </c>
      <c r="O177" s="510">
        <v>75135.199999999997</v>
      </c>
      <c r="P177" s="510">
        <v>216715.4</v>
      </c>
      <c r="Q177" s="510"/>
      <c r="R177" s="510">
        <v>97050.7</v>
      </c>
      <c r="S177" s="505">
        <v>2992.02</v>
      </c>
      <c r="T177" s="384">
        <f t="shared" si="9"/>
        <v>4515431.1900000004</v>
      </c>
      <c r="U177" s="507">
        <v>-17075.64</v>
      </c>
      <c r="V177" s="510"/>
      <c r="W177" s="510">
        <v>-13118.28</v>
      </c>
      <c r="X177" s="515">
        <v>57</v>
      </c>
      <c r="Y177" s="518">
        <v>1.5</v>
      </c>
      <c r="Z177" s="519">
        <v>1131</v>
      </c>
      <c r="AA177" s="588"/>
      <c r="AB177" s="524"/>
      <c r="AC177" s="337">
        <f>AB177/VPI!R177</f>
        <v>0</v>
      </c>
      <c r="AD177" s="339">
        <f t="shared" si="10"/>
        <v>0</v>
      </c>
      <c r="AE177" s="337">
        <f>AD177/VPI!R177</f>
        <v>0</v>
      </c>
      <c r="AF177" s="524"/>
      <c r="AG177" s="524"/>
      <c r="AH177" s="524"/>
      <c r="AI177" s="595"/>
      <c r="AJ177" s="519"/>
      <c r="AK177" s="337">
        <f>AJ177/VPI!R177</f>
        <v>0</v>
      </c>
      <c r="AL177" s="339">
        <f t="shared" si="11"/>
        <v>0</v>
      </c>
      <c r="AM177" s="337">
        <f>AL177/VPI!R177</f>
        <v>0</v>
      </c>
      <c r="AN177" s="519"/>
      <c r="AO177" s="595"/>
      <c r="AP177" s="532">
        <v>32.121816323060955</v>
      </c>
      <c r="AR177" s="591">
        <v>0</v>
      </c>
    </row>
    <row r="178" spans="1:44" x14ac:dyDescent="0.25">
      <c r="A178" s="586">
        <v>5707</v>
      </c>
      <c r="B178" s="587" t="s">
        <v>198</v>
      </c>
      <c r="C178" s="505">
        <v>3234382.12</v>
      </c>
      <c r="D178" s="505">
        <v>488573.77</v>
      </c>
      <c r="E178" s="505"/>
      <c r="F178" s="506"/>
      <c r="G178" s="505">
        <v>588093.5</v>
      </c>
      <c r="H178" s="505">
        <v>11720.55</v>
      </c>
      <c r="I178" s="505">
        <v>31747.15</v>
      </c>
      <c r="J178" s="505">
        <v>68265.009999999995</v>
      </c>
      <c r="K178" s="505">
        <v>69453.600000000006</v>
      </c>
      <c r="L178" s="505">
        <v>743914.55</v>
      </c>
      <c r="M178" s="384">
        <f t="shared" si="8"/>
        <v>5236150.25</v>
      </c>
      <c r="N178" s="510">
        <v>677002.4</v>
      </c>
      <c r="O178" s="510">
        <v>10593</v>
      </c>
      <c r="P178" s="510">
        <v>318330.84999999998</v>
      </c>
      <c r="Q178" s="510">
        <v>2803.59</v>
      </c>
      <c r="R178" s="510">
        <v>319335.5</v>
      </c>
      <c r="S178" s="505">
        <v>62154.43</v>
      </c>
      <c r="T178" s="384">
        <f t="shared" si="9"/>
        <v>6626370.0199999996</v>
      </c>
      <c r="U178" s="507">
        <v>-14652.23</v>
      </c>
      <c r="V178" s="510"/>
      <c r="W178" s="510">
        <v>-4370.3100000000004</v>
      </c>
      <c r="X178" s="515">
        <v>58</v>
      </c>
      <c r="Y178" s="518">
        <v>1.5</v>
      </c>
      <c r="Z178" s="519">
        <v>1314</v>
      </c>
      <c r="AA178" s="588"/>
      <c r="AB178" s="524"/>
      <c r="AC178" s="337">
        <f>AB178/VPI!R178</f>
        <v>0</v>
      </c>
      <c r="AD178" s="339">
        <f t="shared" si="10"/>
        <v>0</v>
      </c>
      <c r="AE178" s="337">
        <f>AD178/VPI!R178</f>
        <v>0</v>
      </c>
      <c r="AF178" s="524"/>
      <c r="AG178" s="524"/>
      <c r="AH178" s="524"/>
      <c r="AI178" s="595"/>
      <c r="AJ178" s="519"/>
      <c r="AK178" s="337">
        <f>AJ178/VPI!R178</f>
        <v>0</v>
      </c>
      <c r="AL178" s="339">
        <f t="shared" si="11"/>
        <v>0</v>
      </c>
      <c r="AM178" s="337">
        <f>AL178/VPI!R178</f>
        <v>0</v>
      </c>
      <c r="AN178" s="519"/>
      <c r="AO178" s="595"/>
      <c r="AP178" s="532">
        <v>33.109162981631222</v>
      </c>
      <c r="AR178" s="591">
        <v>0</v>
      </c>
    </row>
    <row r="179" spans="1:44" x14ac:dyDescent="0.25">
      <c r="A179" s="586">
        <v>5708</v>
      </c>
      <c r="B179" s="587" t="s">
        <v>199</v>
      </c>
      <c r="C179" s="505">
        <v>3538264.84</v>
      </c>
      <c r="D179" s="505">
        <v>813957.27</v>
      </c>
      <c r="E179" s="505"/>
      <c r="F179" s="506"/>
      <c r="G179" s="505">
        <v>98169.2</v>
      </c>
      <c r="H179" s="505">
        <v>1045.55</v>
      </c>
      <c r="I179" s="505"/>
      <c r="J179" s="505">
        <v>39265.82</v>
      </c>
      <c r="K179" s="505">
        <v>12314.3</v>
      </c>
      <c r="L179" s="505">
        <v>444268.79999999999</v>
      </c>
      <c r="M179" s="384">
        <f t="shared" si="8"/>
        <v>4947285.7799999993</v>
      </c>
      <c r="N179" s="510">
        <v>14254.75</v>
      </c>
      <c r="O179" s="510">
        <v>7563.2</v>
      </c>
      <c r="P179" s="510">
        <v>164658.20000000001</v>
      </c>
      <c r="Q179" s="510"/>
      <c r="R179" s="510">
        <v>67084.7</v>
      </c>
      <c r="S179" s="505">
        <v>10280.92</v>
      </c>
      <c r="T179" s="384">
        <f t="shared" si="9"/>
        <v>5211127.55</v>
      </c>
      <c r="U179" s="507">
        <v>-116497.4</v>
      </c>
      <c r="V179" s="510"/>
      <c r="W179" s="510">
        <v>-14207.44</v>
      </c>
      <c r="X179" s="515">
        <v>68</v>
      </c>
      <c r="Y179" s="518">
        <v>1.5</v>
      </c>
      <c r="Z179" s="519">
        <v>1019</v>
      </c>
      <c r="AA179" s="588"/>
      <c r="AB179" s="524"/>
      <c r="AC179" s="337">
        <f>AB179/VPI!R179</f>
        <v>0</v>
      </c>
      <c r="AD179" s="339">
        <f t="shared" si="10"/>
        <v>0</v>
      </c>
      <c r="AE179" s="337">
        <f>AD179/VPI!R179</f>
        <v>0</v>
      </c>
      <c r="AF179" s="524"/>
      <c r="AG179" s="524"/>
      <c r="AH179" s="524"/>
      <c r="AI179" s="595"/>
      <c r="AJ179" s="519"/>
      <c r="AK179" s="337">
        <f>AJ179/VPI!R179</f>
        <v>0</v>
      </c>
      <c r="AL179" s="339">
        <f t="shared" si="11"/>
        <v>0</v>
      </c>
      <c r="AM179" s="337">
        <f>AL179/VPI!R179</f>
        <v>0</v>
      </c>
      <c r="AN179" s="519"/>
      <c r="AO179" s="595"/>
      <c r="AP179" s="532">
        <v>34.775272233245133</v>
      </c>
      <c r="AR179" s="591">
        <v>0</v>
      </c>
    </row>
    <row r="180" spans="1:44" x14ac:dyDescent="0.25">
      <c r="A180" s="586">
        <v>5709</v>
      </c>
      <c r="B180" s="587" t="s">
        <v>200</v>
      </c>
      <c r="C180" s="505">
        <v>3807959.94</v>
      </c>
      <c r="D180" s="505">
        <v>254197.93</v>
      </c>
      <c r="E180" s="505"/>
      <c r="F180" s="506"/>
      <c r="G180" s="505">
        <v>16479.400000000001</v>
      </c>
      <c r="H180" s="505">
        <v>12819.65</v>
      </c>
      <c r="I180" s="505">
        <v>572271.35</v>
      </c>
      <c r="J180" s="505">
        <v>126473.49</v>
      </c>
      <c r="K180" s="505">
        <v>6559.15</v>
      </c>
      <c r="L180" s="505">
        <v>399004.85</v>
      </c>
      <c r="M180" s="384">
        <f t="shared" si="8"/>
        <v>5195765.7599999998</v>
      </c>
      <c r="N180" s="510">
        <v>56721.8</v>
      </c>
      <c r="O180" s="510">
        <v>64875</v>
      </c>
      <c r="P180" s="510">
        <v>265340.45</v>
      </c>
      <c r="Q180" s="510">
        <v>2596.36</v>
      </c>
      <c r="R180" s="510">
        <v>207669.15</v>
      </c>
      <c r="S180" s="505">
        <v>3036.05</v>
      </c>
      <c r="T180" s="384">
        <f t="shared" si="9"/>
        <v>5796004.5700000003</v>
      </c>
      <c r="U180" s="507">
        <v>-12340.81</v>
      </c>
      <c r="V180" s="510"/>
      <c r="W180" s="510">
        <v>-3016.02</v>
      </c>
      <c r="X180" s="515">
        <v>57</v>
      </c>
      <c r="Y180" s="518">
        <v>1</v>
      </c>
      <c r="Z180" s="519">
        <v>1251</v>
      </c>
      <c r="AA180" s="588"/>
      <c r="AB180" s="524">
        <v>143477</v>
      </c>
      <c r="AC180" s="337">
        <f>AB180/VPI!R180</f>
        <v>1.5769617833397367</v>
      </c>
      <c r="AD180" s="339">
        <f t="shared" si="10"/>
        <v>114208</v>
      </c>
      <c r="AE180" s="337">
        <f>AD180/VPI!R180</f>
        <v>1.2552649647794742</v>
      </c>
      <c r="AF180" s="524">
        <v>257685</v>
      </c>
      <c r="AG180" s="524">
        <v>64630</v>
      </c>
      <c r="AH180" s="524">
        <v>147118</v>
      </c>
      <c r="AI180" s="595"/>
      <c r="AJ180" s="519"/>
      <c r="AK180" s="337">
        <f>AJ180/VPI!R180</f>
        <v>0</v>
      </c>
      <c r="AL180" s="339">
        <f t="shared" si="11"/>
        <v>65838</v>
      </c>
      <c r="AM180" s="337">
        <f>AL180/VPI!R180</f>
        <v>0.72362824628004196</v>
      </c>
      <c r="AN180" s="519">
        <v>65838</v>
      </c>
      <c r="AO180" s="595"/>
      <c r="AP180" s="532">
        <v>34.039111914020786</v>
      </c>
      <c r="AR180" s="591">
        <v>0</v>
      </c>
    </row>
    <row r="181" spans="1:44" x14ac:dyDescent="0.25">
      <c r="A181" s="586">
        <v>5710</v>
      </c>
      <c r="B181" s="587" t="s">
        <v>201</v>
      </c>
      <c r="C181" s="505">
        <v>1067199.48</v>
      </c>
      <c r="D181" s="505">
        <v>208128.88</v>
      </c>
      <c r="E181" s="505"/>
      <c r="F181" s="506"/>
      <c r="G181" s="505">
        <v>159934.75</v>
      </c>
      <c r="H181" s="505">
        <v>4697.05</v>
      </c>
      <c r="I181" s="505">
        <v>110957.8</v>
      </c>
      <c r="J181" s="505">
        <v>11943.66</v>
      </c>
      <c r="K181" s="505">
        <v>3534.45</v>
      </c>
      <c r="L181" s="505">
        <v>134861.79999999999</v>
      </c>
      <c r="M181" s="384">
        <f t="shared" si="8"/>
        <v>1701257.8699999999</v>
      </c>
      <c r="N181" s="510">
        <v>42380.65</v>
      </c>
      <c r="O181" s="510"/>
      <c r="P181" s="510">
        <v>134985.65</v>
      </c>
      <c r="Q181" s="510">
        <v>5617.59</v>
      </c>
      <c r="R181" s="510">
        <v>54907.55</v>
      </c>
      <c r="S181" s="505">
        <v>17059.61</v>
      </c>
      <c r="T181" s="384">
        <f t="shared" si="9"/>
        <v>1956208.92</v>
      </c>
      <c r="U181" s="507">
        <v>-6007.97</v>
      </c>
      <c r="V181" s="510"/>
      <c r="W181" s="510">
        <v>-7040.39</v>
      </c>
      <c r="X181" s="515">
        <v>51</v>
      </c>
      <c r="Y181" s="518">
        <v>1</v>
      </c>
      <c r="Z181" s="519">
        <v>499</v>
      </c>
      <c r="AA181" s="588"/>
      <c r="AB181" s="524">
        <v>0</v>
      </c>
      <c r="AC181" s="337">
        <f>AB181/VPI!R181</f>
        <v>0</v>
      </c>
      <c r="AD181" s="339">
        <f t="shared" si="10"/>
        <v>98587</v>
      </c>
      <c r="AE181" s="337">
        <f>AD181/VPI!R181</f>
        <v>2.9387901435040078</v>
      </c>
      <c r="AF181" s="524">
        <v>98587</v>
      </c>
      <c r="AG181" s="524">
        <v>25995</v>
      </c>
      <c r="AH181" s="524">
        <v>45360</v>
      </c>
      <c r="AI181" s="595"/>
      <c r="AJ181" s="519">
        <v>0</v>
      </c>
      <c r="AK181" s="337">
        <f>AJ181/VPI!R181</f>
        <v>0</v>
      </c>
      <c r="AL181" s="339">
        <f t="shared" si="11"/>
        <v>3155</v>
      </c>
      <c r="AM181" s="337">
        <f>AL181/VPI!R181</f>
        <v>9.4047723358608587E-2</v>
      </c>
      <c r="AN181" s="519">
        <v>3155</v>
      </c>
      <c r="AO181" s="595"/>
      <c r="AP181" s="532">
        <v>37.412203084558897</v>
      </c>
      <c r="AR181" s="591">
        <v>0</v>
      </c>
    </row>
    <row r="182" spans="1:44" x14ac:dyDescent="0.25">
      <c r="A182" s="586">
        <v>5711</v>
      </c>
      <c r="B182" s="587" t="s">
        <v>202</v>
      </c>
      <c r="C182" s="505">
        <v>13338996.949999999</v>
      </c>
      <c r="D182" s="505">
        <v>2802778.37</v>
      </c>
      <c r="E182" s="505"/>
      <c r="F182" s="506"/>
      <c r="G182" s="505">
        <v>48894.400000000001</v>
      </c>
      <c r="H182" s="505">
        <v>12501.8</v>
      </c>
      <c r="I182" s="505">
        <v>209185.35</v>
      </c>
      <c r="J182" s="505">
        <v>40295.019999999997</v>
      </c>
      <c r="K182" s="505">
        <v>18240.3</v>
      </c>
      <c r="L182" s="505">
        <v>1274038.5</v>
      </c>
      <c r="M182" s="384">
        <f t="shared" si="8"/>
        <v>17744930.690000001</v>
      </c>
      <c r="N182" s="510">
        <v>27324.400000000001</v>
      </c>
      <c r="O182" s="510"/>
      <c r="P182" s="510">
        <v>1125448.45</v>
      </c>
      <c r="Q182" s="510"/>
      <c r="R182" s="510">
        <v>1238976.95</v>
      </c>
      <c r="S182" s="505">
        <v>6362.05</v>
      </c>
      <c r="T182" s="384">
        <f t="shared" si="9"/>
        <v>20143042.539999999</v>
      </c>
      <c r="U182" s="507">
        <v>-20130.099999999999</v>
      </c>
      <c r="V182" s="510"/>
      <c r="W182" s="510">
        <v>-25925.59</v>
      </c>
      <c r="X182" s="515">
        <v>57</v>
      </c>
      <c r="Y182" s="518">
        <v>1.3</v>
      </c>
      <c r="Z182" s="519">
        <v>2983</v>
      </c>
      <c r="AA182" s="588"/>
      <c r="AB182" s="524"/>
      <c r="AC182" s="337">
        <f>AB182/VPI!R182</f>
        <v>0</v>
      </c>
      <c r="AD182" s="339">
        <f t="shared" si="10"/>
        <v>0</v>
      </c>
      <c r="AE182" s="337">
        <f>AD182/VPI!R182</f>
        <v>0</v>
      </c>
      <c r="AF182" s="524"/>
      <c r="AG182" s="524"/>
      <c r="AH182" s="524"/>
      <c r="AI182" s="595"/>
      <c r="AJ182" s="519"/>
      <c r="AK182" s="337">
        <f>AJ182/VPI!R182</f>
        <v>0</v>
      </c>
      <c r="AL182" s="339">
        <f t="shared" si="11"/>
        <v>0</v>
      </c>
      <c r="AM182" s="337">
        <f>AL182/VPI!R182</f>
        <v>0</v>
      </c>
      <c r="AN182" s="519"/>
      <c r="AO182" s="595"/>
      <c r="AP182" s="532">
        <v>38.090903758697252</v>
      </c>
      <c r="AR182" s="591">
        <v>0</v>
      </c>
    </row>
    <row r="183" spans="1:44" x14ac:dyDescent="0.25">
      <c r="A183" s="586">
        <v>5712</v>
      </c>
      <c r="B183" s="587" t="s">
        <v>203</v>
      </c>
      <c r="C183" s="505">
        <v>13756833.5</v>
      </c>
      <c r="D183" s="505">
        <v>5616364.3600000003</v>
      </c>
      <c r="E183" s="505"/>
      <c r="F183" s="506"/>
      <c r="G183" s="505">
        <v>366036.45</v>
      </c>
      <c r="H183" s="505">
        <v>31657</v>
      </c>
      <c r="I183" s="505">
        <v>1297891.26</v>
      </c>
      <c r="J183" s="505">
        <v>104926.78</v>
      </c>
      <c r="K183" s="505">
        <v>40505.5</v>
      </c>
      <c r="L183" s="505">
        <v>1843404.65</v>
      </c>
      <c r="M183" s="384">
        <f t="shared" si="8"/>
        <v>23057619.5</v>
      </c>
      <c r="N183" s="510">
        <v>171358.1</v>
      </c>
      <c r="O183" s="510">
        <v>993524.4</v>
      </c>
      <c r="P183" s="510">
        <v>1161553.3500000001</v>
      </c>
      <c r="Q183" s="510">
        <v>747.53</v>
      </c>
      <c r="R183" s="510">
        <v>785030.8</v>
      </c>
      <c r="S183" s="505">
        <v>41210.129999999997</v>
      </c>
      <c r="T183" s="384">
        <f t="shared" si="9"/>
        <v>26211043.810000002</v>
      </c>
      <c r="U183" s="507">
        <v>-28182.14</v>
      </c>
      <c r="V183" s="510"/>
      <c r="W183" s="510">
        <v>-49800.53</v>
      </c>
      <c r="X183" s="515">
        <v>53</v>
      </c>
      <c r="Y183" s="518">
        <v>1.5</v>
      </c>
      <c r="Z183" s="519">
        <v>3184</v>
      </c>
      <c r="AA183" s="588"/>
      <c r="AB183" s="524">
        <v>365150</v>
      </c>
      <c r="AC183" s="337">
        <f>AB183/VPI!R183</f>
        <v>0.8636962082474583</v>
      </c>
      <c r="AD183" s="339">
        <f t="shared" si="10"/>
        <v>473473</v>
      </c>
      <c r="AE183" s="337">
        <f>AD183/VPI!R183</f>
        <v>1.1199146509860298</v>
      </c>
      <c r="AF183" s="524">
        <v>838623</v>
      </c>
      <c r="AG183" s="524">
        <v>273854</v>
      </c>
      <c r="AH183" s="524">
        <v>218220</v>
      </c>
      <c r="AI183" s="595"/>
      <c r="AJ183" s="519">
        <v>0</v>
      </c>
      <c r="AK183" s="337">
        <f>AJ183/VPI!R183</f>
        <v>0</v>
      </c>
      <c r="AL183" s="339">
        <f t="shared" si="11"/>
        <v>0</v>
      </c>
      <c r="AM183" s="337">
        <f>AL183/VPI!R183</f>
        <v>0</v>
      </c>
      <c r="AN183" s="519">
        <v>0</v>
      </c>
      <c r="AO183" s="595"/>
      <c r="AP183" s="532">
        <v>39.220881530283933</v>
      </c>
      <c r="AR183" s="591">
        <v>0</v>
      </c>
    </row>
    <row r="184" spans="1:44" x14ac:dyDescent="0.25">
      <c r="A184" s="586">
        <v>5713</v>
      </c>
      <c r="B184" s="587" t="s">
        <v>551</v>
      </c>
      <c r="C184" s="505">
        <v>10159833.470000001</v>
      </c>
      <c r="D184" s="505">
        <v>4650634.74</v>
      </c>
      <c r="E184" s="505"/>
      <c r="F184" s="506"/>
      <c r="G184" s="505">
        <v>41149.1</v>
      </c>
      <c r="H184" s="505">
        <v>22635.4</v>
      </c>
      <c r="I184" s="505">
        <v>736044.95</v>
      </c>
      <c r="J184" s="505">
        <v>310875.25</v>
      </c>
      <c r="K184" s="505">
        <v>23710.65</v>
      </c>
      <c r="L184" s="505">
        <v>900695.9</v>
      </c>
      <c r="M184" s="384">
        <f t="shared" si="8"/>
        <v>16845579.460000001</v>
      </c>
      <c r="N184" s="510">
        <v>38257.35</v>
      </c>
      <c r="O184" s="510">
        <v>200464.8</v>
      </c>
      <c r="P184" s="510">
        <v>737540.45</v>
      </c>
      <c r="Q184" s="510"/>
      <c r="R184" s="510">
        <v>731442.85</v>
      </c>
      <c r="S184" s="505">
        <v>6609.53</v>
      </c>
      <c r="T184" s="384">
        <f t="shared" si="9"/>
        <v>18559894.440000005</v>
      </c>
      <c r="U184" s="507">
        <v>-34553.79</v>
      </c>
      <c r="V184" s="510"/>
      <c r="W184" s="510">
        <v>-45810.239999999998</v>
      </c>
      <c r="X184" s="515">
        <v>59</v>
      </c>
      <c r="Y184" s="518">
        <v>1</v>
      </c>
      <c r="Z184" s="519">
        <v>2357</v>
      </c>
      <c r="AA184" s="588"/>
      <c r="AB184" s="524"/>
      <c r="AC184" s="337">
        <f>AB184/VPI!R184</f>
        <v>0</v>
      </c>
      <c r="AD184" s="339">
        <f t="shared" si="10"/>
        <v>0</v>
      </c>
      <c r="AE184" s="337">
        <f>AD184/VPI!R184</f>
        <v>0</v>
      </c>
      <c r="AF184" s="524"/>
      <c r="AG184" s="524"/>
      <c r="AH184" s="524"/>
      <c r="AI184" s="595"/>
      <c r="AJ184" s="519"/>
      <c r="AK184" s="337">
        <f>AJ184/VPI!R184</f>
        <v>0</v>
      </c>
      <c r="AL184" s="339">
        <f t="shared" si="11"/>
        <v>0</v>
      </c>
      <c r="AM184" s="337">
        <f>AL184/VPI!R184</f>
        <v>0</v>
      </c>
      <c r="AN184" s="519"/>
      <c r="AO184" s="595"/>
      <c r="AP184" s="532">
        <v>43.800586380400361</v>
      </c>
      <c r="AR184" s="591">
        <v>1</v>
      </c>
    </row>
    <row r="185" spans="1:44" x14ac:dyDescent="0.25">
      <c r="A185" s="586">
        <v>5714</v>
      </c>
      <c r="B185" s="587" t="s">
        <v>205</v>
      </c>
      <c r="C185" s="505">
        <v>3115396.74</v>
      </c>
      <c r="D185" s="505">
        <v>547220.93000000005</v>
      </c>
      <c r="E185" s="505"/>
      <c r="F185" s="506"/>
      <c r="G185" s="505">
        <v>30062.85</v>
      </c>
      <c r="H185" s="505">
        <v>5957.3</v>
      </c>
      <c r="I185" s="505">
        <v>136399.54999999999</v>
      </c>
      <c r="J185" s="505">
        <v>15874.79</v>
      </c>
      <c r="K185" s="505">
        <v>6086.2</v>
      </c>
      <c r="L185" s="505">
        <v>305025.65000000002</v>
      </c>
      <c r="M185" s="384">
        <f t="shared" si="8"/>
        <v>4162024.0100000002</v>
      </c>
      <c r="N185" s="510">
        <v>131082.9</v>
      </c>
      <c r="O185" s="510">
        <v>16849.2</v>
      </c>
      <c r="P185" s="510">
        <v>246075.5</v>
      </c>
      <c r="Q185" s="510">
        <v>36357.440000000002</v>
      </c>
      <c r="R185" s="510">
        <v>201165.75</v>
      </c>
      <c r="S185" s="505">
        <v>3732.51</v>
      </c>
      <c r="T185" s="384">
        <f t="shared" si="9"/>
        <v>4797287.3100000005</v>
      </c>
      <c r="U185" s="507">
        <v>-40022.769999999997</v>
      </c>
      <c r="V185" s="510"/>
      <c r="W185" s="510">
        <v>-4233.3599999999997</v>
      </c>
      <c r="X185" s="515">
        <v>66.5</v>
      </c>
      <c r="Y185" s="518">
        <v>1</v>
      </c>
      <c r="Z185" s="519">
        <v>1233</v>
      </c>
      <c r="AA185" s="588"/>
      <c r="AB185" s="524"/>
      <c r="AC185" s="337">
        <f>AB185/VPI!R185</f>
        <v>0</v>
      </c>
      <c r="AD185" s="339">
        <f t="shared" si="10"/>
        <v>0</v>
      </c>
      <c r="AE185" s="337">
        <f>AD185/VPI!R185</f>
        <v>0</v>
      </c>
      <c r="AF185" s="524"/>
      <c r="AG185" s="524"/>
      <c r="AH185" s="524"/>
      <c r="AI185" s="595"/>
      <c r="AJ185" s="519"/>
      <c r="AK185" s="337">
        <f>AJ185/VPI!R185</f>
        <v>0</v>
      </c>
      <c r="AL185" s="339">
        <f t="shared" si="11"/>
        <v>0</v>
      </c>
      <c r="AM185" s="337">
        <f>AL185/VPI!R185</f>
        <v>0</v>
      </c>
      <c r="AN185" s="519"/>
      <c r="AO185" s="595"/>
      <c r="AP185" s="532">
        <v>29.288828675533949</v>
      </c>
      <c r="AR185" s="591">
        <v>0</v>
      </c>
    </row>
    <row r="186" spans="1:44" x14ac:dyDescent="0.25">
      <c r="A186" s="586">
        <v>5715</v>
      </c>
      <c r="B186" s="587" t="s">
        <v>206</v>
      </c>
      <c r="C186" s="505">
        <v>3063645.6</v>
      </c>
      <c r="D186" s="505">
        <v>560054.36</v>
      </c>
      <c r="E186" s="505"/>
      <c r="F186" s="506"/>
      <c r="G186" s="505">
        <v>40781.449999999997</v>
      </c>
      <c r="H186" s="505">
        <v>4891</v>
      </c>
      <c r="I186" s="505"/>
      <c r="J186" s="505">
        <v>49327.61</v>
      </c>
      <c r="K186" s="505">
        <v>7927.5</v>
      </c>
      <c r="L186" s="505">
        <v>294377.59999999998</v>
      </c>
      <c r="M186" s="384">
        <f t="shared" si="8"/>
        <v>4021005.12</v>
      </c>
      <c r="N186" s="510">
        <v>117778.5</v>
      </c>
      <c r="O186" s="510"/>
      <c r="P186" s="510">
        <v>237561.05</v>
      </c>
      <c r="Q186" s="510">
        <v>260.89</v>
      </c>
      <c r="R186" s="510">
        <v>131393.79999999999</v>
      </c>
      <c r="S186" s="505">
        <v>4732.71</v>
      </c>
      <c r="T186" s="384">
        <f t="shared" si="9"/>
        <v>4512732.0699999994</v>
      </c>
      <c r="U186" s="507">
        <v>-27142.51</v>
      </c>
      <c r="V186" s="510"/>
      <c r="W186" s="510">
        <v>-2589</v>
      </c>
      <c r="X186" s="515">
        <v>66</v>
      </c>
      <c r="Y186" s="518">
        <v>1</v>
      </c>
      <c r="Z186" s="519">
        <v>1116</v>
      </c>
      <c r="AA186" s="588"/>
      <c r="AB186" s="524"/>
      <c r="AC186" s="337">
        <f>AB186/VPI!R186</f>
        <v>0</v>
      </c>
      <c r="AD186" s="339">
        <f t="shared" si="10"/>
        <v>0</v>
      </c>
      <c r="AE186" s="337">
        <f>AD186/VPI!R186</f>
        <v>0</v>
      </c>
      <c r="AF186" s="524"/>
      <c r="AG186" s="524"/>
      <c r="AH186" s="524"/>
      <c r="AI186" s="595"/>
      <c r="AJ186" s="519"/>
      <c r="AK186" s="337">
        <f>AJ186/VPI!R186</f>
        <v>0</v>
      </c>
      <c r="AL186" s="339">
        <f t="shared" si="11"/>
        <v>0</v>
      </c>
      <c r="AM186" s="337">
        <f>AL186/VPI!R186</f>
        <v>0</v>
      </c>
      <c r="AN186" s="519"/>
      <c r="AO186" s="595"/>
      <c r="AP186" s="532">
        <v>32.711642654110122</v>
      </c>
      <c r="AR186" s="591">
        <v>0</v>
      </c>
    </row>
    <row r="187" spans="1:44" x14ac:dyDescent="0.25">
      <c r="A187" s="586">
        <v>5716</v>
      </c>
      <c r="B187" s="587" t="s">
        <v>207</v>
      </c>
      <c r="C187" s="505">
        <v>4144968.44</v>
      </c>
      <c r="D187" s="505">
        <v>572818.32999999996</v>
      </c>
      <c r="E187" s="505"/>
      <c r="F187" s="506"/>
      <c r="G187" s="505">
        <v>6450430.8499999996</v>
      </c>
      <c r="H187" s="505">
        <v>814020.05</v>
      </c>
      <c r="I187" s="505"/>
      <c r="J187" s="505">
        <v>228445.41</v>
      </c>
      <c r="K187" s="505">
        <v>177434.5</v>
      </c>
      <c r="L187" s="505">
        <v>715313.1</v>
      </c>
      <c r="M187" s="384">
        <f t="shared" si="8"/>
        <v>13103430.68</v>
      </c>
      <c r="N187" s="510">
        <v>672454.95</v>
      </c>
      <c r="O187" s="510"/>
      <c r="P187" s="510">
        <v>273828.34999999998</v>
      </c>
      <c r="Q187" s="510">
        <v>29452.22</v>
      </c>
      <c r="R187" s="510">
        <v>190442.3</v>
      </c>
      <c r="S187" s="505">
        <v>752763.01</v>
      </c>
      <c r="T187" s="384">
        <f t="shared" si="9"/>
        <v>15022371.51</v>
      </c>
      <c r="U187" s="507">
        <v>-44876.97</v>
      </c>
      <c r="V187" s="510"/>
      <c r="W187" s="510">
        <v>-10034.41</v>
      </c>
      <c r="X187" s="515">
        <v>59.5</v>
      </c>
      <c r="Y187" s="518">
        <v>1</v>
      </c>
      <c r="Z187" s="519">
        <v>1768</v>
      </c>
      <c r="AA187" s="588"/>
      <c r="AB187" s="524"/>
      <c r="AC187" s="337">
        <f>AB187/VPI!R187</f>
        <v>0</v>
      </c>
      <c r="AD187" s="339">
        <f t="shared" si="10"/>
        <v>0</v>
      </c>
      <c r="AE187" s="337">
        <f>AD187/VPI!R187</f>
        <v>0</v>
      </c>
      <c r="AF187" s="524"/>
      <c r="AG187" s="524"/>
      <c r="AH187" s="524"/>
      <c r="AI187" s="595"/>
      <c r="AJ187" s="519"/>
      <c r="AK187" s="337">
        <f>AJ187/VPI!R187</f>
        <v>0</v>
      </c>
      <c r="AL187" s="339">
        <f t="shared" si="11"/>
        <v>0</v>
      </c>
      <c r="AM187" s="337">
        <f>AL187/VPI!R187</f>
        <v>0</v>
      </c>
      <c r="AN187" s="519"/>
      <c r="AO187" s="595"/>
      <c r="AP187" s="532">
        <v>43.480661549341704</v>
      </c>
      <c r="AR187" s="591">
        <v>0</v>
      </c>
    </row>
    <row r="188" spans="1:44" x14ac:dyDescent="0.25">
      <c r="A188" s="586">
        <v>5717</v>
      </c>
      <c r="B188" s="587" t="s">
        <v>208</v>
      </c>
      <c r="C188" s="505">
        <v>13670744.41</v>
      </c>
      <c r="D188" s="505">
        <v>4130747.1</v>
      </c>
      <c r="E188" s="505"/>
      <c r="F188" s="506"/>
      <c r="G188" s="505">
        <v>116885.6</v>
      </c>
      <c r="H188" s="505">
        <v>35862.15</v>
      </c>
      <c r="I188" s="505">
        <v>914819</v>
      </c>
      <c r="J188" s="505">
        <v>436267.91</v>
      </c>
      <c r="K188" s="505">
        <v>47285.5</v>
      </c>
      <c r="L188" s="505">
        <v>1392543.4</v>
      </c>
      <c r="M188" s="384">
        <f t="shared" si="8"/>
        <v>20745155.07</v>
      </c>
      <c r="N188" s="510">
        <v>206504.3</v>
      </c>
      <c r="O188" s="510">
        <v>-7167.7</v>
      </c>
      <c r="P188" s="510">
        <v>1668847.2</v>
      </c>
      <c r="Q188" s="510">
        <v>2961.22</v>
      </c>
      <c r="R188" s="510">
        <f>1958785.4-1200000</f>
        <v>758785.39999999991</v>
      </c>
      <c r="S188" s="505">
        <v>15828.16</v>
      </c>
      <c r="T188" s="384">
        <f t="shared" si="9"/>
        <v>23390913.649999999</v>
      </c>
      <c r="U188" s="507">
        <v>-84608.59</v>
      </c>
      <c r="V188" s="510"/>
      <c r="W188" s="510">
        <v>-69241.279999999999</v>
      </c>
      <c r="X188" s="515">
        <v>57</v>
      </c>
      <c r="Y188" s="518">
        <v>1</v>
      </c>
      <c r="Z188" s="519">
        <v>3763</v>
      </c>
      <c r="AA188" s="588"/>
      <c r="AB188" s="524"/>
      <c r="AC188" s="337">
        <f>AB188/VPI!R188</f>
        <v>0</v>
      </c>
      <c r="AD188" s="339">
        <f t="shared" si="10"/>
        <v>0</v>
      </c>
      <c r="AE188" s="337">
        <f>AD188/VPI!R188</f>
        <v>0</v>
      </c>
      <c r="AF188" s="524"/>
      <c r="AG188" s="524"/>
      <c r="AH188" s="524"/>
      <c r="AI188" s="595"/>
      <c r="AJ188" s="519"/>
      <c r="AK188" s="337">
        <f>AJ188/VPI!R188</f>
        <v>0</v>
      </c>
      <c r="AL188" s="339">
        <f t="shared" si="11"/>
        <v>0</v>
      </c>
      <c r="AM188" s="337">
        <f>AL188/VPI!R188</f>
        <v>0</v>
      </c>
      <c r="AN188" s="519"/>
      <c r="AO188" s="595"/>
      <c r="AP188" s="532">
        <v>39.303120830195375</v>
      </c>
      <c r="AR188" s="591">
        <v>0</v>
      </c>
    </row>
    <row r="189" spans="1:44" x14ac:dyDescent="0.25">
      <c r="A189" s="586">
        <v>5718</v>
      </c>
      <c r="B189" s="587" t="s">
        <v>209</v>
      </c>
      <c r="C189" s="505">
        <v>7845492.9500000002</v>
      </c>
      <c r="D189" s="505">
        <v>1979627.91</v>
      </c>
      <c r="E189" s="505"/>
      <c r="F189" s="506"/>
      <c r="G189" s="505">
        <v>540777.75</v>
      </c>
      <c r="H189" s="505">
        <v>20639.45</v>
      </c>
      <c r="I189" s="505">
        <v>371967.78</v>
      </c>
      <c r="J189" s="505">
        <v>229837.45</v>
      </c>
      <c r="K189" s="505">
        <v>44941.65</v>
      </c>
      <c r="L189" s="505">
        <v>713959.95</v>
      </c>
      <c r="M189" s="384">
        <f t="shared" si="8"/>
        <v>11747244.889999997</v>
      </c>
      <c r="N189" s="510">
        <v>253669.75</v>
      </c>
      <c r="O189" s="510">
        <v>47489.5</v>
      </c>
      <c r="P189" s="510">
        <v>516916.8</v>
      </c>
      <c r="Q189" s="510">
        <v>508.93</v>
      </c>
      <c r="R189" s="510">
        <v>566159.5</v>
      </c>
      <c r="S189" s="505">
        <v>58175.64</v>
      </c>
      <c r="T189" s="384">
        <f t="shared" si="9"/>
        <v>13190165.009999998</v>
      </c>
      <c r="U189" s="507">
        <v>-96453.06</v>
      </c>
      <c r="V189" s="510"/>
      <c r="W189" s="510">
        <v>-11514.28</v>
      </c>
      <c r="X189" s="515">
        <v>55</v>
      </c>
      <c r="Y189" s="518">
        <v>1</v>
      </c>
      <c r="Z189" s="519">
        <v>2026</v>
      </c>
      <c r="AA189" s="588"/>
      <c r="AB189" s="524"/>
      <c r="AC189" s="337">
        <f>AB189/VPI!R189</f>
        <v>0</v>
      </c>
      <c r="AD189" s="339">
        <f t="shared" si="10"/>
        <v>0</v>
      </c>
      <c r="AE189" s="337">
        <f>AD189/VPI!R189</f>
        <v>0</v>
      </c>
      <c r="AF189" s="524"/>
      <c r="AG189" s="524"/>
      <c r="AH189" s="524"/>
      <c r="AI189" s="595"/>
      <c r="AJ189" s="519"/>
      <c r="AK189" s="337">
        <f>AJ189/VPI!R189</f>
        <v>0</v>
      </c>
      <c r="AL189" s="339">
        <f t="shared" si="11"/>
        <v>0</v>
      </c>
      <c r="AM189" s="337">
        <f>AL189/VPI!R189</f>
        <v>0</v>
      </c>
      <c r="AN189" s="519"/>
      <c r="AO189" s="595"/>
      <c r="AP189" s="532">
        <v>38.351972843767683</v>
      </c>
      <c r="AR189" s="591">
        <v>0</v>
      </c>
    </row>
    <row r="190" spans="1:44" x14ac:dyDescent="0.25">
      <c r="A190" s="586">
        <v>5719</v>
      </c>
      <c r="B190" s="587" t="s">
        <v>210</v>
      </c>
      <c r="C190" s="505">
        <v>3978389.04</v>
      </c>
      <c r="D190" s="505">
        <v>2456059.21</v>
      </c>
      <c r="E190" s="505"/>
      <c r="F190" s="506"/>
      <c r="G190" s="505">
        <v>58307.9</v>
      </c>
      <c r="H190" s="505">
        <v>-1083.5</v>
      </c>
      <c r="I190" s="505">
        <v>241425.51</v>
      </c>
      <c r="J190" s="505">
        <v>61880.14</v>
      </c>
      <c r="K190" s="505">
        <v>14154.3</v>
      </c>
      <c r="L190" s="505">
        <v>263491.3</v>
      </c>
      <c r="M190" s="384">
        <f t="shared" si="8"/>
        <v>7072623.8999999994</v>
      </c>
      <c r="N190" s="510">
        <v>56832</v>
      </c>
      <c r="O190" s="510">
        <v>572041.80000000005</v>
      </c>
      <c r="P190" s="510">
        <v>244034.8</v>
      </c>
      <c r="Q190" s="510">
        <v>335.72</v>
      </c>
      <c r="R190" s="510">
        <v>330428.84999999998</v>
      </c>
      <c r="S190" s="505">
        <v>5929.76</v>
      </c>
      <c r="T190" s="384">
        <f t="shared" si="9"/>
        <v>8282226.8299999982</v>
      </c>
      <c r="U190" s="507">
        <v>-51834.44</v>
      </c>
      <c r="V190" s="510"/>
      <c r="W190" s="510">
        <v>-6168.34</v>
      </c>
      <c r="X190" s="515">
        <v>60</v>
      </c>
      <c r="Y190" s="518">
        <v>0.6</v>
      </c>
      <c r="Z190" s="519">
        <v>1270</v>
      </c>
      <c r="AA190" s="588"/>
      <c r="AB190" s="524"/>
      <c r="AC190" s="337">
        <f>AB190/VPI!R190</f>
        <v>0</v>
      </c>
      <c r="AD190" s="339">
        <f t="shared" si="10"/>
        <v>0</v>
      </c>
      <c r="AE190" s="337">
        <f>AD190/VPI!R190</f>
        <v>0</v>
      </c>
      <c r="AF190" s="524"/>
      <c r="AG190" s="524"/>
      <c r="AH190" s="524"/>
      <c r="AI190" s="595"/>
      <c r="AJ190" s="519"/>
      <c r="AK190" s="337">
        <f>AJ190/VPI!R190</f>
        <v>0</v>
      </c>
      <c r="AL190" s="339">
        <f t="shared" si="11"/>
        <v>0</v>
      </c>
      <c r="AM190" s="337">
        <f>AL190/VPI!R190</f>
        <v>0</v>
      </c>
      <c r="AN190" s="519"/>
      <c r="AO190" s="595"/>
      <c r="AP190" s="532">
        <v>44.377644435565514</v>
      </c>
      <c r="AR190" s="591">
        <v>0</v>
      </c>
    </row>
    <row r="191" spans="1:44" x14ac:dyDescent="0.25">
      <c r="A191" s="586">
        <v>5720</v>
      </c>
      <c r="B191" s="587" t="s">
        <v>211</v>
      </c>
      <c r="C191" s="505">
        <v>3706544.99</v>
      </c>
      <c r="D191" s="505">
        <v>1093140.3</v>
      </c>
      <c r="E191" s="505"/>
      <c r="F191" s="506"/>
      <c r="G191" s="505">
        <v>90186.15</v>
      </c>
      <c r="H191" s="505">
        <v>6031.9</v>
      </c>
      <c r="I191" s="505">
        <v>408093.5</v>
      </c>
      <c r="J191" s="505">
        <v>60011.1</v>
      </c>
      <c r="K191" s="505"/>
      <c r="L191" s="505">
        <v>296029.65000000002</v>
      </c>
      <c r="M191" s="384">
        <f t="shared" si="8"/>
        <v>5660037.5900000008</v>
      </c>
      <c r="N191" s="510">
        <v>16911.75</v>
      </c>
      <c r="O191" s="510">
        <v>11880</v>
      </c>
      <c r="P191" s="510">
        <v>317959.65000000002</v>
      </c>
      <c r="Q191" s="510">
        <v>291.77999999999997</v>
      </c>
      <c r="R191" s="510">
        <v>100338.6</v>
      </c>
      <c r="S191" s="505">
        <v>9970.39</v>
      </c>
      <c r="T191" s="384">
        <f t="shared" si="9"/>
        <v>6117389.7600000007</v>
      </c>
      <c r="U191" s="507">
        <v>-5671.59</v>
      </c>
      <c r="V191" s="510"/>
      <c r="W191" s="510">
        <v>-11420.29</v>
      </c>
      <c r="X191" s="515">
        <v>67</v>
      </c>
      <c r="Y191" s="518">
        <v>0.9</v>
      </c>
      <c r="Z191" s="519">
        <v>1024</v>
      </c>
      <c r="AA191" s="588"/>
      <c r="AB191" s="524">
        <v>88587</v>
      </c>
      <c r="AC191" s="337">
        <f>AB191/VPI!R191</f>
        <v>1.043831261126376</v>
      </c>
      <c r="AD191" s="339">
        <f t="shared" si="10"/>
        <v>195989</v>
      </c>
      <c r="AE191" s="337">
        <f>AD191/VPI!R191</f>
        <v>2.3093619271100421</v>
      </c>
      <c r="AF191" s="524">
        <v>284576</v>
      </c>
      <c r="AG191" s="524">
        <v>97853</v>
      </c>
      <c r="AH191" s="524">
        <v>64364</v>
      </c>
      <c r="AI191" s="595"/>
      <c r="AJ191" s="519">
        <v>0</v>
      </c>
      <c r="AK191" s="337">
        <f>AJ191/VPI!R191</f>
        <v>0</v>
      </c>
      <c r="AL191" s="339">
        <f t="shared" si="11"/>
        <v>110471</v>
      </c>
      <c r="AM191" s="337">
        <f>AL191/VPI!R191</f>
        <v>1.3016930615992401</v>
      </c>
      <c r="AN191" s="519">
        <v>110471</v>
      </c>
      <c r="AO191" s="595"/>
      <c r="AP191" s="532">
        <v>36.617540254145005</v>
      </c>
      <c r="AR191" s="591">
        <v>0</v>
      </c>
    </row>
    <row r="192" spans="1:44" x14ac:dyDescent="0.25">
      <c r="A192" s="586">
        <v>5721</v>
      </c>
      <c r="B192" s="587" t="s">
        <v>212</v>
      </c>
      <c r="C192" s="505">
        <v>25571314.77</v>
      </c>
      <c r="D192" s="505">
        <v>5288065.7699999996</v>
      </c>
      <c r="E192" s="505"/>
      <c r="F192" s="506"/>
      <c r="G192" s="505">
        <v>5191647.1500000004</v>
      </c>
      <c r="H192" s="505">
        <v>350231.65</v>
      </c>
      <c r="I192" s="505">
        <v>704264.29</v>
      </c>
      <c r="J192" s="505">
        <v>1106072.03</v>
      </c>
      <c r="K192" s="505">
        <v>549055.4</v>
      </c>
      <c r="L192" s="505">
        <v>3092516.35</v>
      </c>
      <c r="M192" s="384">
        <f t="shared" ref="M192:M254" si="12">SUM(C192:L192)</f>
        <v>41853167.409999996</v>
      </c>
      <c r="N192" s="510">
        <v>2399698.6</v>
      </c>
      <c r="O192" s="510">
        <v>884374.8</v>
      </c>
      <c r="P192" s="510">
        <v>1715929.45</v>
      </c>
      <c r="Q192" s="510">
        <v>72861.02</v>
      </c>
      <c r="R192" s="510">
        <v>1037215.45</v>
      </c>
      <c r="S192" s="505">
        <v>574265.19999999995</v>
      </c>
      <c r="T192" s="384">
        <f t="shared" ref="T192:T254" si="13">SUM(M192:S192)</f>
        <v>48537511.930000007</v>
      </c>
      <c r="U192" s="507">
        <v>-394646.63</v>
      </c>
      <c r="V192" s="510"/>
      <c r="W192" s="510">
        <v>-82432.990000000005</v>
      </c>
      <c r="X192" s="515">
        <v>61</v>
      </c>
      <c r="Y192" s="518">
        <v>1</v>
      </c>
      <c r="Z192" s="519">
        <v>13686</v>
      </c>
      <c r="AA192" s="588"/>
      <c r="AB192" s="524">
        <v>1520156</v>
      </c>
      <c r="AC192" s="337">
        <f>AB192/VPI!R192</f>
        <v>2.2066259848171952</v>
      </c>
      <c r="AD192" s="339">
        <f t="shared" si="10"/>
        <v>1815390</v>
      </c>
      <c r="AE192" s="337">
        <f>AD192/VPI!R192</f>
        <v>2.6351813541355544</v>
      </c>
      <c r="AF192" s="524">
        <v>3335546</v>
      </c>
      <c r="AG192" s="524">
        <v>1080932</v>
      </c>
      <c r="AH192" s="524">
        <v>65479</v>
      </c>
      <c r="AI192" s="595"/>
      <c r="AJ192" s="519">
        <v>0</v>
      </c>
      <c r="AK192" s="337">
        <f>AJ192/VPI!R192</f>
        <v>0</v>
      </c>
      <c r="AL192" s="339">
        <f t="shared" si="11"/>
        <v>35424</v>
      </c>
      <c r="AM192" s="337">
        <f>AL192/VPI!R192</f>
        <v>5.1420721877336484E-2</v>
      </c>
      <c r="AN192" s="519">
        <v>35424</v>
      </c>
      <c r="AO192" s="595"/>
      <c r="AP192" s="532">
        <v>21.86470528127883</v>
      </c>
      <c r="AR192" s="591">
        <v>0</v>
      </c>
    </row>
    <row r="193" spans="1:44" x14ac:dyDescent="0.25">
      <c r="A193" s="586">
        <v>5722</v>
      </c>
      <c r="B193" s="587" t="s">
        <v>213</v>
      </c>
      <c r="C193" s="505">
        <v>989861.44</v>
      </c>
      <c r="D193" s="505">
        <v>190246.47</v>
      </c>
      <c r="E193" s="505"/>
      <c r="F193" s="506"/>
      <c r="G193" s="505">
        <v>3777.65</v>
      </c>
      <c r="H193" s="505">
        <v>4807.7</v>
      </c>
      <c r="I193" s="505"/>
      <c r="J193" s="505">
        <v>14617.75</v>
      </c>
      <c r="K193" s="505">
        <v>7610.1</v>
      </c>
      <c r="L193" s="505">
        <v>94063.05</v>
      </c>
      <c r="M193" s="384">
        <f t="shared" si="12"/>
        <v>1304984.1599999999</v>
      </c>
      <c r="N193" s="510">
        <v>19125.8</v>
      </c>
      <c r="O193" s="510">
        <v>132000</v>
      </c>
      <c r="P193" s="510">
        <v>57277.5</v>
      </c>
      <c r="Q193" s="510">
        <v>2111.5100000000002</v>
      </c>
      <c r="R193" s="510">
        <v>27075.3</v>
      </c>
      <c r="S193" s="505">
        <v>889.64</v>
      </c>
      <c r="T193" s="384">
        <f t="shared" si="13"/>
        <v>1543463.91</v>
      </c>
      <c r="U193" s="507">
        <v>-10329.219999999999</v>
      </c>
      <c r="V193" s="510"/>
      <c r="W193" s="510">
        <v>-1074.82</v>
      </c>
      <c r="X193" s="515">
        <v>62</v>
      </c>
      <c r="Y193" s="518">
        <v>1</v>
      </c>
      <c r="Z193" s="519">
        <v>400</v>
      </c>
      <c r="AA193" s="588"/>
      <c r="AB193" s="524"/>
      <c r="AC193" s="337">
        <f>AB193/VPI!R193</f>
        <v>0</v>
      </c>
      <c r="AD193" s="339">
        <f t="shared" si="10"/>
        <v>0</v>
      </c>
      <c r="AE193" s="337">
        <f>AD193/VPI!R193</f>
        <v>0</v>
      </c>
      <c r="AF193" s="524"/>
      <c r="AG193" s="524"/>
      <c r="AH193" s="524"/>
      <c r="AI193" s="595"/>
      <c r="AJ193" s="519"/>
      <c r="AK193" s="337">
        <f>AJ193/VPI!R193</f>
        <v>0</v>
      </c>
      <c r="AL193" s="339">
        <f t="shared" si="11"/>
        <v>0</v>
      </c>
      <c r="AM193" s="337">
        <f>AL193/VPI!R193</f>
        <v>0</v>
      </c>
      <c r="AN193" s="519"/>
      <c r="AO193" s="595"/>
      <c r="AP193" s="532">
        <v>31.376243486280565</v>
      </c>
      <c r="AR193" s="591">
        <v>0</v>
      </c>
    </row>
    <row r="194" spans="1:44" x14ac:dyDescent="0.25">
      <c r="A194" s="586">
        <v>5723</v>
      </c>
      <c r="B194" s="587" t="s">
        <v>214</v>
      </c>
      <c r="C194" s="505">
        <v>8985345.7200000007</v>
      </c>
      <c r="D194" s="505">
        <v>2148648.9500000002</v>
      </c>
      <c r="E194" s="505"/>
      <c r="F194" s="506"/>
      <c r="G194" s="505">
        <v>151188.65</v>
      </c>
      <c r="H194" s="505">
        <v>33030.9</v>
      </c>
      <c r="I194" s="505">
        <v>811487.35</v>
      </c>
      <c r="J194" s="505">
        <v>116354.42</v>
      </c>
      <c r="K194" s="505">
        <v>48197.35</v>
      </c>
      <c r="L194" s="505">
        <v>912216.75</v>
      </c>
      <c r="M194" s="384">
        <f t="shared" si="12"/>
        <v>13206470.090000002</v>
      </c>
      <c r="N194" s="510">
        <v>212985</v>
      </c>
      <c r="O194" s="510">
        <v>60593.7</v>
      </c>
      <c r="P194" s="510">
        <v>844504.75</v>
      </c>
      <c r="Q194" s="510">
        <v>1682.14</v>
      </c>
      <c r="R194" s="510">
        <v>1077194.45</v>
      </c>
      <c r="S194" s="505">
        <v>19089.349999999999</v>
      </c>
      <c r="T194" s="384">
        <f t="shared" si="13"/>
        <v>15422519.48</v>
      </c>
      <c r="U194" s="507">
        <v>-19160.009999999998</v>
      </c>
      <c r="V194" s="510"/>
      <c r="W194" s="510">
        <v>-12142.06</v>
      </c>
      <c r="X194" s="515">
        <v>52</v>
      </c>
      <c r="Y194" s="518">
        <v>1</v>
      </c>
      <c r="Z194" s="519">
        <v>2226</v>
      </c>
      <c r="AA194" s="588"/>
      <c r="AB194" s="524"/>
      <c r="AC194" s="337">
        <f>AB194/VPI!R194</f>
        <v>0</v>
      </c>
      <c r="AD194" s="339">
        <f t="shared" si="10"/>
        <v>0</v>
      </c>
      <c r="AE194" s="337">
        <f>AD194/VPI!R194</f>
        <v>0</v>
      </c>
      <c r="AF194" s="524"/>
      <c r="AG194" s="524"/>
      <c r="AH194" s="524"/>
      <c r="AI194" s="595"/>
      <c r="AJ194" s="519"/>
      <c r="AK194" s="337">
        <f>AJ194/VPI!R194</f>
        <v>0</v>
      </c>
      <c r="AL194" s="339">
        <f t="shared" si="11"/>
        <v>0</v>
      </c>
      <c r="AM194" s="337">
        <f>AL194/VPI!R194</f>
        <v>0</v>
      </c>
      <c r="AN194" s="519"/>
      <c r="AO194" s="595"/>
      <c r="AP194" s="532">
        <v>40.792027091144277</v>
      </c>
      <c r="AR194" s="591">
        <v>0</v>
      </c>
    </row>
    <row r="195" spans="1:44" x14ac:dyDescent="0.25">
      <c r="A195" s="586">
        <v>5724</v>
      </c>
      <c r="B195" s="587" t="s">
        <v>63</v>
      </c>
      <c r="C195" s="505">
        <v>58442547.340000004</v>
      </c>
      <c r="D195" s="505">
        <v>10647087.76</v>
      </c>
      <c r="E195" s="505"/>
      <c r="F195" s="506"/>
      <c r="G195" s="505">
        <v>9978548.3499999996</v>
      </c>
      <c r="H195" s="505">
        <v>1198758.55</v>
      </c>
      <c r="I195" s="505">
        <v>1715206.94</v>
      </c>
      <c r="J195" s="505">
        <v>3670882.78</v>
      </c>
      <c r="K195" s="505">
        <v>988000.25</v>
      </c>
      <c r="L195" s="505">
        <v>8779052.25</v>
      </c>
      <c r="M195" s="384">
        <f t="shared" si="12"/>
        <v>95420084.219999999</v>
      </c>
      <c r="N195" s="510">
        <v>5455835.7000000002</v>
      </c>
      <c r="O195" s="510">
        <v>1594353.4</v>
      </c>
      <c r="P195" s="510">
        <v>4171563.7</v>
      </c>
      <c r="Q195" s="510">
        <v>96535.7</v>
      </c>
      <c r="R195" s="510">
        <v>2545298.35</v>
      </c>
      <c r="S195" s="505">
        <v>1158224.25</v>
      </c>
      <c r="T195" s="384">
        <f t="shared" si="13"/>
        <v>110441895.32000001</v>
      </c>
      <c r="U195" s="507">
        <v>-715916.12</v>
      </c>
      <c r="V195" s="510"/>
      <c r="W195" s="510">
        <v>-313374.37</v>
      </c>
      <c r="X195" s="515">
        <v>61</v>
      </c>
      <c r="Y195" s="518">
        <v>1.5</v>
      </c>
      <c r="Z195" s="519">
        <v>22461</v>
      </c>
      <c r="AA195" s="588"/>
      <c r="AB195" s="524">
        <v>3024586</v>
      </c>
      <c r="AC195" s="337">
        <f>AB195/VPI!R195</f>
        <v>1.9898763165521529</v>
      </c>
      <c r="AD195" s="339">
        <f t="shared" si="10"/>
        <v>5028598</v>
      </c>
      <c r="AE195" s="337">
        <f>AD195/VPI!R195</f>
        <v>3.308316597928286</v>
      </c>
      <c r="AF195" s="524">
        <v>8053184</v>
      </c>
      <c r="AG195" s="524">
        <v>5937894</v>
      </c>
      <c r="AH195" s="524">
        <v>141464</v>
      </c>
      <c r="AI195" s="595"/>
      <c r="AJ195" s="519">
        <v>13252</v>
      </c>
      <c r="AK195" s="337">
        <f>AJ195/VPI!R195</f>
        <v>8.7184960014194107E-3</v>
      </c>
      <c r="AL195" s="339">
        <f t="shared" si="11"/>
        <v>338126</v>
      </c>
      <c r="AM195" s="337">
        <f>AL195/VPI!R195</f>
        <v>0.22245322811469512</v>
      </c>
      <c r="AN195" s="519">
        <v>351378</v>
      </c>
      <c r="AO195" s="595"/>
      <c r="AP195" s="532">
        <v>23.922691086381352</v>
      </c>
      <c r="AR195" s="591">
        <v>1</v>
      </c>
    </row>
    <row r="196" spans="1:44" x14ac:dyDescent="0.25">
      <c r="A196" s="586">
        <v>5725</v>
      </c>
      <c r="B196" s="587" t="s">
        <v>64</v>
      </c>
      <c r="C196" s="505">
        <v>12366098.279999999</v>
      </c>
      <c r="D196" s="505">
        <v>3684943</v>
      </c>
      <c r="E196" s="505"/>
      <c r="F196" s="506"/>
      <c r="G196" s="505">
        <v>3233734.7</v>
      </c>
      <c r="H196" s="505">
        <v>25939.55</v>
      </c>
      <c r="I196" s="505">
        <v>233253.24</v>
      </c>
      <c r="J196" s="505">
        <v>351423.62</v>
      </c>
      <c r="K196" s="505">
        <v>3441.35</v>
      </c>
      <c r="L196" s="505">
        <v>1717542</v>
      </c>
      <c r="M196" s="384">
        <f t="shared" si="12"/>
        <v>21616375.740000002</v>
      </c>
      <c r="N196" s="510">
        <v>1061787.3999999999</v>
      </c>
      <c r="O196" s="510">
        <v>10830.7</v>
      </c>
      <c r="P196" s="510">
        <v>1205454.45</v>
      </c>
      <c r="Q196" s="510">
        <v>14979.36</v>
      </c>
      <c r="R196" s="510">
        <v>380636.95</v>
      </c>
      <c r="S196" s="505">
        <v>337776.7</v>
      </c>
      <c r="T196" s="384">
        <f t="shared" si="13"/>
        <v>24627841.299999997</v>
      </c>
      <c r="U196" s="507">
        <v>-56734.69</v>
      </c>
      <c r="V196" s="510"/>
      <c r="W196" s="510">
        <v>-31802.03</v>
      </c>
      <c r="X196" s="515">
        <v>55</v>
      </c>
      <c r="Y196" s="518">
        <v>1.4</v>
      </c>
      <c r="Z196" s="519">
        <v>4277</v>
      </c>
      <c r="AA196" s="588"/>
      <c r="AB196" s="524">
        <v>184326</v>
      </c>
      <c r="AC196" s="337">
        <f>AB196/VPI!R196</f>
        <v>0.47395942899417598</v>
      </c>
      <c r="AD196" s="339">
        <f t="shared" si="10"/>
        <v>590831</v>
      </c>
      <c r="AE196" s="337">
        <f>AD196/VPI!R196</f>
        <v>1.519210113559986</v>
      </c>
      <c r="AF196" s="524">
        <v>775157</v>
      </c>
      <c r="AG196" s="524">
        <v>1377594</v>
      </c>
      <c r="AH196" s="524">
        <v>79830</v>
      </c>
      <c r="AI196" s="595"/>
      <c r="AJ196" s="519">
        <v>0</v>
      </c>
      <c r="AK196" s="337">
        <f>AJ196/VPI!R196</f>
        <v>0</v>
      </c>
      <c r="AL196" s="339">
        <f t="shared" si="11"/>
        <v>6758</v>
      </c>
      <c r="AM196" s="337">
        <f>AL196/VPI!R196</f>
        <v>1.7376918183775708E-2</v>
      </c>
      <c r="AN196" s="519">
        <v>6758</v>
      </c>
      <c r="AO196" s="595"/>
      <c r="AP196" s="532">
        <v>35.86261057971484</v>
      </c>
      <c r="AR196" s="591">
        <v>1</v>
      </c>
    </row>
    <row r="197" spans="1:44" x14ac:dyDescent="0.25">
      <c r="A197" s="586">
        <v>5726</v>
      </c>
      <c r="B197" s="587" t="s">
        <v>269</v>
      </c>
      <c r="C197" s="505">
        <v>3412629.2</v>
      </c>
      <c r="D197" s="505">
        <v>701343.99</v>
      </c>
      <c r="E197" s="505"/>
      <c r="F197" s="506"/>
      <c r="G197" s="505">
        <v>54205.3</v>
      </c>
      <c r="H197" s="505">
        <v>1700.5</v>
      </c>
      <c r="I197" s="505"/>
      <c r="J197" s="505">
        <v>22978.07</v>
      </c>
      <c r="K197" s="505">
        <v>3844.55</v>
      </c>
      <c r="L197" s="505">
        <v>283300.25</v>
      </c>
      <c r="M197" s="384">
        <f t="shared" si="12"/>
        <v>4480001.8600000003</v>
      </c>
      <c r="N197" s="510">
        <v>20131.75</v>
      </c>
      <c r="O197" s="510"/>
      <c r="P197" s="510">
        <v>225877.4</v>
      </c>
      <c r="Q197" s="510">
        <v>2449.34</v>
      </c>
      <c r="R197" s="510">
        <v>185455.15</v>
      </c>
      <c r="S197" s="505">
        <v>5793.11</v>
      </c>
      <c r="T197" s="384">
        <f t="shared" si="13"/>
        <v>4919708.6100000013</v>
      </c>
      <c r="U197" s="507">
        <v>-13878.86</v>
      </c>
      <c r="V197" s="510"/>
      <c r="W197" s="510">
        <v>-8116.34</v>
      </c>
      <c r="X197" s="515">
        <v>64</v>
      </c>
      <c r="Y197" s="518">
        <v>1</v>
      </c>
      <c r="Z197" s="519">
        <v>1197</v>
      </c>
      <c r="AA197" s="588"/>
      <c r="AB197" s="524"/>
      <c r="AC197" s="337">
        <f>AB197/VPI!R197</f>
        <v>0</v>
      </c>
      <c r="AD197" s="339">
        <f t="shared" si="10"/>
        <v>0</v>
      </c>
      <c r="AE197" s="337">
        <f>AD197/VPI!R197</f>
        <v>0</v>
      </c>
      <c r="AF197" s="524"/>
      <c r="AG197" s="524"/>
      <c r="AH197" s="524"/>
      <c r="AI197" s="595"/>
      <c r="AJ197" s="519"/>
      <c r="AK197" s="337">
        <f>AJ197/VPI!R197</f>
        <v>0</v>
      </c>
      <c r="AL197" s="339">
        <f t="shared" si="11"/>
        <v>0</v>
      </c>
      <c r="AM197" s="337">
        <f>AL197/VPI!R197</f>
        <v>0</v>
      </c>
      <c r="AN197" s="519"/>
      <c r="AO197" s="595"/>
      <c r="AP197" s="532">
        <v>32.240894069327979</v>
      </c>
      <c r="AR197" s="591">
        <v>0</v>
      </c>
    </row>
    <row r="198" spans="1:44" x14ac:dyDescent="0.25">
      <c r="A198" s="586">
        <v>5727</v>
      </c>
      <c r="B198" s="587" t="s">
        <v>270</v>
      </c>
      <c r="C198" s="505">
        <v>5349244.9800000004</v>
      </c>
      <c r="D198" s="505">
        <v>826426.28</v>
      </c>
      <c r="E198" s="505"/>
      <c r="F198" s="506"/>
      <c r="G198" s="505">
        <v>60444.4</v>
      </c>
      <c r="H198" s="505">
        <v>25859.3</v>
      </c>
      <c r="I198" s="505">
        <v>124144.95</v>
      </c>
      <c r="J198" s="505">
        <v>178037.69</v>
      </c>
      <c r="K198" s="505">
        <v>13925.4</v>
      </c>
      <c r="L198" s="505">
        <v>842917.65</v>
      </c>
      <c r="M198" s="384">
        <f t="shared" si="12"/>
        <v>7421000.6500000022</v>
      </c>
      <c r="N198" s="510">
        <v>188988.35</v>
      </c>
      <c r="O198" s="510">
        <v>138535.20000000001</v>
      </c>
      <c r="P198" s="510">
        <v>603786.55000000005</v>
      </c>
      <c r="Q198" s="510">
        <v>22195.84</v>
      </c>
      <c r="R198" s="510">
        <v>666964.44999999995</v>
      </c>
      <c r="S198" s="505">
        <v>8943.0400000000009</v>
      </c>
      <c r="T198" s="384">
        <f t="shared" si="13"/>
        <v>9050414.0800000001</v>
      </c>
      <c r="U198" s="507">
        <v>-103567.36</v>
      </c>
      <c r="V198" s="510"/>
      <c r="W198" s="510">
        <v>-2496.9699999999998</v>
      </c>
      <c r="X198" s="515">
        <v>66</v>
      </c>
      <c r="Y198" s="518">
        <v>1.5</v>
      </c>
      <c r="Z198" s="519">
        <v>2786</v>
      </c>
      <c r="AA198" s="588"/>
      <c r="AB198" s="524">
        <v>119453</v>
      </c>
      <c r="AC198" s="337">
        <f>AB198/VPI!R198</f>
        <v>1.1158929162904658</v>
      </c>
      <c r="AD198" s="339">
        <f t="shared" si="10"/>
        <v>741033</v>
      </c>
      <c r="AE198" s="337">
        <f>AD198/VPI!R198</f>
        <v>6.9225006943105054</v>
      </c>
      <c r="AF198" s="524">
        <v>860486</v>
      </c>
      <c r="AG198" s="524">
        <v>236163</v>
      </c>
      <c r="AH198" s="524">
        <v>151119</v>
      </c>
      <c r="AI198" s="595"/>
      <c r="AJ198" s="519">
        <v>0</v>
      </c>
      <c r="AK198" s="337">
        <f>AJ198/VPI!R198</f>
        <v>0</v>
      </c>
      <c r="AL198" s="339">
        <f t="shared" si="11"/>
        <v>183736</v>
      </c>
      <c r="AM198" s="337">
        <f>AL198/VPI!R198</f>
        <v>1.7164047857110749</v>
      </c>
      <c r="AN198" s="519">
        <v>183736</v>
      </c>
      <c r="AO198" s="595"/>
      <c r="AP198" s="532">
        <v>20.54549187187175</v>
      </c>
      <c r="AR198" s="591">
        <v>0</v>
      </c>
    </row>
    <row r="199" spans="1:44" x14ac:dyDescent="0.25">
      <c r="A199" s="586">
        <v>5728</v>
      </c>
      <c r="B199" s="587" t="s">
        <v>271</v>
      </c>
      <c r="C199" s="505">
        <v>1283472.83</v>
      </c>
      <c r="D199" s="505">
        <v>219456.74</v>
      </c>
      <c r="E199" s="505"/>
      <c r="F199" s="506"/>
      <c r="G199" s="505">
        <v>1639438.76</v>
      </c>
      <c r="H199" s="505">
        <v>66038.45</v>
      </c>
      <c r="I199" s="505">
        <v>31747.15</v>
      </c>
      <c r="J199" s="505">
        <v>101609.01</v>
      </c>
      <c r="K199" s="505">
        <v>61900.95</v>
      </c>
      <c r="L199" s="505">
        <v>251197</v>
      </c>
      <c r="M199" s="384">
        <f t="shared" si="12"/>
        <v>3654860.89</v>
      </c>
      <c r="N199" s="510">
        <v>185182.65</v>
      </c>
      <c r="O199" s="510"/>
      <c r="P199" s="510">
        <v>173638.15</v>
      </c>
      <c r="Q199" s="510"/>
      <c r="R199" s="510">
        <v>46346.400000000001</v>
      </c>
      <c r="S199" s="505">
        <v>176726.38</v>
      </c>
      <c r="T199" s="384">
        <f t="shared" si="13"/>
        <v>4236754.47</v>
      </c>
      <c r="U199" s="507">
        <v>-4453.88</v>
      </c>
      <c r="V199" s="510"/>
      <c r="W199" s="510">
        <v>-594.04</v>
      </c>
      <c r="X199" s="515">
        <v>58</v>
      </c>
      <c r="Y199" s="518">
        <v>1</v>
      </c>
      <c r="Z199" s="519">
        <v>583</v>
      </c>
      <c r="AA199" s="588"/>
      <c r="AB199" s="524"/>
      <c r="AC199" s="337">
        <f>AB199/VPI!R199</f>
        <v>0</v>
      </c>
      <c r="AD199" s="339">
        <f t="shared" ref="AD199:AD262" si="14">AF199-AB199</f>
        <v>0</v>
      </c>
      <c r="AE199" s="337">
        <f>AD199/VPI!R199</f>
        <v>0</v>
      </c>
      <c r="AF199" s="524"/>
      <c r="AG199" s="524"/>
      <c r="AH199" s="524"/>
      <c r="AI199" s="595"/>
      <c r="AJ199" s="519"/>
      <c r="AK199" s="337">
        <f>AJ199/VPI!R199</f>
        <v>0</v>
      </c>
      <c r="AL199" s="339">
        <f t="shared" ref="AL199:AL262" si="15">AN199-AJ199</f>
        <v>0</v>
      </c>
      <c r="AM199" s="337">
        <f>AL199/VPI!R199</f>
        <v>0</v>
      </c>
      <c r="AN199" s="519"/>
      <c r="AO199" s="595"/>
      <c r="AP199" s="532">
        <v>40.36196574781809</v>
      </c>
      <c r="AR199" s="591">
        <v>0</v>
      </c>
    </row>
    <row r="200" spans="1:44" x14ac:dyDescent="0.25">
      <c r="A200" s="586">
        <v>5729</v>
      </c>
      <c r="B200" s="587" t="s">
        <v>272</v>
      </c>
      <c r="C200" s="505">
        <v>8419079</v>
      </c>
      <c r="D200" s="505">
        <v>1870365.71</v>
      </c>
      <c r="E200" s="505"/>
      <c r="F200" s="506"/>
      <c r="G200" s="505">
        <v>123699.7</v>
      </c>
      <c r="H200" s="505">
        <v>13905.7</v>
      </c>
      <c r="I200" s="505">
        <v>276331.74</v>
      </c>
      <c r="J200" s="505">
        <v>116052.55</v>
      </c>
      <c r="K200" s="505">
        <v>4704.75</v>
      </c>
      <c r="L200" s="505">
        <v>931347.7</v>
      </c>
      <c r="M200" s="384">
        <f t="shared" si="12"/>
        <v>11755486.85</v>
      </c>
      <c r="N200" s="510">
        <v>15753.15</v>
      </c>
      <c r="O200" s="510">
        <v>463555.2</v>
      </c>
      <c r="P200" s="510">
        <v>732120.15</v>
      </c>
      <c r="Q200" s="510">
        <v>1976.72</v>
      </c>
      <c r="R200" s="510">
        <v>614238.15</v>
      </c>
      <c r="S200" s="505">
        <v>14259.07</v>
      </c>
      <c r="T200" s="384">
        <f t="shared" si="13"/>
        <v>13597389.290000001</v>
      </c>
      <c r="U200" s="507">
        <v>-11869.97</v>
      </c>
      <c r="V200" s="510"/>
      <c r="W200" s="510">
        <v>-9829.84</v>
      </c>
      <c r="X200" s="515">
        <v>60.5</v>
      </c>
      <c r="Y200" s="518">
        <v>1.5</v>
      </c>
      <c r="Z200" s="519">
        <v>1720</v>
      </c>
      <c r="AA200" s="588"/>
      <c r="AB200" s="524"/>
      <c r="AC200" s="337">
        <f>AB200/VPI!R200</f>
        <v>0</v>
      </c>
      <c r="AD200" s="339">
        <f t="shared" si="14"/>
        <v>0</v>
      </c>
      <c r="AE200" s="337">
        <f>AD200/VPI!R200</f>
        <v>0</v>
      </c>
      <c r="AF200" s="524"/>
      <c r="AG200" s="524"/>
      <c r="AH200" s="524"/>
      <c r="AI200" s="595"/>
      <c r="AJ200" s="519"/>
      <c r="AK200" s="337">
        <f>AJ200/VPI!R200</f>
        <v>0</v>
      </c>
      <c r="AL200" s="339">
        <f t="shared" si="15"/>
        <v>0</v>
      </c>
      <c r="AM200" s="337">
        <f>AL200/VPI!R200</f>
        <v>0</v>
      </c>
      <c r="AN200" s="519"/>
      <c r="AO200" s="595"/>
      <c r="AP200" s="532">
        <v>40.229881663908074</v>
      </c>
      <c r="AR200" s="591">
        <v>0</v>
      </c>
    </row>
    <row r="201" spans="1:44" x14ac:dyDescent="0.25">
      <c r="A201" s="586">
        <v>5730</v>
      </c>
      <c r="B201" s="587" t="s">
        <v>273</v>
      </c>
      <c r="C201" s="505">
        <v>4782924.18</v>
      </c>
      <c r="D201" s="505">
        <v>1414067.94</v>
      </c>
      <c r="E201" s="505"/>
      <c r="F201" s="506"/>
      <c r="G201" s="505">
        <v>45237.5</v>
      </c>
      <c r="H201" s="505">
        <v>2567.85</v>
      </c>
      <c r="I201" s="505">
        <v>26419.7</v>
      </c>
      <c r="J201" s="505">
        <v>45125.73</v>
      </c>
      <c r="K201" s="505">
        <v>-348.5</v>
      </c>
      <c r="L201" s="505">
        <v>421830.25</v>
      </c>
      <c r="M201" s="384">
        <f t="shared" si="12"/>
        <v>6737824.6499999994</v>
      </c>
      <c r="N201" s="510">
        <v>17011.650000000001</v>
      </c>
      <c r="O201" s="510">
        <v>206939</v>
      </c>
      <c r="P201" s="510">
        <v>556970.44999999995</v>
      </c>
      <c r="Q201" s="510">
        <v>1309.83</v>
      </c>
      <c r="R201" s="510">
        <v>331346.15000000002</v>
      </c>
      <c r="S201" s="505">
        <v>4953.72</v>
      </c>
      <c r="T201" s="384">
        <f t="shared" si="13"/>
        <v>7856355.4500000002</v>
      </c>
      <c r="U201" s="507">
        <v>-831.72</v>
      </c>
      <c r="V201" s="510"/>
      <c r="W201" s="510">
        <v>-51672.72</v>
      </c>
      <c r="X201" s="515">
        <v>55.5</v>
      </c>
      <c r="Y201" s="518">
        <v>0.9</v>
      </c>
      <c r="Z201" s="519">
        <v>1427</v>
      </c>
      <c r="AA201" s="588"/>
      <c r="AB201" s="524"/>
      <c r="AC201" s="337">
        <f>AB201/VPI!R201</f>
        <v>0</v>
      </c>
      <c r="AD201" s="339">
        <f t="shared" si="14"/>
        <v>0</v>
      </c>
      <c r="AE201" s="337">
        <f>AD201/VPI!R201</f>
        <v>0</v>
      </c>
      <c r="AF201" s="524"/>
      <c r="AG201" s="524"/>
      <c r="AH201" s="524"/>
      <c r="AI201" s="595"/>
      <c r="AJ201" s="519"/>
      <c r="AK201" s="337">
        <f>AJ201/VPI!R201</f>
        <v>0</v>
      </c>
      <c r="AL201" s="339">
        <f t="shared" si="15"/>
        <v>0</v>
      </c>
      <c r="AM201" s="337">
        <f>AL201/VPI!R201</f>
        <v>0</v>
      </c>
      <c r="AN201" s="519"/>
      <c r="AO201" s="595"/>
      <c r="AP201" s="532">
        <v>37.491357922467557</v>
      </c>
      <c r="AR201" s="591">
        <v>0</v>
      </c>
    </row>
    <row r="202" spans="1:44" x14ac:dyDescent="0.25">
      <c r="A202" s="586">
        <v>5731</v>
      </c>
      <c r="B202" s="587" t="s">
        <v>274</v>
      </c>
      <c r="C202" s="505">
        <v>4174798.83</v>
      </c>
      <c r="D202" s="505">
        <v>655365.43000000005</v>
      </c>
      <c r="E202" s="505"/>
      <c r="F202" s="506"/>
      <c r="G202" s="505">
        <v>21807.4</v>
      </c>
      <c r="H202" s="505">
        <v>1411.5</v>
      </c>
      <c r="I202" s="505"/>
      <c r="J202" s="505">
        <v>25446.400000000001</v>
      </c>
      <c r="K202" s="505">
        <v>4266.5</v>
      </c>
      <c r="L202" s="505">
        <v>431736.3</v>
      </c>
      <c r="M202" s="384">
        <f t="shared" si="12"/>
        <v>5314832.3600000003</v>
      </c>
      <c r="N202" s="510">
        <v>40435</v>
      </c>
      <c r="O202" s="510">
        <v>-8250</v>
      </c>
      <c r="P202" s="510">
        <v>122870</v>
      </c>
      <c r="Q202" s="510"/>
      <c r="R202" s="510">
        <v>110347.45</v>
      </c>
      <c r="S202" s="505">
        <v>2406.0100000000002</v>
      </c>
      <c r="T202" s="384">
        <f t="shared" si="13"/>
        <v>5582640.8200000003</v>
      </c>
      <c r="U202" s="507">
        <v>-7219.37</v>
      </c>
      <c r="V202" s="510"/>
      <c r="W202" s="510">
        <v>-14946.04</v>
      </c>
      <c r="X202" s="515">
        <v>74</v>
      </c>
      <c r="Y202" s="518">
        <v>1.5</v>
      </c>
      <c r="Z202" s="519">
        <v>1411</v>
      </c>
      <c r="AA202" s="588"/>
      <c r="AB202" s="524">
        <v>71252</v>
      </c>
      <c r="AC202" s="337">
        <f>AB202/VPI!R202</f>
        <v>1.02358441976514</v>
      </c>
      <c r="AD202" s="339">
        <f t="shared" si="14"/>
        <v>310143</v>
      </c>
      <c r="AE202" s="337">
        <f>AD202/VPI!R202</f>
        <v>4.4554193945323615</v>
      </c>
      <c r="AF202" s="524">
        <v>381395</v>
      </c>
      <c r="AG202" s="524">
        <v>70975</v>
      </c>
      <c r="AH202" s="524">
        <v>138039</v>
      </c>
      <c r="AI202" s="595"/>
      <c r="AJ202" s="519">
        <v>0</v>
      </c>
      <c r="AK202" s="337">
        <f>AJ202/VPI!R202</f>
        <v>0</v>
      </c>
      <c r="AL202" s="339">
        <f t="shared" si="15"/>
        <v>-7944</v>
      </c>
      <c r="AM202" s="337">
        <f>AL202/VPI!R202</f>
        <v>-0.11412107211887769</v>
      </c>
      <c r="AN202" s="519">
        <v>-7944</v>
      </c>
      <c r="AO202" s="595"/>
      <c r="AP202" s="532">
        <v>28.773773157509851</v>
      </c>
      <c r="AR202" s="591">
        <v>0</v>
      </c>
    </row>
    <row r="203" spans="1:44" x14ac:dyDescent="0.25">
      <c r="A203" s="586">
        <v>5732</v>
      </c>
      <c r="B203" s="587" t="s">
        <v>275</v>
      </c>
      <c r="C203" s="505">
        <v>3473445.76</v>
      </c>
      <c r="D203" s="505">
        <v>776207.06</v>
      </c>
      <c r="E203" s="505"/>
      <c r="F203" s="506"/>
      <c r="G203" s="505">
        <v>129891.7</v>
      </c>
      <c r="H203" s="505">
        <v>14527.4</v>
      </c>
      <c r="I203" s="505">
        <v>192797.15</v>
      </c>
      <c r="J203" s="505">
        <v>60315.69</v>
      </c>
      <c r="K203" s="505">
        <v>21944.799999999999</v>
      </c>
      <c r="L203" s="505">
        <v>376050.75</v>
      </c>
      <c r="M203" s="384">
        <f t="shared" si="12"/>
        <v>5045180.3100000015</v>
      </c>
      <c r="N203" s="510">
        <v>112018.45</v>
      </c>
      <c r="O203" s="510"/>
      <c r="P203" s="510">
        <v>264276</v>
      </c>
      <c r="Q203" s="510">
        <v>1233.95</v>
      </c>
      <c r="R203" s="510">
        <v>36337.800000000003</v>
      </c>
      <c r="S203" s="505">
        <v>14965.12</v>
      </c>
      <c r="T203" s="384">
        <f t="shared" si="13"/>
        <v>5474011.6300000018</v>
      </c>
      <c r="U203" s="507">
        <v>-29175.56</v>
      </c>
      <c r="V203" s="510"/>
      <c r="W203" s="510">
        <v>-1041.67</v>
      </c>
      <c r="X203" s="515">
        <v>63</v>
      </c>
      <c r="Y203" s="518">
        <v>1</v>
      </c>
      <c r="Z203" s="519">
        <v>1160</v>
      </c>
      <c r="AA203" s="588"/>
      <c r="AB203" s="524"/>
      <c r="AC203" s="337">
        <f>AB203/VPI!R203</f>
        <v>0</v>
      </c>
      <c r="AD203" s="339">
        <f t="shared" si="14"/>
        <v>0</v>
      </c>
      <c r="AE203" s="337">
        <f>AD203/VPI!R203</f>
        <v>0</v>
      </c>
      <c r="AF203" s="524"/>
      <c r="AG203" s="524"/>
      <c r="AH203" s="524"/>
      <c r="AI203" s="595"/>
      <c r="AJ203" s="519"/>
      <c r="AK203" s="337">
        <f>AJ203/VPI!R203</f>
        <v>0</v>
      </c>
      <c r="AL203" s="339">
        <f t="shared" si="15"/>
        <v>0</v>
      </c>
      <c r="AM203" s="337">
        <f>AL203/VPI!R203</f>
        <v>0</v>
      </c>
      <c r="AN203" s="519"/>
      <c r="AO203" s="595"/>
      <c r="AP203" s="532">
        <v>36.051247489918573</v>
      </c>
      <c r="AR203" s="591">
        <v>0</v>
      </c>
    </row>
    <row r="204" spans="1:44" x14ac:dyDescent="0.25">
      <c r="A204" s="586">
        <v>5741</v>
      </c>
      <c r="B204" s="587" t="s">
        <v>276</v>
      </c>
      <c r="C204" s="505">
        <v>604788.99</v>
      </c>
      <c r="D204" s="505">
        <v>201521.98</v>
      </c>
      <c r="E204" s="505"/>
      <c r="F204" s="506">
        <v>1460</v>
      </c>
      <c r="G204" s="505">
        <v>10784.65</v>
      </c>
      <c r="H204" s="505">
        <v>1623.65</v>
      </c>
      <c r="I204" s="505"/>
      <c r="J204" s="505">
        <v>4048.32</v>
      </c>
      <c r="K204" s="505">
        <v>0</v>
      </c>
      <c r="L204" s="505">
        <v>50668.55</v>
      </c>
      <c r="M204" s="384">
        <f t="shared" si="12"/>
        <v>874896.14</v>
      </c>
      <c r="N204" s="510">
        <v>5545.6</v>
      </c>
      <c r="O204" s="510">
        <v>787.5</v>
      </c>
      <c r="P204" s="510">
        <v>18256.05</v>
      </c>
      <c r="Q204" s="510"/>
      <c r="R204" s="510">
        <v>11688.2</v>
      </c>
      <c r="S204" s="505">
        <v>1285.78</v>
      </c>
      <c r="T204" s="384">
        <f t="shared" si="13"/>
        <v>912459.27</v>
      </c>
      <c r="U204" s="507">
        <v>-1035.76</v>
      </c>
      <c r="V204" s="510"/>
      <c r="W204" s="510">
        <v>0</v>
      </c>
      <c r="X204" s="515">
        <v>80</v>
      </c>
      <c r="Y204" s="518">
        <v>1.2</v>
      </c>
      <c r="Z204" s="519">
        <v>260</v>
      </c>
      <c r="AA204" s="588"/>
      <c r="AB204" s="524">
        <v>46730</v>
      </c>
      <c r="AC204" s="337">
        <f>AB204/VPI!R204</f>
        <v>4.3133655868227025</v>
      </c>
      <c r="AD204" s="339">
        <f t="shared" si="14"/>
        <v>133950</v>
      </c>
      <c r="AE204" s="337">
        <f>AD204/VPI!R204</f>
        <v>12.364119844958294</v>
      </c>
      <c r="AF204" s="524">
        <v>180680</v>
      </c>
      <c r="AG204" s="524">
        <v>12234</v>
      </c>
      <c r="AH204" s="524">
        <v>25756</v>
      </c>
      <c r="AI204" s="595"/>
      <c r="AJ204" s="519">
        <v>0</v>
      </c>
      <c r="AK204" s="337">
        <f>AJ204/VPI!R204</f>
        <v>0</v>
      </c>
      <c r="AL204" s="339">
        <f t="shared" si="15"/>
        <v>30512</v>
      </c>
      <c r="AM204" s="337">
        <f>AL204/VPI!R204</f>
        <v>2.8163794304544041</v>
      </c>
      <c r="AN204" s="519">
        <v>30512</v>
      </c>
      <c r="AO204" s="595"/>
      <c r="AP204" s="532">
        <v>19.031243281084532</v>
      </c>
      <c r="AR204" s="591">
        <v>0</v>
      </c>
    </row>
    <row r="205" spans="1:44" x14ac:dyDescent="0.25">
      <c r="A205" s="586">
        <v>5742</v>
      </c>
      <c r="B205" s="587" t="s">
        <v>277</v>
      </c>
      <c r="C205" s="505">
        <v>547652.32999999996</v>
      </c>
      <c r="D205" s="505">
        <v>72847.67</v>
      </c>
      <c r="E205" s="505"/>
      <c r="F205" s="506"/>
      <c r="G205" s="505">
        <v>755.45</v>
      </c>
      <c r="H205" s="505">
        <v>662.2</v>
      </c>
      <c r="I205" s="505"/>
      <c r="J205" s="505">
        <v>10294.01</v>
      </c>
      <c r="K205" s="505">
        <v>2503.8000000000002</v>
      </c>
      <c r="L205" s="505">
        <v>30097</v>
      </c>
      <c r="M205" s="384">
        <f t="shared" si="12"/>
        <v>664812.46</v>
      </c>
      <c r="N205" s="510">
        <v>3021.6</v>
      </c>
      <c r="O205" s="510">
        <v>0</v>
      </c>
      <c r="P205" s="510">
        <v>0</v>
      </c>
      <c r="Q205" s="510">
        <v>-102.83</v>
      </c>
      <c r="R205" s="510">
        <v>0</v>
      </c>
      <c r="S205" s="505">
        <v>146.9</v>
      </c>
      <c r="T205" s="384">
        <f t="shared" si="13"/>
        <v>667878.13</v>
      </c>
      <c r="U205" s="507">
        <v>-7228.01</v>
      </c>
      <c r="V205" s="510"/>
      <c r="W205" s="510">
        <v>0</v>
      </c>
      <c r="X205" s="515">
        <v>76</v>
      </c>
      <c r="Y205" s="518">
        <v>0.5</v>
      </c>
      <c r="Z205" s="519">
        <v>381</v>
      </c>
      <c r="AA205" s="588"/>
      <c r="AB205" s="524">
        <v>0</v>
      </c>
      <c r="AC205" s="337">
        <f>AB205/VPI!R205</f>
        <v>0</v>
      </c>
      <c r="AD205" s="339">
        <f t="shared" si="14"/>
        <v>45296</v>
      </c>
      <c r="AE205" s="337">
        <f>AD205/VPI!R205</f>
        <v>5.0056249184994606</v>
      </c>
      <c r="AF205" s="524">
        <v>45296</v>
      </c>
      <c r="AG205" s="524">
        <v>17921</v>
      </c>
      <c r="AH205" s="524">
        <v>43378</v>
      </c>
      <c r="AI205" s="595"/>
      <c r="AJ205" s="519">
        <v>0</v>
      </c>
      <c r="AK205" s="337">
        <f>AJ205/VPI!R205</f>
        <v>0</v>
      </c>
      <c r="AL205" s="339">
        <f t="shared" si="15"/>
        <v>30218</v>
      </c>
      <c r="AM205" s="337">
        <f>AL205/VPI!R205</f>
        <v>3.3393671358887476</v>
      </c>
      <c r="AN205" s="519">
        <v>30218</v>
      </c>
      <c r="AO205" s="595"/>
      <c r="AP205" s="532">
        <v>9.4631643995779502</v>
      </c>
      <c r="AR205" s="591">
        <v>0</v>
      </c>
    </row>
    <row r="206" spans="1:44" x14ac:dyDescent="0.25">
      <c r="A206" s="586">
        <v>5743</v>
      </c>
      <c r="B206" s="587" t="s">
        <v>227</v>
      </c>
      <c r="C206" s="505">
        <v>1126211.6000000001</v>
      </c>
      <c r="D206" s="505">
        <v>157023.88</v>
      </c>
      <c r="E206" s="505"/>
      <c r="F206" s="506"/>
      <c r="G206" s="505">
        <v>8107.8</v>
      </c>
      <c r="H206" s="505">
        <v>746.7</v>
      </c>
      <c r="I206" s="505"/>
      <c r="J206" s="505">
        <v>10409.280000000001</v>
      </c>
      <c r="K206" s="505"/>
      <c r="L206" s="505">
        <v>73400</v>
      </c>
      <c r="M206" s="384">
        <f t="shared" si="12"/>
        <v>1375899.26</v>
      </c>
      <c r="N206" s="510">
        <v>27200.2</v>
      </c>
      <c r="O206" s="510"/>
      <c r="P206" s="510">
        <v>84993.25</v>
      </c>
      <c r="Q206" s="510"/>
      <c r="R206" s="510">
        <v>76668.75</v>
      </c>
      <c r="S206" s="505">
        <v>917.52</v>
      </c>
      <c r="T206" s="384">
        <f t="shared" si="13"/>
        <v>1565678.98</v>
      </c>
      <c r="U206" s="507">
        <v>-15848.19</v>
      </c>
      <c r="V206" s="510"/>
      <c r="W206" s="510">
        <v>-254.75</v>
      </c>
      <c r="X206" s="515">
        <v>71</v>
      </c>
      <c r="Y206" s="518">
        <v>0.8</v>
      </c>
      <c r="Z206" s="519">
        <v>692</v>
      </c>
      <c r="AA206" s="588"/>
      <c r="AB206" s="524">
        <v>69995</v>
      </c>
      <c r="AC206" s="337">
        <f>AB206/VPI!R206</f>
        <v>3.6036366525279933</v>
      </c>
      <c r="AD206" s="339">
        <f t="shared" si="14"/>
        <v>56073</v>
      </c>
      <c r="AE206" s="337">
        <f>AD206/VPI!R206</f>
        <v>2.8868736055032809</v>
      </c>
      <c r="AF206" s="524">
        <v>126068</v>
      </c>
      <c r="AG206" s="524">
        <v>79449</v>
      </c>
      <c r="AH206" s="524">
        <v>72183</v>
      </c>
      <c r="AI206" s="595"/>
      <c r="AJ206" s="519">
        <v>0</v>
      </c>
      <c r="AK206" s="337">
        <f>AJ206/VPI!R206</f>
        <v>0</v>
      </c>
      <c r="AL206" s="339">
        <f t="shared" si="15"/>
        <v>5162</v>
      </c>
      <c r="AM206" s="337">
        <f>AL206/VPI!R206</f>
        <v>0.26576144582255162</v>
      </c>
      <c r="AN206" s="519">
        <v>5162</v>
      </c>
      <c r="AO206" s="595"/>
      <c r="AP206" s="532">
        <v>12.847185131679282</v>
      </c>
      <c r="AR206" s="591">
        <v>0</v>
      </c>
    </row>
    <row r="207" spans="1:44" x14ac:dyDescent="0.25">
      <c r="A207" s="586">
        <v>5744</v>
      </c>
      <c r="B207" s="587" t="s">
        <v>228</v>
      </c>
      <c r="C207" s="505">
        <v>1373134.73</v>
      </c>
      <c r="D207" s="505">
        <v>189932.46</v>
      </c>
      <c r="E207" s="505"/>
      <c r="F207" s="506"/>
      <c r="G207" s="505">
        <v>1571532.2</v>
      </c>
      <c r="H207" s="505">
        <v>4841.6000000000004</v>
      </c>
      <c r="I207" s="505"/>
      <c r="J207" s="505">
        <v>113583.97</v>
      </c>
      <c r="K207" s="505">
        <v>-48.5</v>
      </c>
      <c r="L207" s="505">
        <v>194048.5</v>
      </c>
      <c r="M207" s="384">
        <f t="shared" si="12"/>
        <v>3447024.96</v>
      </c>
      <c r="N207" s="510">
        <v>1643117.75</v>
      </c>
      <c r="O207" s="510">
        <v>6789.1</v>
      </c>
      <c r="P207" s="510">
        <v>100606.2</v>
      </c>
      <c r="Q207" s="510">
        <v>65903.78</v>
      </c>
      <c r="R207" s="510">
        <v>61169.7</v>
      </c>
      <c r="S207" s="505">
        <v>163348.32999999999</v>
      </c>
      <c r="T207" s="384">
        <f t="shared" si="13"/>
        <v>5487959.8200000003</v>
      </c>
      <c r="U207" s="507">
        <v>-160539.53</v>
      </c>
      <c r="V207" s="510"/>
      <c r="W207" s="510">
        <v>-296.76</v>
      </c>
      <c r="X207" s="515">
        <v>65</v>
      </c>
      <c r="Y207" s="518">
        <v>1</v>
      </c>
      <c r="Z207" s="519">
        <v>1152</v>
      </c>
      <c r="AA207" s="588"/>
      <c r="AB207" s="524">
        <v>186614</v>
      </c>
      <c r="AC207" s="337">
        <f>AB207/VPI!R207</f>
        <v>3.4504663167729417</v>
      </c>
      <c r="AD207" s="339">
        <f t="shared" si="14"/>
        <v>489291</v>
      </c>
      <c r="AE207" s="337">
        <f>AD207/VPI!R207</f>
        <v>9.0469209952101632</v>
      </c>
      <c r="AF207" s="524">
        <v>675905</v>
      </c>
      <c r="AG207" s="524">
        <v>56056</v>
      </c>
      <c r="AH207" s="524">
        <v>122994</v>
      </c>
      <c r="AI207" s="595"/>
      <c r="AJ207" s="519">
        <v>0</v>
      </c>
      <c r="AK207" s="337">
        <f>AJ207/VPI!R207</f>
        <v>0</v>
      </c>
      <c r="AL207" s="339">
        <f t="shared" si="15"/>
        <v>56329</v>
      </c>
      <c r="AM207" s="337">
        <f>AL207/VPI!R207</f>
        <v>1.041515197988913</v>
      </c>
      <c r="AN207" s="519">
        <v>56329</v>
      </c>
      <c r="AO207" s="595"/>
      <c r="AP207" s="532">
        <v>25.662983944035595</v>
      </c>
      <c r="AR207" s="591">
        <v>0</v>
      </c>
    </row>
    <row r="208" spans="1:44" x14ac:dyDescent="0.25">
      <c r="A208" s="586">
        <v>5745</v>
      </c>
      <c r="B208" s="587" t="s">
        <v>229</v>
      </c>
      <c r="C208" s="505">
        <v>1655119.18</v>
      </c>
      <c r="D208" s="505">
        <v>221619.52</v>
      </c>
      <c r="E208" s="505"/>
      <c r="F208" s="506"/>
      <c r="G208" s="505">
        <v>41558.949999999997</v>
      </c>
      <c r="H208" s="505">
        <v>476.7</v>
      </c>
      <c r="I208" s="505"/>
      <c r="J208" s="505">
        <v>55170.58</v>
      </c>
      <c r="K208" s="505"/>
      <c r="L208" s="505">
        <v>157516.54999999999</v>
      </c>
      <c r="M208" s="384">
        <f t="shared" si="12"/>
        <v>2131461.48</v>
      </c>
      <c r="N208" s="510">
        <v>212726.7</v>
      </c>
      <c r="O208" s="510"/>
      <c r="P208" s="510">
        <v>76885.399999999994</v>
      </c>
      <c r="Q208" s="510">
        <v>14956.61</v>
      </c>
      <c r="R208" s="510">
        <v>68857.3</v>
      </c>
      <c r="S208" s="505">
        <v>4355.8500000000004</v>
      </c>
      <c r="T208" s="384">
        <f t="shared" si="13"/>
        <v>2509243.34</v>
      </c>
      <c r="U208" s="507">
        <v>-31362.83</v>
      </c>
      <c r="V208" s="510"/>
      <c r="W208" s="510">
        <v>-7.67</v>
      </c>
      <c r="X208" s="515">
        <v>76.5</v>
      </c>
      <c r="Y208" s="518">
        <v>1</v>
      </c>
      <c r="Z208" s="519">
        <v>1132</v>
      </c>
      <c r="AA208" s="588"/>
      <c r="AB208" s="524">
        <v>37715</v>
      </c>
      <c r="AC208" s="337">
        <f>AB208/VPI!R208</f>
        <v>1.3613252887803182</v>
      </c>
      <c r="AD208" s="339">
        <f t="shared" si="14"/>
        <v>224929</v>
      </c>
      <c r="AE208" s="337">
        <f>AD208/VPI!R208</f>
        <v>8.1188263523814985</v>
      </c>
      <c r="AF208" s="524">
        <v>262644</v>
      </c>
      <c r="AG208" s="524">
        <v>134526</v>
      </c>
      <c r="AH208" s="524">
        <v>102363</v>
      </c>
      <c r="AI208" s="595"/>
      <c r="AJ208" s="519">
        <v>0</v>
      </c>
      <c r="AK208" s="337">
        <f>AJ208/VPI!R208</f>
        <v>0</v>
      </c>
      <c r="AL208" s="339">
        <f t="shared" si="15"/>
        <v>244048</v>
      </c>
      <c r="AM208" s="337">
        <f>AL208/VPI!R208</f>
        <v>8.8089278556611195</v>
      </c>
      <c r="AN208" s="519">
        <v>244048</v>
      </c>
      <c r="AO208" s="595"/>
      <c r="AP208" s="532">
        <v>4.9004408293077972</v>
      </c>
      <c r="AR208" s="591">
        <v>0</v>
      </c>
    </row>
    <row r="209" spans="1:44" x14ac:dyDescent="0.25">
      <c r="A209" s="586">
        <v>5746</v>
      </c>
      <c r="B209" s="587" t="s">
        <v>230</v>
      </c>
      <c r="C209" s="505">
        <v>1693269.27</v>
      </c>
      <c r="D209" s="505">
        <v>160997.67000000001</v>
      </c>
      <c r="E209" s="505"/>
      <c r="F209" s="506"/>
      <c r="G209" s="505">
        <v>40536.699999999997</v>
      </c>
      <c r="H209" s="505">
        <v>2194.0500000000002</v>
      </c>
      <c r="I209" s="505"/>
      <c r="J209" s="505">
        <v>23610.65</v>
      </c>
      <c r="K209" s="505">
        <v>18702.25</v>
      </c>
      <c r="L209" s="505">
        <v>233716.15</v>
      </c>
      <c r="M209" s="384">
        <f t="shared" si="12"/>
        <v>2173026.7399999998</v>
      </c>
      <c r="N209" s="510">
        <v>4091.65</v>
      </c>
      <c r="O209" s="510">
        <v>55380.2</v>
      </c>
      <c r="P209" s="510">
        <v>134983.65</v>
      </c>
      <c r="Q209" s="510">
        <v>12580.98</v>
      </c>
      <c r="R209" s="510">
        <v>61486.75</v>
      </c>
      <c r="S209" s="505">
        <v>4427.88</v>
      </c>
      <c r="T209" s="384">
        <f t="shared" si="13"/>
        <v>2445977.8499999996</v>
      </c>
      <c r="U209" s="507">
        <v>-26059.63</v>
      </c>
      <c r="V209" s="510"/>
      <c r="W209" s="510">
        <v>-82.3</v>
      </c>
      <c r="X209" s="515">
        <v>72</v>
      </c>
      <c r="Y209" s="518">
        <v>1.2</v>
      </c>
      <c r="Z209" s="519">
        <v>1009</v>
      </c>
      <c r="AA209" s="588"/>
      <c r="AB209" s="524">
        <v>85978</v>
      </c>
      <c r="AC209" s="337">
        <f>AB209/VPI!R209</f>
        <v>2.9132178555167982</v>
      </c>
      <c r="AD209" s="339">
        <f t="shared" si="14"/>
        <v>235712</v>
      </c>
      <c r="AE209" s="337">
        <f>AD209/VPI!R209</f>
        <v>7.9866990062524783</v>
      </c>
      <c r="AF209" s="524">
        <v>321690</v>
      </c>
      <c r="AG209" s="524">
        <v>116844</v>
      </c>
      <c r="AH209" s="524">
        <v>124269</v>
      </c>
      <c r="AI209" s="595"/>
      <c r="AJ209" s="519">
        <v>0</v>
      </c>
      <c r="AK209" s="337">
        <f>AJ209/VPI!R209</f>
        <v>0</v>
      </c>
      <c r="AL209" s="339">
        <f t="shared" si="15"/>
        <v>53549</v>
      </c>
      <c r="AM209" s="337">
        <f>AL209/VPI!R209</f>
        <v>1.8144165128878205</v>
      </c>
      <c r="AN209" s="519">
        <v>53549</v>
      </c>
      <c r="AO209" s="595"/>
      <c r="AP209" s="532">
        <v>12.335256810081569</v>
      </c>
      <c r="AR209" s="591">
        <v>0</v>
      </c>
    </row>
    <row r="210" spans="1:44" x14ac:dyDescent="0.25">
      <c r="A210" s="586">
        <v>5747</v>
      </c>
      <c r="B210" s="587" t="s">
        <v>231</v>
      </c>
      <c r="C210" s="505">
        <v>311227.8</v>
      </c>
      <c r="D210" s="505">
        <v>47091.16</v>
      </c>
      <c r="E210" s="505"/>
      <c r="F210" s="506"/>
      <c r="G210" s="505">
        <v>5472.95</v>
      </c>
      <c r="H210" s="505">
        <v>470.9</v>
      </c>
      <c r="I210" s="505"/>
      <c r="J210" s="505">
        <v>1547.98</v>
      </c>
      <c r="K210" s="505"/>
      <c r="L210" s="505">
        <v>34299.1</v>
      </c>
      <c r="M210" s="384">
        <f t="shared" si="12"/>
        <v>400109.88999999996</v>
      </c>
      <c r="N210" s="510">
        <v>0</v>
      </c>
      <c r="O210" s="510"/>
      <c r="P210" s="510">
        <v>14951.45</v>
      </c>
      <c r="Q210" s="510">
        <v>1379.35</v>
      </c>
      <c r="R210" s="510">
        <v>64346.05</v>
      </c>
      <c r="S210" s="505">
        <v>615.91999999999996</v>
      </c>
      <c r="T210" s="384">
        <f t="shared" si="13"/>
        <v>481402.65999999992</v>
      </c>
      <c r="U210" s="507">
        <v>-3404.14</v>
      </c>
      <c r="V210" s="510"/>
      <c r="W210" s="510">
        <v>-21.65</v>
      </c>
      <c r="X210" s="515">
        <v>69</v>
      </c>
      <c r="Y210" s="518">
        <v>1</v>
      </c>
      <c r="Z210" s="519">
        <v>204</v>
      </c>
      <c r="AA210" s="588"/>
      <c r="AB210" s="524">
        <v>20996</v>
      </c>
      <c r="AC210" s="337">
        <f>AB210/VPI!R210</f>
        <v>3.6338072872945504</v>
      </c>
      <c r="AD210" s="339">
        <f t="shared" si="14"/>
        <v>19570</v>
      </c>
      <c r="AE210" s="337">
        <f>AD210/VPI!R210</f>
        <v>3.3870074591519503</v>
      </c>
      <c r="AF210" s="524">
        <v>40566</v>
      </c>
      <c r="AG210" s="524">
        <v>9845</v>
      </c>
      <c r="AH210" s="524">
        <v>23322</v>
      </c>
      <c r="AI210" s="595"/>
      <c r="AJ210" s="519">
        <v>0</v>
      </c>
      <c r="AK210" s="337">
        <f>AJ210/VPI!R210</f>
        <v>0</v>
      </c>
      <c r="AL210" s="339">
        <f t="shared" si="15"/>
        <v>-952</v>
      </c>
      <c r="AM210" s="337">
        <f>AL210/VPI!R210</f>
        <v>-0.1647639806393795</v>
      </c>
      <c r="AN210" s="519">
        <v>-952</v>
      </c>
      <c r="AO210" s="595"/>
      <c r="AP210" s="532">
        <v>14.082045218565597</v>
      </c>
      <c r="AR210" s="591">
        <v>0</v>
      </c>
    </row>
    <row r="211" spans="1:44" x14ac:dyDescent="0.25">
      <c r="A211" s="586">
        <v>5748</v>
      </c>
      <c r="B211" s="587" t="s">
        <v>232</v>
      </c>
      <c r="C211" s="505">
        <v>389146.48</v>
      </c>
      <c r="D211" s="505">
        <v>43886.46</v>
      </c>
      <c r="E211" s="505"/>
      <c r="F211" s="506">
        <v>2100</v>
      </c>
      <c r="G211" s="505">
        <v>2707.15</v>
      </c>
      <c r="H211" s="505">
        <v>50.95</v>
      </c>
      <c r="I211" s="505"/>
      <c r="J211" s="505">
        <v>407.17</v>
      </c>
      <c r="K211" s="505"/>
      <c r="L211" s="505">
        <v>23084</v>
      </c>
      <c r="M211" s="384">
        <f t="shared" si="12"/>
        <v>461382.21</v>
      </c>
      <c r="N211" s="510">
        <v>1720.55</v>
      </c>
      <c r="O211" s="510">
        <v>1404.5</v>
      </c>
      <c r="P211" s="510">
        <v>16786</v>
      </c>
      <c r="Q211" s="510">
        <v>706.77</v>
      </c>
      <c r="R211" s="510">
        <v>20777.45</v>
      </c>
      <c r="S211" s="505">
        <v>285.81</v>
      </c>
      <c r="T211" s="384">
        <f t="shared" si="13"/>
        <v>503063.29000000004</v>
      </c>
      <c r="U211" s="507">
        <v>-1012</v>
      </c>
      <c r="V211" s="510"/>
      <c r="W211" s="510">
        <v>0</v>
      </c>
      <c r="X211" s="515">
        <v>70.5</v>
      </c>
      <c r="Y211" s="518">
        <v>0.6</v>
      </c>
      <c r="Z211" s="519">
        <v>264</v>
      </c>
      <c r="AA211" s="588"/>
      <c r="AB211" s="524">
        <v>47381</v>
      </c>
      <c r="AC211" s="337">
        <f>AB211/VPI!R211</f>
        <v>7.0064931785621063</v>
      </c>
      <c r="AD211" s="339">
        <f t="shared" si="14"/>
        <v>37696</v>
      </c>
      <c r="AE211" s="337">
        <f>AD211/VPI!R211</f>
        <v>5.5743181203241212</v>
      </c>
      <c r="AF211" s="524">
        <v>85077</v>
      </c>
      <c r="AG211" s="524">
        <v>31780</v>
      </c>
      <c r="AH211" s="524">
        <v>33581</v>
      </c>
      <c r="AI211" s="595"/>
      <c r="AJ211" s="519">
        <v>0</v>
      </c>
      <c r="AK211" s="337">
        <f>AJ211/VPI!R211</f>
        <v>0</v>
      </c>
      <c r="AL211" s="339">
        <f t="shared" si="15"/>
        <v>20063</v>
      </c>
      <c r="AM211" s="337">
        <f>AL211/VPI!R211</f>
        <v>2.9668278981340945</v>
      </c>
      <c r="AN211" s="519">
        <v>20063</v>
      </c>
      <c r="AO211" s="595"/>
      <c r="AP211" s="532">
        <v>8.5552441627111477</v>
      </c>
      <c r="AR211" s="591">
        <v>0</v>
      </c>
    </row>
    <row r="212" spans="1:44" x14ac:dyDescent="0.25">
      <c r="A212" s="586">
        <v>5749</v>
      </c>
      <c r="B212" s="587" t="s">
        <v>233</v>
      </c>
      <c r="C212" s="505">
        <v>8046129.0700000003</v>
      </c>
      <c r="D212" s="505">
        <v>809718.95</v>
      </c>
      <c r="E212" s="505"/>
      <c r="F212" s="506"/>
      <c r="G212" s="505">
        <v>307095</v>
      </c>
      <c r="H212" s="505">
        <v>8417.25</v>
      </c>
      <c r="I212" s="505"/>
      <c r="J212" s="505">
        <v>239200.22</v>
      </c>
      <c r="K212" s="505">
        <v>56988.7</v>
      </c>
      <c r="L212" s="505">
        <v>885922.05</v>
      </c>
      <c r="M212" s="384">
        <f t="shared" si="12"/>
        <v>10353471.24</v>
      </c>
      <c r="N212" s="510">
        <v>650839.5</v>
      </c>
      <c r="O212" s="510">
        <v>165907.29999999999</v>
      </c>
      <c r="P212" s="510">
        <v>214096.85</v>
      </c>
      <c r="Q212" s="510">
        <v>31539.69</v>
      </c>
      <c r="R212" s="510">
        <v>90945.95</v>
      </c>
      <c r="S212" s="505">
        <v>32694.27</v>
      </c>
      <c r="T212" s="384">
        <f t="shared" si="13"/>
        <v>11539494.799999999</v>
      </c>
      <c r="U212" s="507">
        <v>-215484.9</v>
      </c>
      <c r="V212" s="510"/>
      <c r="W212" s="510">
        <v>-1707.14</v>
      </c>
      <c r="X212" s="515">
        <v>70.5</v>
      </c>
      <c r="Y212" s="518">
        <v>1</v>
      </c>
      <c r="Z212" s="519">
        <v>5405</v>
      </c>
      <c r="AA212" s="588"/>
      <c r="AB212" s="524">
        <v>456788</v>
      </c>
      <c r="AC212" s="337">
        <f>AB212/VPI!R212</f>
        <v>3.1570523457861022</v>
      </c>
      <c r="AD212" s="339">
        <f t="shared" si="14"/>
        <v>359597</v>
      </c>
      <c r="AE212" s="337">
        <f>AD212/VPI!R212</f>
        <v>2.4853248167369655</v>
      </c>
      <c r="AF212" s="524">
        <v>816385</v>
      </c>
      <c r="AG212" s="524">
        <v>641087</v>
      </c>
      <c r="AH212" s="524">
        <v>724500</v>
      </c>
      <c r="AI212" s="595"/>
      <c r="AJ212" s="519">
        <v>2075</v>
      </c>
      <c r="AK212" s="337">
        <f>AJ212/VPI!R212</f>
        <v>1.4341190262235791E-2</v>
      </c>
      <c r="AL212" s="339">
        <f t="shared" si="15"/>
        <v>190655</v>
      </c>
      <c r="AM212" s="337">
        <f>AL212/VPI!R212</f>
        <v>1.3176962069621998</v>
      </c>
      <c r="AN212" s="519">
        <v>192730</v>
      </c>
      <c r="AO212" s="595"/>
      <c r="AP212" s="532">
        <v>4.755916897475351</v>
      </c>
      <c r="AR212" s="591">
        <v>0</v>
      </c>
    </row>
    <row r="213" spans="1:44" x14ac:dyDescent="0.25">
      <c r="A213" s="586">
        <v>5750</v>
      </c>
      <c r="B213" s="587" t="s">
        <v>234</v>
      </c>
      <c r="C213" s="505">
        <v>364840.6</v>
      </c>
      <c r="D213" s="505">
        <v>59926.92</v>
      </c>
      <c r="E213" s="505"/>
      <c r="F213" s="506">
        <v>1090</v>
      </c>
      <c r="G213" s="505">
        <v>594.04999999999995</v>
      </c>
      <c r="H213" s="505">
        <v>29.55</v>
      </c>
      <c r="I213" s="505"/>
      <c r="J213" s="505">
        <v>-2907.97</v>
      </c>
      <c r="K213" s="505">
        <v>-1065.55</v>
      </c>
      <c r="L213" s="505">
        <v>14359.3</v>
      </c>
      <c r="M213" s="384">
        <f t="shared" si="12"/>
        <v>436866.89999999997</v>
      </c>
      <c r="N213" s="510">
        <v>9772.5499999999993</v>
      </c>
      <c r="O213" s="510"/>
      <c r="P213" s="510">
        <v>26341.25</v>
      </c>
      <c r="Q213" s="510"/>
      <c r="R213" s="510">
        <v>29579.3</v>
      </c>
      <c r="S213" s="505">
        <v>64.62</v>
      </c>
      <c r="T213" s="384">
        <f t="shared" si="13"/>
        <v>502624.61999999994</v>
      </c>
      <c r="U213" s="507">
        <v>-9619.86</v>
      </c>
      <c r="V213" s="510"/>
      <c r="W213" s="510">
        <v>-49.35</v>
      </c>
      <c r="X213" s="515">
        <v>80</v>
      </c>
      <c r="Y213" s="518">
        <v>0.6</v>
      </c>
      <c r="Z213" s="519">
        <v>186</v>
      </c>
      <c r="AA213" s="588"/>
      <c r="AB213" s="524">
        <v>43873</v>
      </c>
      <c r="AC213" s="337">
        <f>AB213/VPI!R213</f>
        <v>8.0347009294955054</v>
      </c>
      <c r="AD213" s="339">
        <f t="shared" si="14"/>
        <v>28965</v>
      </c>
      <c r="AE213" s="337">
        <f>AD213/VPI!R213</f>
        <v>5.3045178680016711</v>
      </c>
      <c r="AF213" s="524">
        <v>72838</v>
      </c>
      <c r="AG213" s="524">
        <v>0</v>
      </c>
      <c r="AH213" s="524">
        <v>16831</v>
      </c>
      <c r="AI213" s="595"/>
      <c r="AJ213" s="519">
        <v>0</v>
      </c>
      <c r="AK213" s="337">
        <f>AJ213/VPI!R213</f>
        <v>0</v>
      </c>
      <c r="AL213" s="339">
        <f t="shared" si="15"/>
        <v>31491</v>
      </c>
      <c r="AM213" s="337">
        <f>AL213/VPI!R213</f>
        <v>5.7671179762209777</v>
      </c>
      <c r="AN213" s="519">
        <v>31491</v>
      </c>
      <c r="AO213" s="595"/>
      <c r="AP213" s="532">
        <v>6.3930734894180006</v>
      </c>
      <c r="AR213" s="591">
        <v>0</v>
      </c>
    </row>
    <row r="214" spans="1:44" x14ac:dyDescent="0.25">
      <c r="A214" s="586">
        <v>5752</v>
      </c>
      <c r="B214" s="587" t="s">
        <v>281</v>
      </c>
      <c r="C214" s="505">
        <v>597798.06000000006</v>
      </c>
      <c r="D214" s="505">
        <v>92928.74</v>
      </c>
      <c r="E214" s="505"/>
      <c r="F214" s="506"/>
      <c r="G214" s="505">
        <v>4490.1000000000004</v>
      </c>
      <c r="H214" s="505">
        <v>-397.35</v>
      </c>
      <c r="I214" s="505"/>
      <c r="J214" s="505">
        <v>10304.99</v>
      </c>
      <c r="K214" s="505">
        <v>833.4</v>
      </c>
      <c r="L214" s="505">
        <v>43556.4</v>
      </c>
      <c r="M214" s="384">
        <f t="shared" si="12"/>
        <v>749514.34000000008</v>
      </c>
      <c r="N214" s="510">
        <v>34274.050000000003</v>
      </c>
      <c r="O214" s="510">
        <v>3861</v>
      </c>
      <c r="P214" s="510">
        <v>11165</v>
      </c>
      <c r="Q214" s="510">
        <v>1915.96</v>
      </c>
      <c r="R214" s="510">
        <v>15651</v>
      </c>
      <c r="S214" s="505">
        <v>424.1</v>
      </c>
      <c r="T214" s="384">
        <f t="shared" si="13"/>
        <v>816805.45000000007</v>
      </c>
      <c r="U214" s="507">
        <v>-7135.64</v>
      </c>
      <c r="V214" s="510"/>
      <c r="W214" s="510">
        <v>-8274.6</v>
      </c>
      <c r="X214" s="515">
        <v>74</v>
      </c>
      <c r="Y214" s="518">
        <v>0.7</v>
      </c>
      <c r="Z214" s="519">
        <v>386</v>
      </c>
      <c r="AA214" s="588"/>
      <c r="AB214" s="524">
        <v>31589</v>
      </c>
      <c r="AC214" s="337">
        <f>AB214/VPI!R214</f>
        <v>3.0956844970373254</v>
      </c>
      <c r="AD214" s="339">
        <f t="shared" si="14"/>
        <v>311624</v>
      </c>
      <c r="AE214" s="337">
        <f>AD214/VPI!R214</f>
        <v>30.538782035036231</v>
      </c>
      <c r="AF214" s="524">
        <v>343213</v>
      </c>
      <c r="AG214" s="524">
        <v>46594</v>
      </c>
      <c r="AH214" s="524">
        <v>36694</v>
      </c>
      <c r="AI214" s="595"/>
      <c r="AJ214" s="519">
        <v>0</v>
      </c>
      <c r="AK214" s="337">
        <f>AJ214/VPI!R214</f>
        <v>0</v>
      </c>
      <c r="AL214" s="339">
        <f t="shared" si="15"/>
        <v>9612</v>
      </c>
      <c r="AM214" s="337">
        <f>AL214/VPI!R214</f>
        <v>0.94196458848088804</v>
      </c>
      <c r="AN214" s="519">
        <v>9612</v>
      </c>
      <c r="AO214" s="595"/>
      <c r="AP214" s="532">
        <v>6.3609618111159349</v>
      </c>
      <c r="AR214" s="591">
        <v>0</v>
      </c>
    </row>
    <row r="215" spans="1:44" x14ac:dyDescent="0.25">
      <c r="A215" s="586">
        <v>5754</v>
      </c>
      <c r="B215" s="587" t="s">
        <v>282</v>
      </c>
      <c r="C215" s="505">
        <v>556707.68999999994</v>
      </c>
      <c r="D215" s="505">
        <v>70791.69</v>
      </c>
      <c r="E215" s="505"/>
      <c r="F215" s="506"/>
      <c r="G215" s="505">
        <v>1707.15</v>
      </c>
      <c r="H215" s="505">
        <v>675.2</v>
      </c>
      <c r="I215" s="505"/>
      <c r="J215" s="505">
        <v>-869.9</v>
      </c>
      <c r="K215" s="505">
        <v>2099.5</v>
      </c>
      <c r="L215" s="505">
        <v>47895.1</v>
      </c>
      <c r="M215" s="384">
        <f t="shared" si="12"/>
        <v>679006.42999999982</v>
      </c>
      <c r="N215" s="510">
        <v>0</v>
      </c>
      <c r="O215" s="510">
        <v>219315.4</v>
      </c>
      <c r="P215" s="510">
        <v>37180</v>
      </c>
      <c r="Q215" s="510">
        <v>3104.67</v>
      </c>
      <c r="R215" s="510">
        <v>68617</v>
      </c>
      <c r="S215" s="505">
        <v>246.86</v>
      </c>
      <c r="T215" s="384">
        <f t="shared" si="13"/>
        <v>1007470.3599999999</v>
      </c>
      <c r="U215" s="507">
        <v>-248.65</v>
      </c>
      <c r="V215" s="510"/>
      <c r="W215" s="510">
        <v>-84.8</v>
      </c>
      <c r="X215" s="515">
        <v>79</v>
      </c>
      <c r="Y215" s="518">
        <v>1</v>
      </c>
      <c r="Z215" s="519">
        <v>346</v>
      </c>
      <c r="AA215" s="588"/>
      <c r="AB215" s="524">
        <v>23701</v>
      </c>
      <c r="AC215" s="337">
        <f>AB215/VPI!R215</f>
        <v>2.7453250910293541</v>
      </c>
      <c r="AD215" s="339">
        <f t="shared" si="14"/>
        <v>35381</v>
      </c>
      <c r="AE215" s="337">
        <f>AD215/VPI!R215</f>
        <v>4.0982383463022476</v>
      </c>
      <c r="AF215" s="524">
        <v>59082</v>
      </c>
      <c r="AG215" s="524">
        <v>16630</v>
      </c>
      <c r="AH215" s="524">
        <v>36439</v>
      </c>
      <c r="AI215" s="595"/>
      <c r="AJ215" s="519">
        <v>0</v>
      </c>
      <c r="AK215" s="337">
        <f>AJ215/VPI!R215</f>
        <v>0</v>
      </c>
      <c r="AL215" s="339">
        <f t="shared" si="15"/>
        <v>-41430</v>
      </c>
      <c r="AM215" s="337">
        <f>AL215/VPI!R215</f>
        <v>-4.7989037813318483</v>
      </c>
      <c r="AN215" s="519">
        <v>-41430</v>
      </c>
      <c r="AO215" s="595"/>
      <c r="AP215" s="532">
        <v>6.1235249282090605</v>
      </c>
      <c r="AR215" s="591">
        <v>0</v>
      </c>
    </row>
    <row r="216" spans="1:44" x14ac:dyDescent="0.25">
      <c r="A216" s="586">
        <v>5755</v>
      </c>
      <c r="B216" s="587" t="s">
        <v>283</v>
      </c>
      <c r="C216" s="505">
        <v>698586.18</v>
      </c>
      <c r="D216" s="505">
        <v>79118.05</v>
      </c>
      <c r="E216" s="505"/>
      <c r="F216" s="506">
        <v>2180</v>
      </c>
      <c r="G216" s="505">
        <v>14538.85</v>
      </c>
      <c r="H216" s="505">
        <v>604.79999999999995</v>
      </c>
      <c r="I216" s="505"/>
      <c r="J216" s="505">
        <v>9770.36</v>
      </c>
      <c r="K216" s="505">
        <v>411.1</v>
      </c>
      <c r="L216" s="505">
        <v>45190.400000000001</v>
      </c>
      <c r="M216" s="384">
        <f t="shared" si="12"/>
        <v>850399.74000000011</v>
      </c>
      <c r="N216" s="510">
        <v>50773.55</v>
      </c>
      <c r="O216" s="510"/>
      <c r="P216" s="510">
        <v>32168.45</v>
      </c>
      <c r="Q216" s="510">
        <v>1010.9</v>
      </c>
      <c r="R216" s="510">
        <v>40956.5</v>
      </c>
      <c r="S216" s="505">
        <v>1569.23</v>
      </c>
      <c r="T216" s="384">
        <f t="shared" si="13"/>
        <v>976878.37000000011</v>
      </c>
      <c r="U216" s="507">
        <v>-15066.55</v>
      </c>
      <c r="V216" s="510"/>
      <c r="W216" s="510">
        <v>0</v>
      </c>
      <c r="X216" s="515">
        <v>78.5</v>
      </c>
      <c r="Y216" s="518">
        <v>0.7</v>
      </c>
      <c r="Z216" s="519">
        <v>447</v>
      </c>
      <c r="AA216" s="588"/>
      <c r="AB216" s="524">
        <v>19847</v>
      </c>
      <c r="AC216" s="337">
        <f>AB216/VPI!R216</f>
        <v>1.8173622938515528</v>
      </c>
      <c r="AD216" s="339">
        <f t="shared" si="14"/>
        <v>135501</v>
      </c>
      <c r="AE216" s="337">
        <f>AD216/VPI!R216</f>
        <v>12.407638846131871</v>
      </c>
      <c r="AF216" s="524">
        <v>155348</v>
      </c>
      <c r="AG216" s="524">
        <v>19546</v>
      </c>
      <c r="AH216" s="524">
        <v>50199</v>
      </c>
      <c r="AI216" s="595"/>
      <c r="AJ216" s="519">
        <v>0</v>
      </c>
      <c r="AK216" s="337">
        <f>AJ216/VPI!R216</f>
        <v>0</v>
      </c>
      <c r="AL216" s="339">
        <f t="shared" si="15"/>
        <v>36724</v>
      </c>
      <c r="AM216" s="337">
        <f>AL216/VPI!R216</f>
        <v>3.3627658023582621</v>
      </c>
      <c r="AN216" s="519">
        <v>36724</v>
      </c>
      <c r="AO216" s="595"/>
      <c r="AP216" s="532">
        <v>6.7686208493110946</v>
      </c>
      <c r="AR216" s="591">
        <v>0</v>
      </c>
    </row>
    <row r="217" spans="1:44" x14ac:dyDescent="0.25">
      <c r="A217" s="586">
        <v>5756</v>
      </c>
      <c r="B217" s="587" t="s">
        <v>284</v>
      </c>
      <c r="C217" s="505">
        <v>917350.05</v>
      </c>
      <c r="D217" s="505">
        <v>216263.84</v>
      </c>
      <c r="E217" s="505"/>
      <c r="F217" s="506"/>
      <c r="G217" s="505">
        <v>31264.400000000001</v>
      </c>
      <c r="H217" s="505">
        <v>268.5</v>
      </c>
      <c r="I217" s="505"/>
      <c r="J217" s="505">
        <v>15427.63</v>
      </c>
      <c r="K217" s="505">
        <v>786.4</v>
      </c>
      <c r="L217" s="505">
        <v>89065.2</v>
      </c>
      <c r="M217" s="384">
        <f t="shared" si="12"/>
        <v>1270426.0199999998</v>
      </c>
      <c r="N217" s="510">
        <v>11823.3</v>
      </c>
      <c r="O217" s="510">
        <v>7192.5</v>
      </c>
      <c r="P217" s="510">
        <v>484</v>
      </c>
      <c r="Q217" s="510"/>
      <c r="R217" s="510">
        <v>11649.75</v>
      </c>
      <c r="S217" s="505">
        <v>3267.52</v>
      </c>
      <c r="T217" s="384">
        <f t="shared" si="13"/>
        <v>1304843.0899999999</v>
      </c>
      <c r="U217" s="507">
        <v>-13476.54</v>
      </c>
      <c r="V217" s="510"/>
      <c r="W217" s="510">
        <v>0</v>
      </c>
      <c r="X217" s="515">
        <v>72</v>
      </c>
      <c r="Y217" s="518">
        <v>1</v>
      </c>
      <c r="Z217" s="519">
        <v>496</v>
      </c>
      <c r="AA217" s="588"/>
      <c r="AB217" s="524">
        <v>53381</v>
      </c>
      <c r="AC217" s="337">
        <f>AB217/VPI!R217</f>
        <v>3.0498176107765569</v>
      </c>
      <c r="AD217" s="339">
        <f t="shared" si="14"/>
        <v>68748</v>
      </c>
      <c r="AE217" s="337">
        <f>AD217/VPI!R217</f>
        <v>3.9277806917380107</v>
      </c>
      <c r="AF217" s="524">
        <v>122129</v>
      </c>
      <c r="AG217" s="524">
        <v>35985</v>
      </c>
      <c r="AH217" s="524">
        <v>55975</v>
      </c>
      <c r="AI217" s="595"/>
      <c r="AJ217" s="519"/>
      <c r="AK217" s="337">
        <f>AJ217/VPI!R217</f>
        <v>0</v>
      </c>
      <c r="AL217" s="339">
        <f t="shared" si="15"/>
        <v>9648</v>
      </c>
      <c r="AM217" s="337">
        <f>AL217/VPI!R217</f>
        <v>0.55121935349229545</v>
      </c>
      <c r="AN217" s="519">
        <v>9648</v>
      </c>
      <c r="AO217" s="595"/>
      <c r="AP217" s="532">
        <v>20.939682725635247</v>
      </c>
      <c r="AR217" s="591">
        <v>0</v>
      </c>
    </row>
    <row r="218" spans="1:44" x14ac:dyDescent="0.25">
      <c r="A218" s="586">
        <v>5757</v>
      </c>
      <c r="B218" s="587" t="s">
        <v>285</v>
      </c>
      <c r="C218" s="505">
        <v>11736132.34</v>
      </c>
      <c r="D218" s="505">
        <v>1136813.9099999999</v>
      </c>
      <c r="E218" s="505"/>
      <c r="F218" s="506"/>
      <c r="G218" s="505">
        <v>1271666.6499999999</v>
      </c>
      <c r="H218" s="505">
        <v>89602.8</v>
      </c>
      <c r="I218" s="505"/>
      <c r="J218" s="505">
        <v>567394.02</v>
      </c>
      <c r="K218" s="505">
        <v>66398.850000000006</v>
      </c>
      <c r="L218" s="505">
        <v>1511985.85</v>
      </c>
      <c r="M218" s="384">
        <f t="shared" si="12"/>
        <v>16379994.42</v>
      </c>
      <c r="N218" s="510">
        <v>3330927</v>
      </c>
      <c r="O218" s="510">
        <v>95915.3</v>
      </c>
      <c r="P218" s="510">
        <v>754340.4</v>
      </c>
      <c r="Q218" s="510">
        <v>111662.76</v>
      </c>
      <c r="R218" s="510">
        <v>678210.5</v>
      </c>
      <c r="S218" s="505">
        <v>141058.6</v>
      </c>
      <c r="T218" s="384">
        <f t="shared" si="13"/>
        <v>21492108.980000004</v>
      </c>
      <c r="U218" s="507">
        <v>-191657.92</v>
      </c>
      <c r="V218" s="510"/>
      <c r="W218" s="510">
        <v>-1222.68</v>
      </c>
      <c r="X218" s="515">
        <v>75.5</v>
      </c>
      <c r="Y218" s="518">
        <v>1</v>
      </c>
      <c r="Z218" s="519">
        <v>7617</v>
      </c>
      <c r="AA218" s="588"/>
      <c r="AB218" s="524">
        <v>804683</v>
      </c>
      <c r="AC218" s="337">
        <f>AB218/VPI!R218</f>
        <v>3.6955094643473183</v>
      </c>
      <c r="AD218" s="339">
        <f t="shared" si="14"/>
        <v>1808713</v>
      </c>
      <c r="AE218" s="337">
        <f>AD218/VPI!R218</f>
        <v>8.306520716590299</v>
      </c>
      <c r="AF218" s="524">
        <v>2613396</v>
      </c>
      <c r="AG218" s="524">
        <v>1024263</v>
      </c>
      <c r="AH218" s="524">
        <v>834151</v>
      </c>
      <c r="AI218" s="595"/>
      <c r="AJ218" s="519">
        <v>0</v>
      </c>
      <c r="AK218" s="337">
        <f>AJ218/VPI!R218</f>
        <v>0</v>
      </c>
      <c r="AL218" s="339">
        <f t="shared" si="15"/>
        <v>100036</v>
      </c>
      <c r="AM218" s="337">
        <f>AL218/VPI!R218</f>
        <v>0.45941567645327208</v>
      </c>
      <c r="AN218" s="519">
        <v>100036</v>
      </c>
      <c r="AO218" s="595"/>
      <c r="AP218" s="532">
        <v>0.43419250933965436</v>
      </c>
      <c r="AR218" s="591">
        <v>0</v>
      </c>
    </row>
    <row r="219" spans="1:44" x14ac:dyDescent="0.25">
      <c r="A219" s="586">
        <v>5758</v>
      </c>
      <c r="B219" s="587" t="s">
        <v>192</v>
      </c>
      <c r="C219" s="505">
        <v>293747.44</v>
      </c>
      <c r="D219" s="505">
        <v>34308.65</v>
      </c>
      <c r="E219" s="505"/>
      <c r="F219" s="506"/>
      <c r="G219" s="505">
        <v>1834.15</v>
      </c>
      <c r="H219" s="505">
        <v>957.15</v>
      </c>
      <c r="I219" s="505"/>
      <c r="J219" s="505">
        <v>13593.09</v>
      </c>
      <c r="K219" s="505"/>
      <c r="L219" s="505">
        <v>31353.200000000001</v>
      </c>
      <c r="M219" s="384">
        <f t="shared" si="12"/>
        <v>375793.68000000011</v>
      </c>
      <c r="N219" s="510">
        <v>497.55</v>
      </c>
      <c r="O219" s="510"/>
      <c r="P219" s="510">
        <v>2090</v>
      </c>
      <c r="Q219" s="510"/>
      <c r="R219" s="510"/>
      <c r="S219" s="505">
        <v>289.24</v>
      </c>
      <c r="T219" s="384">
        <f t="shared" si="13"/>
        <v>378670.47000000009</v>
      </c>
      <c r="U219" s="507">
        <v>-2515.2600000000002</v>
      </c>
      <c r="V219" s="510"/>
      <c r="W219" s="510">
        <v>-9.25</v>
      </c>
      <c r="X219" s="515">
        <v>83</v>
      </c>
      <c r="Y219" s="518">
        <v>1</v>
      </c>
      <c r="Z219" s="519">
        <v>183</v>
      </c>
      <c r="AA219" s="588"/>
      <c r="AB219" s="524">
        <v>25519</v>
      </c>
      <c r="AC219" s="337">
        <f>AB219/VPI!R219</f>
        <v>5.6700021825234765</v>
      </c>
      <c r="AD219" s="339">
        <f t="shared" si="14"/>
        <v>69661</v>
      </c>
      <c r="AE219" s="337">
        <f>AD219/VPI!R219</f>
        <v>15.477801717809001</v>
      </c>
      <c r="AF219" s="524">
        <v>95180</v>
      </c>
      <c r="AG219" s="524">
        <v>8698</v>
      </c>
      <c r="AH219" s="524">
        <v>20309</v>
      </c>
      <c r="AI219" s="595"/>
      <c r="AJ219" s="519">
        <v>0</v>
      </c>
      <c r="AK219" s="337">
        <f>AJ219/VPI!R219</f>
        <v>0</v>
      </c>
      <c r="AL219" s="339">
        <f t="shared" si="15"/>
        <v>-18693</v>
      </c>
      <c r="AM219" s="337">
        <f>AL219/VPI!R219</f>
        <v>-4.1533504760339879</v>
      </c>
      <c r="AN219" s="519">
        <v>-18693</v>
      </c>
      <c r="AO219" s="595"/>
      <c r="AP219" s="532">
        <v>4.2595783984225353</v>
      </c>
      <c r="AR219" s="591">
        <v>0</v>
      </c>
    </row>
    <row r="220" spans="1:44" x14ac:dyDescent="0.25">
      <c r="A220" s="586">
        <v>5759</v>
      </c>
      <c r="B220" s="587" t="s">
        <v>193</v>
      </c>
      <c r="C220" s="505">
        <v>356026.11</v>
      </c>
      <c r="D220" s="505">
        <v>58248.38</v>
      </c>
      <c r="E220" s="505"/>
      <c r="F220" s="506"/>
      <c r="G220" s="505">
        <v>1515.4</v>
      </c>
      <c r="H220" s="505">
        <v>230.85</v>
      </c>
      <c r="I220" s="505"/>
      <c r="J220" s="505">
        <v>1262.19</v>
      </c>
      <c r="K220" s="505">
        <v>242.95</v>
      </c>
      <c r="L220" s="505">
        <v>32163.7</v>
      </c>
      <c r="M220" s="384">
        <f t="shared" si="12"/>
        <v>449689.58</v>
      </c>
      <c r="N220" s="510">
        <v>4142.25</v>
      </c>
      <c r="O220" s="510"/>
      <c r="P220" s="510">
        <v>12761.6</v>
      </c>
      <c r="Q220" s="510">
        <v>4322.71</v>
      </c>
      <c r="R220" s="510">
        <v>28647.05</v>
      </c>
      <c r="S220" s="505">
        <v>180.95</v>
      </c>
      <c r="T220" s="384">
        <f t="shared" si="13"/>
        <v>499744.14</v>
      </c>
      <c r="U220" s="507">
        <v>-3557.01</v>
      </c>
      <c r="V220" s="510"/>
      <c r="W220" s="510">
        <v>-105.9</v>
      </c>
      <c r="X220" s="515">
        <v>79.5</v>
      </c>
      <c r="Y220" s="518">
        <v>1</v>
      </c>
      <c r="Z220" s="519">
        <v>236</v>
      </c>
      <c r="AA220" s="588"/>
      <c r="AB220" s="524">
        <v>33145</v>
      </c>
      <c r="AC220" s="337">
        <f>AB220/VPI!R220</f>
        <v>5.8487238805875732</v>
      </c>
      <c r="AD220" s="339">
        <f t="shared" si="14"/>
        <v>18348</v>
      </c>
      <c r="AE220" s="337">
        <f>AD220/VPI!R220</f>
        <v>3.2376643765581772</v>
      </c>
      <c r="AF220" s="524">
        <v>51493</v>
      </c>
      <c r="AG220" s="524">
        <v>11087</v>
      </c>
      <c r="AH220" s="524">
        <v>30181</v>
      </c>
      <c r="AI220" s="595"/>
      <c r="AJ220" s="519">
        <v>0</v>
      </c>
      <c r="AK220" s="337">
        <f>AJ220/VPI!R220</f>
        <v>0</v>
      </c>
      <c r="AL220" s="339">
        <f t="shared" si="15"/>
        <v>-83828</v>
      </c>
      <c r="AM220" s="337">
        <f>AL220/VPI!R220</f>
        <v>-14.792180584157341</v>
      </c>
      <c r="AN220" s="519">
        <v>-83828</v>
      </c>
      <c r="AO220" s="595"/>
      <c r="AP220" s="532">
        <v>4.5606071971527768</v>
      </c>
      <c r="AR220" s="591">
        <v>0</v>
      </c>
    </row>
    <row r="221" spans="1:44" x14ac:dyDescent="0.25">
      <c r="A221" s="586">
        <v>5760</v>
      </c>
      <c r="B221" s="587" t="s">
        <v>194</v>
      </c>
      <c r="C221" s="505">
        <v>1066111.51</v>
      </c>
      <c r="D221" s="505">
        <v>82117.240000000005</v>
      </c>
      <c r="E221" s="505"/>
      <c r="F221" s="506"/>
      <c r="G221" s="505">
        <v>3367.3</v>
      </c>
      <c r="H221" s="505">
        <v>2574.1</v>
      </c>
      <c r="I221" s="505"/>
      <c r="J221" s="505">
        <v>4161.78</v>
      </c>
      <c r="K221" s="505"/>
      <c r="L221" s="505">
        <v>127758</v>
      </c>
      <c r="M221" s="384">
        <f t="shared" si="12"/>
        <v>1286089.9300000002</v>
      </c>
      <c r="N221" s="510">
        <v>31918.75</v>
      </c>
      <c r="O221" s="510">
        <v>52726.1</v>
      </c>
      <c r="P221" s="510">
        <v>46745.599999999999</v>
      </c>
      <c r="Q221" s="510">
        <v>24041.63</v>
      </c>
      <c r="R221" s="510">
        <v>23275.599999999999</v>
      </c>
      <c r="S221" s="505">
        <v>615.66999999999996</v>
      </c>
      <c r="T221" s="384">
        <f t="shared" si="13"/>
        <v>1465413.2800000003</v>
      </c>
      <c r="U221" s="507">
        <v>-18801.09</v>
      </c>
      <c r="V221" s="510"/>
      <c r="W221" s="510">
        <v>-1747.1</v>
      </c>
      <c r="X221" s="515">
        <v>76.5</v>
      </c>
      <c r="Y221" s="518">
        <v>1.5</v>
      </c>
      <c r="Z221" s="519">
        <v>521</v>
      </c>
      <c r="AA221" s="588"/>
      <c r="AB221" s="524">
        <v>7960</v>
      </c>
      <c r="AC221" s="337">
        <f>AB221/VPI!R221</f>
        <v>0.48808402964431996</v>
      </c>
      <c r="AD221" s="339">
        <f t="shared" si="14"/>
        <v>169882</v>
      </c>
      <c r="AE221" s="337">
        <f>AD221/VPI!R221</f>
        <v>10.416669739200549</v>
      </c>
      <c r="AF221" s="524">
        <v>177842</v>
      </c>
      <c r="AG221" s="524">
        <v>36702</v>
      </c>
      <c r="AH221" s="524">
        <v>50467</v>
      </c>
      <c r="AI221" s="595"/>
      <c r="AJ221" s="519">
        <v>0</v>
      </c>
      <c r="AK221" s="337">
        <f>AJ221/VPI!R221</f>
        <v>0</v>
      </c>
      <c r="AL221" s="339">
        <f t="shared" si="15"/>
        <v>86579</v>
      </c>
      <c r="AM221" s="337">
        <f>AL221/VPI!R221</f>
        <v>5.3087722616300974</v>
      </c>
      <c r="AN221" s="519">
        <v>86579</v>
      </c>
      <c r="AO221" s="595"/>
      <c r="AP221" s="532">
        <v>11.170094181092091</v>
      </c>
      <c r="AR221" s="591">
        <v>0</v>
      </c>
    </row>
    <row r="222" spans="1:44" x14ac:dyDescent="0.25">
      <c r="A222" s="586">
        <v>5761</v>
      </c>
      <c r="B222" s="587" t="s">
        <v>121</v>
      </c>
      <c r="C222" s="505">
        <v>932579.39</v>
      </c>
      <c r="D222" s="505">
        <v>131807.26</v>
      </c>
      <c r="E222" s="505"/>
      <c r="F222" s="506"/>
      <c r="G222" s="505">
        <v>1972.9</v>
      </c>
      <c r="H222" s="505">
        <v>1158.6500000000001</v>
      </c>
      <c r="I222" s="505"/>
      <c r="J222" s="505">
        <v>14530.58</v>
      </c>
      <c r="K222" s="505">
        <v>810.8</v>
      </c>
      <c r="L222" s="505">
        <v>99547.9</v>
      </c>
      <c r="M222" s="384">
        <f t="shared" si="12"/>
        <v>1182407.4799999997</v>
      </c>
      <c r="N222" s="510">
        <v>75342.05</v>
      </c>
      <c r="O222" s="510"/>
      <c r="P222" s="510">
        <v>31506.55</v>
      </c>
      <c r="Q222" s="510"/>
      <c r="R222" s="510">
        <v>19263.650000000001</v>
      </c>
      <c r="S222" s="505">
        <v>324.5</v>
      </c>
      <c r="T222" s="384">
        <f t="shared" si="13"/>
        <v>1308844.2299999997</v>
      </c>
      <c r="U222" s="507">
        <v>-6622.79</v>
      </c>
      <c r="V222" s="510"/>
      <c r="W222" s="510">
        <v>-32.03</v>
      </c>
      <c r="X222" s="515">
        <v>81</v>
      </c>
      <c r="Y222" s="518">
        <v>1.1000000000000001</v>
      </c>
      <c r="Z222" s="519">
        <v>559</v>
      </c>
      <c r="AA222" s="588"/>
      <c r="AB222" s="524">
        <v>5285</v>
      </c>
      <c r="AC222" s="337">
        <f>AB222/VPI!R222</f>
        <v>0.36681659574347625</v>
      </c>
      <c r="AD222" s="339">
        <f t="shared" si="14"/>
        <v>259183</v>
      </c>
      <c r="AE222" s="337">
        <f>AD222/VPI!R222</f>
        <v>17.989143942210294</v>
      </c>
      <c r="AF222" s="524">
        <v>264468</v>
      </c>
      <c r="AG222" s="524">
        <v>52663</v>
      </c>
      <c r="AH222" s="524">
        <v>53113</v>
      </c>
      <c r="AI222" s="595"/>
      <c r="AJ222" s="519">
        <v>0</v>
      </c>
      <c r="AK222" s="337">
        <f>AJ222/VPI!R222</f>
        <v>0</v>
      </c>
      <c r="AL222" s="339">
        <f t="shared" si="15"/>
        <v>10206</v>
      </c>
      <c r="AM222" s="337">
        <f>AL222/VPI!R222</f>
        <v>0.70836900211124287</v>
      </c>
      <c r="AN222" s="519">
        <v>10206</v>
      </c>
      <c r="AO222" s="595"/>
      <c r="AP222" s="532">
        <v>-0.92657947642963912</v>
      </c>
      <c r="AR222" s="591">
        <v>0</v>
      </c>
    </row>
    <row r="223" spans="1:44" x14ac:dyDescent="0.25">
      <c r="A223" s="586">
        <v>5762</v>
      </c>
      <c r="B223" s="587" t="s">
        <v>122</v>
      </c>
      <c r="C223" s="505">
        <v>233190.13</v>
      </c>
      <c r="D223" s="505">
        <v>32413.61</v>
      </c>
      <c r="E223" s="505"/>
      <c r="F223" s="506"/>
      <c r="G223" s="505">
        <v>4515.5</v>
      </c>
      <c r="H223" s="505">
        <v>219.8</v>
      </c>
      <c r="I223" s="505"/>
      <c r="J223" s="505">
        <v>118.84</v>
      </c>
      <c r="K223" s="505">
        <v>-416.55</v>
      </c>
      <c r="L223" s="505">
        <v>21338.6</v>
      </c>
      <c r="M223" s="384">
        <f t="shared" si="12"/>
        <v>291379.93</v>
      </c>
      <c r="N223" s="510">
        <v>11860.15</v>
      </c>
      <c r="O223" s="510">
        <v>307.2</v>
      </c>
      <c r="P223" s="510">
        <v>5923.5</v>
      </c>
      <c r="Q223" s="510"/>
      <c r="R223" s="510"/>
      <c r="S223" s="505">
        <v>490.69</v>
      </c>
      <c r="T223" s="384">
        <f t="shared" si="13"/>
        <v>309961.47000000003</v>
      </c>
      <c r="U223" s="507">
        <v>-41.65</v>
      </c>
      <c r="V223" s="510"/>
      <c r="W223" s="510">
        <v>0</v>
      </c>
      <c r="X223" s="515">
        <v>78</v>
      </c>
      <c r="Y223" s="518">
        <v>1</v>
      </c>
      <c r="Z223" s="519">
        <v>140</v>
      </c>
      <c r="AA223" s="588"/>
      <c r="AB223" s="524">
        <v>13679</v>
      </c>
      <c r="AC223" s="337">
        <f>AB223/VPI!R223</f>
        <v>3.6561209121904521</v>
      </c>
      <c r="AD223" s="339">
        <f t="shared" si="14"/>
        <v>48180</v>
      </c>
      <c r="AE223" s="337">
        <f>AD223/VPI!R223</f>
        <v>12.877542623681261</v>
      </c>
      <c r="AF223" s="524">
        <v>61859</v>
      </c>
      <c r="AG223" s="524">
        <v>6738</v>
      </c>
      <c r="AH223" s="524">
        <v>15210</v>
      </c>
      <c r="AI223" s="595"/>
      <c r="AJ223" s="519"/>
      <c r="AK223" s="337">
        <f>AJ223/VPI!R223</f>
        <v>0</v>
      </c>
      <c r="AL223" s="339">
        <f t="shared" si="15"/>
        <v>5655</v>
      </c>
      <c r="AM223" s="337">
        <f>AL223/VPI!R223</f>
        <v>1.5114674872751668</v>
      </c>
      <c r="AN223" s="519">
        <v>5655</v>
      </c>
      <c r="AO223" s="595"/>
      <c r="AP223" s="532">
        <v>8.8820905648258464</v>
      </c>
      <c r="AR223" s="591">
        <v>0</v>
      </c>
    </row>
    <row r="224" spans="1:44" x14ac:dyDescent="0.25">
      <c r="A224" s="586">
        <v>5763</v>
      </c>
      <c r="B224" s="587" t="s">
        <v>123</v>
      </c>
      <c r="C224" s="505">
        <v>1232066.53</v>
      </c>
      <c r="D224" s="505">
        <v>177129.32</v>
      </c>
      <c r="E224" s="505"/>
      <c r="F224" s="506">
        <v>3480</v>
      </c>
      <c r="G224" s="505">
        <v>31026.65</v>
      </c>
      <c r="H224" s="505">
        <v>1526.85</v>
      </c>
      <c r="I224" s="505"/>
      <c r="J224" s="505">
        <v>37540.949999999997</v>
      </c>
      <c r="K224" s="505">
        <v>4048.65</v>
      </c>
      <c r="L224" s="505">
        <v>92119</v>
      </c>
      <c r="M224" s="384">
        <f t="shared" si="12"/>
        <v>1578937.95</v>
      </c>
      <c r="N224" s="510">
        <v>28645.15</v>
      </c>
      <c r="O224" s="510"/>
      <c r="P224" s="510">
        <v>22840.15</v>
      </c>
      <c r="Q224" s="510">
        <v>2712.46</v>
      </c>
      <c r="R224" s="510"/>
      <c r="S224" s="505">
        <v>3373.29</v>
      </c>
      <c r="T224" s="384">
        <f t="shared" si="13"/>
        <v>1636508.9999999998</v>
      </c>
      <c r="U224" s="507">
        <v>-1635.89</v>
      </c>
      <c r="V224" s="510"/>
      <c r="W224" s="510">
        <v>-316.05</v>
      </c>
      <c r="X224" s="515">
        <v>71</v>
      </c>
      <c r="Y224" s="518">
        <v>1</v>
      </c>
      <c r="Z224" s="519">
        <v>606</v>
      </c>
      <c r="AA224" s="588"/>
      <c r="AB224" s="524">
        <v>20427</v>
      </c>
      <c r="AC224" s="337">
        <f>AB224/VPI!R224</f>
        <v>0.91614103456687279</v>
      </c>
      <c r="AD224" s="339">
        <f t="shared" si="14"/>
        <v>108006</v>
      </c>
      <c r="AE224" s="337">
        <f>AD224/VPI!R224</f>
        <v>4.844016673002872</v>
      </c>
      <c r="AF224" s="524">
        <v>128433</v>
      </c>
      <c r="AG224" s="524">
        <v>44014</v>
      </c>
      <c r="AH224" s="524">
        <v>69691</v>
      </c>
      <c r="AI224" s="595"/>
      <c r="AJ224" s="519">
        <v>0</v>
      </c>
      <c r="AK224" s="337">
        <f>AJ224/VPI!R224</f>
        <v>0</v>
      </c>
      <c r="AL224" s="339">
        <f t="shared" si="15"/>
        <v>52390</v>
      </c>
      <c r="AM224" s="337">
        <f>AL224/VPI!R224</f>
        <v>2.3496660694648486</v>
      </c>
      <c r="AN224" s="519">
        <v>52390</v>
      </c>
      <c r="AO224" s="595"/>
      <c r="AP224" s="532">
        <v>22.962339776102837</v>
      </c>
      <c r="AR224" s="591">
        <v>0</v>
      </c>
    </row>
    <row r="225" spans="1:44" x14ac:dyDescent="0.25">
      <c r="A225" s="586">
        <v>5764</v>
      </c>
      <c r="B225" s="587" t="s">
        <v>286</v>
      </c>
      <c r="C225" s="505">
        <v>4564984.3499999996</v>
      </c>
      <c r="D225" s="505">
        <v>506663.65</v>
      </c>
      <c r="E225" s="505"/>
      <c r="F225" s="506"/>
      <c r="G225" s="505">
        <v>177646.15</v>
      </c>
      <c r="H225" s="505">
        <v>54263</v>
      </c>
      <c r="I225" s="505"/>
      <c r="J225" s="505">
        <v>260379.88</v>
      </c>
      <c r="K225" s="505">
        <v>37379.1</v>
      </c>
      <c r="L225" s="505">
        <v>515595.35</v>
      </c>
      <c r="M225" s="384">
        <f t="shared" si="12"/>
        <v>6116911.4799999995</v>
      </c>
      <c r="N225" s="510">
        <v>2438828.15</v>
      </c>
      <c r="O225" s="510">
        <v>8517</v>
      </c>
      <c r="P225" s="510">
        <v>339945.55</v>
      </c>
      <c r="Q225" s="510">
        <v>105396.26</v>
      </c>
      <c r="R225" s="510">
        <v>303427.84999999998</v>
      </c>
      <c r="S225" s="505">
        <v>24031.09</v>
      </c>
      <c r="T225" s="384">
        <f t="shared" si="13"/>
        <v>9337057.379999999</v>
      </c>
      <c r="U225" s="507">
        <v>-260287.12</v>
      </c>
      <c r="V225" s="510"/>
      <c r="W225" s="510">
        <v>-482.6</v>
      </c>
      <c r="X225" s="515">
        <v>71.5</v>
      </c>
      <c r="Y225" s="518">
        <v>1</v>
      </c>
      <c r="Z225" s="519">
        <v>3987</v>
      </c>
      <c r="AA225" s="588"/>
      <c r="AB225" s="524">
        <v>540100</v>
      </c>
      <c r="AC225" s="337">
        <f>AB225/VPI!R225</f>
        <v>6.4517089837761477</v>
      </c>
      <c r="AD225" s="339">
        <f t="shared" si="14"/>
        <v>1547540</v>
      </c>
      <c r="AE225" s="337">
        <f>AD225/VPI!R225</f>
        <v>18.485979856976375</v>
      </c>
      <c r="AF225" s="524">
        <v>2087640</v>
      </c>
      <c r="AG225" s="524">
        <v>468809</v>
      </c>
      <c r="AH225" s="524">
        <v>449425</v>
      </c>
      <c r="AI225" s="595"/>
      <c r="AJ225" s="519">
        <v>0</v>
      </c>
      <c r="AK225" s="337">
        <f>AJ225/VPI!R225</f>
        <v>0</v>
      </c>
      <c r="AL225" s="339">
        <f t="shared" si="15"/>
        <v>667892</v>
      </c>
      <c r="AM225" s="337">
        <f>AL225/VPI!R225</f>
        <v>7.9782351723610789</v>
      </c>
      <c r="AN225" s="519">
        <v>667892</v>
      </c>
      <c r="AO225" s="595"/>
      <c r="AP225" s="532">
        <v>-9.3883839291216198</v>
      </c>
      <c r="AR225" s="591">
        <v>0</v>
      </c>
    </row>
    <row r="226" spans="1:44" x14ac:dyDescent="0.25">
      <c r="A226" s="586">
        <v>5765</v>
      </c>
      <c r="B226" s="587" t="s">
        <v>287</v>
      </c>
      <c r="C226" s="505">
        <v>607447.26</v>
      </c>
      <c r="D226" s="505">
        <v>79603.59</v>
      </c>
      <c r="E226" s="505"/>
      <c r="F226" s="506"/>
      <c r="G226" s="505">
        <v>21063.55</v>
      </c>
      <c r="H226" s="505">
        <v>248.85</v>
      </c>
      <c r="I226" s="505"/>
      <c r="J226" s="505">
        <v>20240.09</v>
      </c>
      <c r="K226" s="505"/>
      <c r="L226" s="505">
        <v>33523.9</v>
      </c>
      <c r="M226" s="384">
        <f t="shared" si="12"/>
        <v>762127.24</v>
      </c>
      <c r="N226" s="510">
        <v>28577.200000000001</v>
      </c>
      <c r="O226" s="510">
        <v>2458.6999999999998</v>
      </c>
      <c r="P226" s="510">
        <v>412.5</v>
      </c>
      <c r="Q226" s="510">
        <v>1242.99</v>
      </c>
      <c r="R226" s="510">
        <v>10962.15</v>
      </c>
      <c r="S226" s="505">
        <v>2208.4499999999998</v>
      </c>
      <c r="T226" s="384">
        <f t="shared" si="13"/>
        <v>807989.22999999986</v>
      </c>
      <c r="U226" s="507">
        <v>-19249.3</v>
      </c>
      <c r="V226" s="510"/>
      <c r="W226" s="510">
        <v>0</v>
      </c>
      <c r="X226" s="515">
        <v>81</v>
      </c>
      <c r="Y226" s="518">
        <v>0.5</v>
      </c>
      <c r="Z226" s="519">
        <v>483</v>
      </c>
      <c r="AA226" s="588"/>
      <c r="AB226" s="524">
        <v>35921</v>
      </c>
      <c r="AC226" s="337">
        <f>AB226/VPI!R226</f>
        <v>3.7309594953553318</v>
      </c>
      <c r="AD226" s="339">
        <f t="shared" si="14"/>
        <v>172543</v>
      </c>
      <c r="AE226" s="337">
        <f>AD226/VPI!R226</f>
        <v>17.921297965176219</v>
      </c>
      <c r="AF226" s="524">
        <v>208464</v>
      </c>
      <c r="AG226" s="524">
        <v>23512</v>
      </c>
      <c r="AH226" s="524">
        <v>52184</v>
      </c>
      <c r="AI226" s="595"/>
      <c r="AJ226" s="519">
        <v>0</v>
      </c>
      <c r="AK226" s="337">
        <f>AJ226/VPI!R226</f>
        <v>0</v>
      </c>
      <c r="AL226" s="339">
        <f t="shared" si="15"/>
        <v>33229</v>
      </c>
      <c r="AM226" s="337">
        <f>AL226/VPI!R226</f>
        <v>3.4513530545130235</v>
      </c>
      <c r="AN226" s="519">
        <v>33229</v>
      </c>
      <c r="AO226" s="595"/>
      <c r="AP226" s="532">
        <v>-8.1272155257050134</v>
      </c>
      <c r="AR226" s="591">
        <v>0</v>
      </c>
    </row>
    <row r="227" spans="1:44" x14ac:dyDescent="0.25">
      <c r="A227" s="586">
        <v>5766</v>
      </c>
      <c r="B227" s="587" t="s">
        <v>288</v>
      </c>
      <c r="C227" s="505">
        <v>886709.66</v>
      </c>
      <c r="D227" s="505">
        <v>111155.67</v>
      </c>
      <c r="E227" s="505"/>
      <c r="F227" s="506">
        <v>3670</v>
      </c>
      <c r="G227" s="505">
        <v>51759.25</v>
      </c>
      <c r="H227" s="505">
        <v>1892.05</v>
      </c>
      <c r="I227" s="505"/>
      <c r="J227" s="505">
        <v>29025.47</v>
      </c>
      <c r="K227" s="505">
        <v>-11427.7</v>
      </c>
      <c r="L227" s="505">
        <v>65669.7</v>
      </c>
      <c r="M227" s="384">
        <f t="shared" si="12"/>
        <v>1138454.1000000001</v>
      </c>
      <c r="N227" s="510">
        <v>34762.300000000003</v>
      </c>
      <c r="O227" s="510"/>
      <c r="P227" s="510">
        <v>160536.54999999999</v>
      </c>
      <c r="Q227" s="510">
        <v>2160.98</v>
      </c>
      <c r="R227" s="510">
        <v>9145.2000000000007</v>
      </c>
      <c r="S227" s="505">
        <v>5559.5</v>
      </c>
      <c r="T227" s="384">
        <f t="shared" si="13"/>
        <v>1350618.6300000001</v>
      </c>
      <c r="U227" s="507">
        <v>-17642.419999999998</v>
      </c>
      <c r="V227" s="510"/>
      <c r="W227" s="510">
        <v>-16.63</v>
      </c>
      <c r="X227" s="515">
        <v>75</v>
      </c>
      <c r="Y227" s="518">
        <v>0.7</v>
      </c>
      <c r="Z227" s="519">
        <v>592</v>
      </c>
      <c r="AA227" s="588"/>
      <c r="AB227" s="524">
        <v>11060</v>
      </c>
      <c r="AC227" s="337">
        <f>AB227/VPI!R227</f>
        <v>0.71715130147658523</v>
      </c>
      <c r="AD227" s="339">
        <f t="shared" si="14"/>
        <v>44727</v>
      </c>
      <c r="AE227" s="337">
        <f>AD227/VPI!R227</f>
        <v>2.9001832062516479</v>
      </c>
      <c r="AF227" s="524">
        <v>55787</v>
      </c>
      <c r="AG227" s="524">
        <v>70608</v>
      </c>
      <c r="AH227" s="524">
        <v>59489</v>
      </c>
      <c r="AI227" s="595"/>
      <c r="AJ227" s="519">
        <v>0</v>
      </c>
      <c r="AK227" s="337">
        <f>AJ227/VPI!R227</f>
        <v>0</v>
      </c>
      <c r="AL227" s="339">
        <f t="shared" si="15"/>
        <v>29268</v>
      </c>
      <c r="AM227" s="337">
        <f>AL227/VPI!R227</f>
        <v>1.8977924314300809</v>
      </c>
      <c r="AN227" s="519">
        <v>29268</v>
      </c>
      <c r="AO227" s="595"/>
      <c r="AP227" s="532">
        <v>8.6162204778121563</v>
      </c>
      <c r="AR227" s="591">
        <v>0</v>
      </c>
    </row>
    <row r="228" spans="1:44" x14ac:dyDescent="0.25">
      <c r="A228" s="586">
        <v>5785</v>
      </c>
      <c r="B228" s="587" t="s">
        <v>240</v>
      </c>
      <c r="C228" s="505">
        <v>886890.73</v>
      </c>
      <c r="D228" s="505">
        <v>190343.15</v>
      </c>
      <c r="E228" s="505"/>
      <c r="F228" s="506"/>
      <c r="G228" s="505">
        <v>13429.35</v>
      </c>
      <c r="H228" s="505">
        <v>1464.5</v>
      </c>
      <c r="I228" s="505"/>
      <c r="J228" s="505">
        <v>26475.4</v>
      </c>
      <c r="K228" s="505">
        <v>989.6</v>
      </c>
      <c r="L228" s="505">
        <v>79253.75</v>
      </c>
      <c r="M228" s="384">
        <f t="shared" si="12"/>
        <v>1198846.48</v>
      </c>
      <c r="N228" s="510">
        <v>0</v>
      </c>
      <c r="O228" s="510">
        <v>13060.6</v>
      </c>
      <c r="P228" s="510">
        <v>16115</v>
      </c>
      <c r="Q228" s="510">
        <v>0</v>
      </c>
      <c r="R228" s="510">
        <v>7116.65</v>
      </c>
      <c r="S228" s="505">
        <v>1543.34</v>
      </c>
      <c r="T228" s="384">
        <f t="shared" si="13"/>
        <v>1236682.07</v>
      </c>
      <c r="U228" s="507">
        <v>-38928.74</v>
      </c>
      <c r="V228" s="510"/>
      <c r="W228" s="510">
        <v>-1826.55</v>
      </c>
      <c r="X228" s="515">
        <v>75</v>
      </c>
      <c r="Y228" s="518">
        <v>1</v>
      </c>
      <c r="Z228" s="519">
        <v>485</v>
      </c>
      <c r="AA228" s="588"/>
      <c r="AB228" s="524">
        <v>669</v>
      </c>
      <c r="AC228" s="337">
        <f>AB228/VPI!R228</f>
        <v>4.3267942357666782E-2</v>
      </c>
      <c r="AD228" s="339">
        <f t="shared" si="14"/>
        <v>123481</v>
      </c>
      <c r="AE228" s="337">
        <f>AD228/VPI!R228</f>
        <v>7.9862014802198082</v>
      </c>
      <c r="AF228" s="524">
        <v>124150</v>
      </c>
      <c r="AG228" s="524">
        <v>18953</v>
      </c>
      <c r="AH228" s="524">
        <v>68048</v>
      </c>
      <c r="AI228" s="595"/>
      <c r="AJ228" s="519">
        <v>0</v>
      </c>
      <c r="AK228" s="337">
        <f>AJ228/VPI!R228</f>
        <v>0</v>
      </c>
      <c r="AL228" s="339">
        <f t="shared" si="15"/>
        <v>34449</v>
      </c>
      <c r="AM228" s="337">
        <f>AL228/VPI!R228</f>
        <v>2.2280079914488233</v>
      </c>
      <c r="AN228" s="519">
        <v>34449</v>
      </c>
      <c r="AO228" s="595"/>
      <c r="AP228" s="532">
        <v>13.252649737067836</v>
      </c>
      <c r="AR228" s="591">
        <v>0</v>
      </c>
    </row>
    <row r="229" spans="1:44" x14ac:dyDescent="0.25">
      <c r="A229" s="586">
        <v>5790</v>
      </c>
      <c r="B229" s="587" t="s">
        <v>241</v>
      </c>
      <c r="C229" s="505">
        <v>916041.75</v>
      </c>
      <c r="D229" s="505">
        <v>137997.01</v>
      </c>
      <c r="E229" s="505"/>
      <c r="F229" s="506"/>
      <c r="G229" s="505">
        <v>31051.65</v>
      </c>
      <c r="H229" s="505">
        <v>310</v>
      </c>
      <c r="I229" s="505"/>
      <c r="J229" s="505">
        <v>32004.46</v>
      </c>
      <c r="K229" s="505">
        <v>923.6</v>
      </c>
      <c r="L229" s="505">
        <v>98334.7</v>
      </c>
      <c r="M229" s="384">
        <f t="shared" si="12"/>
        <v>1216663.17</v>
      </c>
      <c r="N229" s="510">
        <v>8883.9500000000007</v>
      </c>
      <c r="O229" s="510"/>
      <c r="P229" s="510">
        <v>20852.2</v>
      </c>
      <c r="Q229" s="510">
        <v>2840.85</v>
      </c>
      <c r="R229" s="510">
        <v>202.05</v>
      </c>
      <c r="S229" s="505">
        <v>3249.79</v>
      </c>
      <c r="T229" s="384">
        <f t="shared" si="13"/>
        <v>1252692.01</v>
      </c>
      <c r="U229" s="507">
        <v>-5158.51</v>
      </c>
      <c r="V229" s="510"/>
      <c r="W229" s="510">
        <v>-1283.99</v>
      </c>
      <c r="X229" s="515">
        <v>74.5</v>
      </c>
      <c r="Y229" s="518">
        <v>1</v>
      </c>
      <c r="Z229" s="519">
        <v>544</v>
      </c>
      <c r="AA229" s="588"/>
      <c r="AB229" s="524">
        <v>23919</v>
      </c>
      <c r="AC229" s="337">
        <f>AB229/VPI!R229</f>
        <v>1.4650570831245497</v>
      </c>
      <c r="AD229" s="339">
        <f t="shared" si="14"/>
        <v>88040</v>
      </c>
      <c r="AE229" s="337">
        <f>AD229/VPI!R229</f>
        <v>5.3925174797560667</v>
      </c>
      <c r="AF229" s="524">
        <v>111959</v>
      </c>
      <c r="AG229" s="524">
        <v>21201</v>
      </c>
      <c r="AH229" s="524">
        <v>71386</v>
      </c>
      <c r="AI229" s="595"/>
      <c r="AJ229" s="519">
        <v>0</v>
      </c>
      <c r="AK229" s="337">
        <f>AJ229/VPI!R229</f>
        <v>0</v>
      </c>
      <c r="AL229" s="339">
        <f t="shared" si="15"/>
        <v>-3638</v>
      </c>
      <c r="AM229" s="337">
        <f>AL229/VPI!R229</f>
        <v>-0.22283028840700331</v>
      </c>
      <c r="AN229" s="519">
        <v>-3638</v>
      </c>
      <c r="AO229" s="595"/>
      <c r="AP229" s="532">
        <v>11.177489468456628</v>
      </c>
      <c r="AR229" s="591">
        <v>0</v>
      </c>
    </row>
    <row r="230" spans="1:44" x14ac:dyDescent="0.25">
      <c r="A230" s="586">
        <v>5792</v>
      </c>
      <c r="B230" s="587" t="s">
        <v>242</v>
      </c>
      <c r="C230" s="505">
        <v>1179149.6000000001</v>
      </c>
      <c r="D230" s="505">
        <v>146104.5</v>
      </c>
      <c r="E230" s="505"/>
      <c r="F230" s="506"/>
      <c r="G230" s="505">
        <v>10169.65</v>
      </c>
      <c r="H230" s="505">
        <v>3406.7</v>
      </c>
      <c r="I230" s="505"/>
      <c r="J230" s="505">
        <v>4966.45</v>
      </c>
      <c r="K230" s="505">
        <v>3467.5</v>
      </c>
      <c r="L230" s="505">
        <v>123761.9</v>
      </c>
      <c r="M230" s="384">
        <f t="shared" si="12"/>
        <v>1471026.2999999998</v>
      </c>
      <c r="N230" s="510">
        <v>0</v>
      </c>
      <c r="O230" s="510">
        <v>461.8</v>
      </c>
      <c r="P230" s="510">
        <v>35200</v>
      </c>
      <c r="Q230" s="510">
        <v>6827.94</v>
      </c>
      <c r="R230" s="510">
        <v>3383.6</v>
      </c>
      <c r="S230" s="505">
        <v>1406.82</v>
      </c>
      <c r="T230" s="384">
        <f t="shared" si="13"/>
        <v>1518306.46</v>
      </c>
      <c r="U230" s="507">
        <v>-17354.32</v>
      </c>
      <c r="V230" s="510"/>
      <c r="W230" s="510">
        <v>0</v>
      </c>
      <c r="X230" s="515">
        <v>75.5</v>
      </c>
      <c r="Y230" s="518">
        <v>1</v>
      </c>
      <c r="Z230" s="519">
        <v>661</v>
      </c>
      <c r="AA230" s="588"/>
      <c r="AB230" s="524">
        <v>61519</v>
      </c>
      <c r="AC230" s="337">
        <f>AB230/VPI!R230</f>
        <v>3.1771414502131652</v>
      </c>
      <c r="AD230" s="339">
        <f t="shared" si="14"/>
        <v>178576</v>
      </c>
      <c r="AE230" s="337">
        <f>AD230/VPI!R230</f>
        <v>9.2225363158254563</v>
      </c>
      <c r="AF230" s="524">
        <v>240095</v>
      </c>
      <c r="AG230" s="524">
        <v>38487</v>
      </c>
      <c r="AH230" s="524">
        <v>90692</v>
      </c>
      <c r="AI230" s="595"/>
      <c r="AJ230" s="519">
        <v>0</v>
      </c>
      <c r="AK230" s="337">
        <f>AJ230/VPI!R230</f>
        <v>0</v>
      </c>
      <c r="AL230" s="339">
        <f t="shared" si="15"/>
        <v>9894</v>
      </c>
      <c r="AM230" s="337">
        <f>AL230/VPI!R230</f>
        <v>0.51097445518309881</v>
      </c>
      <c r="AN230" s="519">
        <v>9894</v>
      </c>
      <c r="AO230" s="595"/>
      <c r="AP230" s="532">
        <v>14.671734237809218</v>
      </c>
      <c r="AR230" s="591">
        <v>0</v>
      </c>
    </row>
    <row r="231" spans="1:44" x14ac:dyDescent="0.25">
      <c r="A231" s="586">
        <v>5798</v>
      </c>
      <c r="B231" s="587" t="s">
        <v>243</v>
      </c>
      <c r="C231" s="505">
        <v>1006521.36</v>
      </c>
      <c r="D231" s="505">
        <v>143547.66</v>
      </c>
      <c r="E231" s="505"/>
      <c r="F231" s="506"/>
      <c r="G231" s="505">
        <v>19528.900000000001</v>
      </c>
      <c r="H231" s="505">
        <v>2949.4</v>
      </c>
      <c r="I231" s="505"/>
      <c r="J231" s="505">
        <v>13253.26</v>
      </c>
      <c r="K231" s="505">
        <v>6916.55</v>
      </c>
      <c r="L231" s="505">
        <v>98809.5</v>
      </c>
      <c r="M231" s="384">
        <f t="shared" si="12"/>
        <v>1291526.6299999999</v>
      </c>
      <c r="N231" s="510">
        <v>23607.15</v>
      </c>
      <c r="O231" s="510">
        <v>1320</v>
      </c>
      <c r="P231" s="510">
        <v>14531.7</v>
      </c>
      <c r="Q231" s="510">
        <v>3880.81</v>
      </c>
      <c r="R231" s="510">
        <v>46485.9</v>
      </c>
      <c r="S231" s="505">
        <v>2329.2600000000002</v>
      </c>
      <c r="T231" s="384">
        <f t="shared" si="13"/>
        <v>1383681.4499999997</v>
      </c>
      <c r="U231" s="507">
        <v>-11912.48</v>
      </c>
      <c r="V231" s="510">
        <v>-29696.85</v>
      </c>
      <c r="W231" s="510">
        <v>0</v>
      </c>
      <c r="X231" s="515">
        <v>77.5</v>
      </c>
      <c r="Y231" s="518">
        <v>1</v>
      </c>
      <c r="Z231" s="519">
        <v>529</v>
      </c>
      <c r="AA231" s="588"/>
      <c r="AB231" s="524">
        <v>19136</v>
      </c>
      <c r="AC231" s="337">
        <f>AB231/VPI!R231</f>
        <v>1.1806446029434099</v>
      </c>
      <c r="AD231" s="339">
        <f t="shared" si="14"/>
        <v>97225</v>
      </c>
      <c r="AE231" s="337">
        <f>AD231/VPI!R231</f>
        <v>5.9985457525696608</v>
      </c>
      <c r="AF231" s="524">
        <v>116361</v>
      </c>
      <c r="AG231" s="524">
        <v>20697</v>
      </c>
      <c r="AH231" s="524">
        <v>84577</v>
      </c>
      <c r="AI231" s="595"/>
      <c r="AJ231" s="519">
        <v>0</v>
      </c>
      <c r="AK231" s="337">
        <f>AJ231/VPI!R231</f>
        <v>0</v>
      </c>
      <c r="AL231" s="339">
        <f t="shared" si="15"/>
        <v>40034</v>
      </c>
      <c r="AM231" s="337">
        <f>AL231/VPI!R231</f>
        <v>2.4700003153342638</v>
      </c>
      <c r="AN231" s="519">
        <v>40034</v>
      </c>
      <c r="AO231" s="595"/>
      <c r="AP231" s="532">
        <v>16.808351937122957</v>
      </c>
      <c r="AR231" s="591">
        <v>0</v>
      </c>
    </row>
    <row r="232" spans="1:44" x14ac:dyDescent="0.25">
      <c r="A232" s="586">
        <v>5799</v>
      </c>
      <c r="B232" s="587" t="s">
        <v>244</v>
      </c>
      <c r="C232" s="505">
        <v>3983348.59</v>
      </c>
      <c r="D232" s="505">
        <v>520080</v>
      </c>
      <c r="E232" s="505"/>
      <c r="F232" s="506"/>
      <c r="G232" s="505">
        <v>52319.15</v>
      </c>
      <c r="H232" s="505">
        <v>3385.1</v>
      </c>
      <c r="I232" s="505"/>
      <c r="J232" s="505">
        <v>58215.24</v>
      </c>
      <c r="K232" s="505">
        <v>11166.75</v>
      </c>
      <c r="L232" s="505">
        <v>439494.7</v>
      </c>
      <c r="M232" s="384">
        <f t="shared" si="12"/>
        <v>5068009.53</v>
      </c>
      <c r="N232" s="510">
        <v>35318.199999999997</v>
      </c>
      <c r="O232" s="510">
        <v>351741.3</v>
      </c>
      <c r="P232" s="510">
        <v>248265.60000000001</v>
      </c>
      <c r="Q232" s="510">
        <v>4516.9399999999996</v>
      </c>
      <c r="R232" s="510">
        <v>223274.4</v>
      </c>
      <c r="S232" s="505">
        <v>5772.23</v>
      </c>
      <c r="T232" s="384">
        <f t="shared" si="13"/>
        <v>5936898.2000000011</v>
      </c>
      <c r="U232" s="507">
        <v>-29334.799999999999</v>
      </c>
      <c r="V232" s="510"/>
      <c r="W232" s="510">
        <v>-233.5</v>
      </c>
      <c r="X232" s="515">
        <v>69</v>
      </c>
      <c r="Y232" s="518">
        <v>1</v>
      </c>
      <c r="Z232" s="519">
        <v>2136</v>
      </c>
      <c r="AA232" s="588"/>
      <c r="AB232" s="524">
        <v>262043</v>
      </c>
      <c r="AC232" s="337">
        <f>AB232/VPI!R232</f>
        <v>3.5812898624969156</v>
      </c>
      <c r="AD232" s="339">
        <f t="shared" si="14"/>
        <v>368417</v>
      </c>
      <c r="AE232" s="337">
        <f>AD232/VPI!R232</f>
        <v>5.0350822852414527</v>
      </c>
      <c r="AF232" s="524">
        <v>630460</v>
      </c>
      <c r="AG232" s="524">
        <v>122495</v>
      </c>
      <c r="AH232" s="524">
        <v>326569</v>
      </c>
      <c r="AI232" s="595"/>
      <c r="AJ232" s="519">
        <v>0</v>
      </c>
      <c r="AK232" s="337">
        <f>AJ232/VPI!R232</f>
        <v>0</v>
      </c>
      <c r="AL232" s="339">
        <f t="shared" si="15"/>
        <v>33199</v>
      </c>
      <c r="AM232" s="337">
        <f>AL232/VPI!R232</f>
        <v>0.45372416796111742</v>
      </c>
      <c r="AN232" s="519">
        <v>33199</v>
      </c>
      <c r="AO232" s="595"/>
      <c r="AP232" s="532">
        <v>16.846644613900104</v>
      </c>
      <c r="AR232" s="591">
        <v>0</v>
      </c>
    </row>
    <row r="233" spans="1:44" x14ac:dyDescent="0.25">
      <c r="A233" s="586">
        <v>5803</v>
      </c>
      <c r="B233" s="587" t="s">
        <v>314</v>
      </c>
      <c r="C233" s="505">
        <v>977790.53</v>
      </c>
      <c r="D233" s="505">
        <v>129383.97</v>
      </c>
      <c r="E233" s="505"/>
      <c r="F233" s="506"/>
      <c r="G233" s="505">
        <v>5822.5</v>
      </c>
      <c r="H233" s="505">
        <v>754.9</v>
      </c>
      <c r="I233" s="505"/>
      <c r="J233" s="505">
        <v>25407.47</v>
      </c>
      <c r="K233" s="505"/>
      <c r="L233" s="505">
        <v>111048.45</v>
      </c>
      <c r="M233" s="384">
        <f t="shared" si="12"/>
        <v>1250207.8199999998</v>
      </c>
      <c r="N233" s="510">
        <v>1523.85</v>
      </c>
      <c r="O233" s="510">
        <v>112264.8</v>
      </c>
      <c r="P233" s="510">
        <v>15440.25</v>
      </c>
      <c r="Q233" s="510">
        <v>-336.85</v>
      </c>
      <c r="R233" s="510">
        <v>7576.4</v>
      </c>
      <c r="S233" s="505">
        <v>681.57</v>
      </c>
      <c r="T233" s="384">
        <f t="shared" si="13"/>
        <v>1387357.8399999999</v>
      </c>
      <c r="U233" s="507">
        <v>-23277.01</v>
      </c>
      <c r="V233" s="510"/>
      <c r="W233" s="510">
        <v>-540.85</v>
      </c>
      <c r="X233" s="515">
        <v>74</v>
      </c>
      <c r="Y233" s="518">
        <v>1</v>
      </c>
      <c r="Z233" s="519">
        <v>632</v>
      </c>
      <c r="AA233" s="588"/>
      <c r="AB233" s="524">
        <v>18386</v>
      </c>
      <c r="AC233" s="337">
        <f>AB233/VPI!R233</f>
        <v>1.1090939403457643</v>
      </c>
      <c r="AD233" s="339">
        <f t="shared" si="14"/>
        <v>92187</v>
      </c>
      <c r="AE233" s="337">
        <f>AD233/VPI!R233</f>
        <v>5.5609726465057641</v>
      </c>
      <c r="AF233" s="524">
        <v>110573</v>
      </c>
      <c r="AG233" s="524">
        <v>24457</v>
      </c>
      <c r="AH233" s="524">
        <v>99180</v>
      </c>
      <c r="AI233" s="595"/>
      <c r="AJ233" s="519">
        <v>0</v>
      </c>
      <c r="AK233" s="337">
        <f>AJ233/VPI!R233</f>
        <v>0</v>
      </c>
      <c r="AL233" s="339">
        <f t="shared" si="15"/>
        <v>50569</v>
      </c>
      <c r="AM233" s="337">
        <f>AL233/VPI!R233</f>
        <v>3.0504607565182722</v>
      </c>
      <c r="AN233" s="519">
        <v>50569</v>
      </c>
      <c r="AO233" s="595"/>
      <c r="AP233" s="532">
        <v>11.744404206174849</v>
      </c>
      <c r="AR233" s="591">
        <v>0</v>
      </c>
    </row>
    <row r="234" spans="1:44" x14ac:dyDescent="0.25">
      <c r="A234" s="586">
        <v>5804</v>
      </c>
      <c r="B234" s="587" t="s">
        <v>347</v>
      </c>
      <c r="C234" s="505">
        <v>2537631.9300000002</v>
      </c>
      <c r="D234" s="505">
        <v>344855.25</v>
      </c>
      <c r="E234" s="505"/>
      <c r="F234" s="506"/>
      <c r="G234" s="505">
        <v>19246.3</v>
      </c>
      <c r="H234" s="505">
        <v>718.95</v>
      </c>
      <c r="I234" s="505"/>
      <c r="J234" s="505">
        <v>45799.15</v>
      </c>
      <c r="K234" s="505">
        <v>3988.3</v>
      </c>
      <c r="L234" s="505">
        <v>281979.34999999998</v>
      </c>
      <c r="M234" s="384">
        <f t="shared" si="12"/>
        <v>3234219.23</v>
      </c>
      <c r="N234" s="510">
        <v>14036.3</v>
      </c>
      <c r="O234" s="510">
        <v>11126.8</v>
      </c>
      <c r="P234" s="510">
        <v>130076.3</v>
      </c>
      <c r="Q234" s="510">
        <v>3920.01</v>
      </c>
      <c r="R234" s="510">
        <v>58763.35</v>
      </c>
      <c r="S234" s="505">
        <v>2068.86</v>
      </c>
      <c r="T234" s="384">
        <f t="shared" si="13"/>
        <v>3454210.8499999992</v>
      </c>
      <c r="U234" s="507">
        <v>-57096.959999999999</v>
      </c>
      <c r="V234" s="510"/>
      <c r="W234" s="510">
        <v>-1791.86</v>
      </c>
      <c r="X234" s="515">
        <v>70.5</v>
      </c>
      <c r="Y234" s="518">
        <v>1</v>
      </c>
      <c r="Z234" s="519">
        <v>1565</v>
      </c>
      <c r="AA234" s="588"/>
      <c r="AB234" s="524">
        <v>56469</v>
      </c>
      <c r="AC234" s="337">
        <f>AB234/VPI!R234</f>
        <v>1.25138791476472</v>
      </c>
      <c r="AD234" s="339">
        <f t="shared" si="14"/>
        <v>528776</v>
      </c>
      <c r="AE234" s="337">
        <f>AD234/VPI!R234</f>
        <v>11.718002727472234</v>
      </c>
      <c r="AF234" s="524">
        <v>585245</v>
      </c>
      <c r="AG234" s="524">
        <v>62129</v>
      </c>
      <c r="AH234" s="524">
        <v>141160</v>
      </c>
      <c r="AI234" s="595"/>
      <c r="AJ234" s="519">
        <v>0</v>
      </c>
      <c r="AK234" s="337">
        <f>AJ234/VPI!R234</f>
        <v>0</v>
      </c>
      <c r="AL234" s="339">
        <f t="shared" si="15"/>
        <v>181502</v>
      </c>
      <c r="AM234" s="337">
        <f>AL234/VPI!R234</f>
        <v>4.022196414061276</v>
      </c>
      <c r="AN234" s="519">
        <v>181502</v>
      </c>
      <c r="AO234" s="595"/>
      <c r="AP234" s="532">
        <v>11.865044255330577</v>
      </c>
      <c r="AR234" s="591">
        <v>0</v>
      </c>
    </row>
    <row r="235" spans="1:44" x14ac:dyDescent="0.25">
      <c r="A235" s="586">
        <v>5805</v>
      </c>
      <c r="B235" s="587" t="s">
        <v>349</v>
      </c>
      <c r="C235" s="505">
        <v>8984314.5099999998</v>
      </c>
      <c r="D235" s="505">
        <v>1221248.8600000001</v>
      </c>
      <c r="E235" s="505"/>
      <c r="F235" s="505"/>
      <c r="G235" s="505">
        <v>423963.2</v>
      </c>
      <c r="H235" s="505">
        <v>56806.25</v>
      </c>
      <c r="I235" s="505">
        <v>74370.649999999994</v>
      </c>
      <c r="J235" s="505">
        <v>203413.32</v>
      </c>
      <c r="K235" s="505">
        <v>64003.6</v>
      </c>
      <c r="L235" s="505">
        <v>1174988.7</v>
      </c>
      <c r="M235" s="384">
        <f t="shared" si="12"/>
        <v>12203109.089999998</v>
      </c>
      <c r="N235" s="505">
        <v>146218.9</v>
      </c>
      <c r="O235" s="505">
        <v>79895.5</v>
      </c>
      <c r="P235" s="505">
        <v>406511.9</v>
      </c>
      <c r="Q235" s="505">
        <v>18132.93</v>
      </c>
      <c r="R235" s="505">
        <v>420023.15</v>
      </c>
      <c r="S235" s="505">
        <v>49818.7</v>
      </c>
      <c r="T235" s="384">
        <f t="shared" si="13"/>
        <v>13323710.169999998</v>
      </c>
      <c r="U235" s="505">
        <v>-118672.78</v>
      </c>
      <c r="V235" s="505"/>
      <c r="W235" s="505">
        <v>-4816.6099999999997</v>
      </c>
      <c r="X235" s="505">
        <v>69</v>
      </c>
      <c r="Y235" s="520">
        <v>1.1000000000000001</v>
      </c>
      <c r="Z235" s="519">
        <v>6119</v>
      </c>
      <c r="AA235" s="505"/>
      <c r="AB235" s="525">
        <v>448694</v>
      </c>
      <c r="AC235" s="337">
        <f>AB235/VPI!R235</f>
        <v>2.5712580415529698</v>
      </c>
      <c r="AD235" s="339">
        <f t="shared" si="14"/>
        <v>1217464</v>
      </c>
      <c r="AE235" s="337">
        <f>AD235/VPI!R235</f>
        <v>6.9767237812434422</v>
      </c>
      <c r="AF235" s="525">
        <v>1666158</v>
      </c>
      <c r="AG235" s="525">
        <v>591060</v>
      </c>
      <c r="AH235" s="525">
        <v>763796</v>
      </c>
      <c r="AI235" s="592"/>
      <c r="AJ235" s="505">
        <v>0</v>
      </c>
      <c r="AK235" s="337">
        <f>AJ235/VPI!R235</f>
        <v>0</v>
      </c>
      <c r="AL235" s="339">
        <f t="shared" si="15"/>
        <v>62909</v>
      </c>
      <c r="AM235" s="337">
        <f>AL235/VPI!R235</f>
        <v>0.3605024184322852</v>
      </c>
      <c r="AN235" s="519">
        <v>62909</v>
      </c>
      <c r="AO235" s="592"/>
      <c r="AP235" s="532">
        <v>4.6068913062921002</v>
      </c>
      <c r="AQ235" s="505"/>
      <c r="AR235" s="591">
        <v>0</v>
      </c>
    </row>
    <row r="236" spans="1:44" x14ac:dyDescent="0.25">
      <c r="A236" s="586">
        <v>5806</v>
      </c>
      <c r="B236" s="587" t="s">
        <v>372</v>
      </c>
      <c r="C236" s="505">
        <v>5975832.5899999999</v>
      </c>
      <c r="D236" s="505">
        <v>718321.18</v>
      </c>
      <c r="E236" s="505"/>
      <c r="F236" s="506"/>
      <c r="G236" s="505">
        <v>99147.9</v>
      </c>
      <c r="H236" s="505">
        <v>6418.35</v>
      </c>
      <c r="I236" s="505">
        <v>53357.25</v>
      </c>
      <c r="J236" s="505">
        <v>100414.72</v>
      </c>
      <c r="K236" s="505">
        <v>25727.55</v>
      </c>
      <c r="L236" s="505">
        <v>578527.15</v>
      </c>
      <c r="M236" s="384">
        <f t="shared" si="12"/>
        <v>7557746.6899999995</v>
      </c>
      <c r="N236" s="510">
        <v>34602.65</v>
      </c>
      <c r="O236" s="510">
        <v>112064.7</v>
      </c>
      <c r="P236" s="510">
        <v>248123.25</v>
      </c>
      <c r="Q236" s="510">
        <v>2128.75</v>
      </c>
      <c r="R236" s="510">
        <v>362969.35</v>
      </c>
      <c r="S236" s="505">
        <v>10939.08</v>
      </c>
      <c r="T236" s="384">
        <f t="shared" si="13"/>
        <v>8328574.4699999997</v>
      </c>
      <c r="U236" s="507">
        <v>-53150.83</v>
      </c>
      <c r="V236" s="510"/>
      <c r="W236" s="510">
        <v>-372.8</v>
      </c>
      <c r="X236" s="515">
        <v>73</v>
      </c>
      <c r="Y236" s="518">
        <v>1</v>
      </c>
      <c r="Z236" s="519">
        <v>3110</v>
      </c>
      <c r="AA236" s="588"/>
      <c r="AB236" s="524">
        <v>286758</v>
      </c>
      <c r="AC236" s="337">
        <f>AB236/VPI!R236</f>
        <v>2.7846912280389353</v>
      </c>
      <c r="AD236" s="339">
        <f t="shared" si="14"/>
        <v>547144</v>
      </c>
      <c r="AE236" s="337">
        <f>AD236/VPI!R236</f>
        <v>5.3132854088609038</v>
      </c>
      <c r="AF236" s="524">
        <v>833902</v>
      </c>
      <c r="AG236" s="524">
        <v>179934</v>
      </c>
      <c r="AH236" s="524">
        <v>487279</v>
      </c>
      <c r="AI236" s="595"/>
      <c r="AJ236" s="519">
        <v>0</v>
      </c>
      <c r="AK236" s="337">
        <f>AJ236/VPI!R236</f>
        <v>0</v>
      </c>
      <c r="AL236" s="339">
        <f t="shared" si="15"/>
        <v>1699</v>
      </c>
      <c r="AM236" s="337">
        <f>AL236/VPI!R236</f>
        <v>1.6498895920735081E-2</v>
      </c>
      <c r="AN236" s="519">
        <v>1699</v>
      </c>
      <c r="AO236" s="595"/>
      <c r="AP236" s="532">
        <v>13.49823780391392</v>
      </c>
      <c r="AR236" s="591">
        <v>0</v>
      </c>
    </row>
    <row r="237" spans="1:44" x14ac:dyDescent="0.25">
      <c r="A237" s="586">
        <v>5812</v>
      </c>
      <c r="B237" s="587" t="s">
        <v>315</v>
      </c>
      <c r="C237" s="505">
        <v>225989.22</v>
      </c>
      <c r="D237" s="505">
        <v>26768.09</v>
      </c>
      <c r="E237" s="505"/>
      <c r="F237" s="506"/>
      <c r="G237" s="505">
        <v>1354.65</v>
      </c>
      <c r="H237" s="505">
        <v>413.55</v>
      </c>
      <c r="I237" s="505"/>
      <c r="J237" s="505">
        <v>3612.06</v>
      </c>
      <c r="K237" s="505">
        <v>490.75</v>
      </c>
      <c r="L237" s="505">
        <v>18467</v>
      </c>
      <c r="M237" s="384">
        <f t="shared" si="12"/>
        <v>277095.31999999995</v>
      </c>
      <c r="N237" s="510">
        <v>0</v>
      </c>
      <c r="O237" s="510">
        <v>2178</v>
      </c>
      <c r="P237" s="510">
        <v>13310</v>
      </c>
      <c r="Q237" s="510"/>
      <c r="R237" s="510">
        <v>30753.7</v>
      </c>
      <c r="S237" s="505">
        <v>183.23</v>
      </c>
      <c r="T237" s="384">
        <f t="shared" si="13"/>
        <v>323520.24999999994</v>
      </c>
      <c r="U237" s="507">
        <v>-71.84</v>
      </c>
      <c r="V237" s="510"/>
      <c r="W237" s="510">
        <v>-59.45</v>
      </c>
      <c r="X237" s="515">
        <v>77</v>
      </c>
      <c r="Y237" s="518">
        <v>0.8</v>
      </c>
      <c r="Z237" s="519">
        <v>169</v>
      </c>
      <c r="AA237" s="588"/>
      <c r="AB237" s="524">
        <v>13747</v>
      </c>
      <c r="AC237" s="337">
        <f>AB237/VPI!R237</f>
        <v>3.7567572948724002</v>
      </c>
      <c r="AD237" s="339">
        <f t="shared" si="14"/>
        <v>24076</v>
      </c>
      <c r="AE237" s="337">
        <f>AD237/VPI!R237</f>
        <v>6.579449234840177</v>
      </c>
      <c r="AF237" s="524">
        <v>37823</v>
      </c>
      <c r="AG237" s="524">
        <v>6450</v>
      </c>
      <c r="AH237" s="524">
        <v>26527</v>
      </c>
      <c r="AI237" s="595"/>
      <c r="AJ237" s="519">
        <v>67</v>
      </c>
      <c r="AK237" s="337">
        <f>AJ237/VPI!R237</f>
        <v>1.8309648560155004E-2</v>
      </c>
      <c r="AL237" s="339">
        <f t="shared" si="15"/>
        <v>14588</v>
      </c>
      <c r="AM237" s="337">
        <f>AL237/VPI!R237</f>
        <v>3.9865843760528534</v>
      </c>
      <c r="AN237" s="519">
        <v>14655</v>
      </c>
      <c r="AO237" s="595"/>
      <c r="AP237" s="532">
        <v>-8.0976665569442066</v>
      </c>
      <c r="AR237" s="591">
        <v>0</v>
      </c>
    </row>
    <row r="238" spans="1:44" x14ac:dyDescent="0.25">
      <c r="A238" s="586">
        <v>5813</v>
      </c>
      <c r="B238" s="587" t="s">
        <v>316</v>
      </c>
      <c r="C238" s="505">
        <v>885361.52</v>
      </c>
      <c r="D238" s="505">
        <v>120363.28</v>
      </c>
      <c r="E238" s="505"/>
      <c r="F238" s="506">
        <v>3290</v>
      </c>
      <c r="G238" s="505">
        <v>99666</v>
      </c>
      <c r="H238" s="505">
        <v>-118.6</v>
      </c>
      <c r="I238" s="505"/>
      <c r="J238" s="505">
        <v>10013.49</v>
      </c>
      <c r="K238" s="505"/>
      <c r="L238" s="505">
        <v>115502.2</v>
      </c>
      <c r="M238" s="384">
        <f t="shared" si="12"/>
        <v>1234077.8899999999</v>
      </c>
      <c r="N238" s="510">
        <v>0</v>
      </c>
      <c r="O238" s="510">
        <v>36.299999999999997</v>
      </c>
      <c r="P238" s="510">
        <v>76010.399999999994</v>
      </c>
      <c r="Q238" s="510">
        <v>5003.75</v>
      </c>
      <c r="R238" s="510">
        <v>87520.05</v>
      </c>
      <c r="S238" s="505">
        <v>10315.39</v>
      </c>
      <c r="T238" s="384">
        <f t="shared" si="13"/>
        <v>1412963.7799999998</v>
      </c>
      <c r="U238" s="507">
        <v>-31566.49</v>
      </c>
      <c r="V238" s="510"/>
      <c r="W238" s="510">
        <v>0</v>
      </c>
      <c r="X238" s="515">
        <v>68.5</v>
      </c>
      <c r="Y238" s="518">
        <v>1.2</v>
      </c>
      <c r="Z238" s="519">
        <v>522</v>
      </c>
      <c r="AA238" s="588"/>
      <c r="AB238" s="524">
        <v>201567</v>
      </c>
      <c r="AC238" s="337">
        <f>AB238/VPI!R238</f>
        <v>11.519746285808187</v>
      </c>
      <c r="AD238" s="339">
        <f t="shared" si="14"/>
        <v>98388</v>
      </c>
      <c r="AE238" s="337">
        <f>AD238/VPI!R238</f>
        <v>5.6229680332995775</v>
      </c>
      <c r="AF238" s="524">
        <v>299955</v>
      </c>
      <c r="AG238" s="524">
        <v>28970</v>
      </c>
      <c r="AH238" s="524">
        <v>37542</v>
      </c>
      <c r="AI238" s="595"/>
      <c r="AJ238" s="519">
        <v>0</v>
      </c>
      <c r="AK238" s="337">
        <f>AJ238/VPI!R238</f>
        <v>0</v>
      </c>
      <c r="AL238" s="339">
        <f t="shared" si="15"/>
        <v>5589</v>
      </c>
      <c r="AM238" s="337">
        <f>AL238/VPI!R238</f>
        <v>0.31941668026701769</v>
      </c>
      <c r="AN238" s="519">
        <v>5589</v>
      </c>
      <c r="AO238" s="595"/>
      <c r="AP238" s="532">
        <v>16.682623865110251</v>
      </c>
      <c r="AR238" s="591">
        <v>0</v>
      </c>
    </row>
    <row r="239" spans="1:44" x14ac:dyDescent="0.25">
      <c r="A239" s="586">
        <v>5816</v>
      </c>
      <c r="B239" s="587" t="s">
        <v>5</v>
      </c>
      <c r="C239" s="505">
        <v>3433666.84</v>
      </c>
      <c r="D239" s="505">
        <v>374255.79</v>
      </c>
      <c r="E239" s="505"/>
      <c r="F239" s="506"/>
      <c r="G239" s="505">
        <v>156734.04999999999</v>
      </c>
      <c r="H239" s="505">
        <v>14051.6</v>
      </c>
      <c r="I239" s="505"/>
      <c r="J239" s="505">
        <v>167122.35</v>
      </c>
      <c r="K239" s="505">
        <v>39104.400000000001</v>
      </c>
      <c r="L239" s="505">
        <v>287646.65000000002</v>
      </c>
      <c r="M239" s="384">
        <f t="shared" si="12"/>
        <v>4472581.68</v>
      </c>
      <c r="N239" s="510">
        <v>25586.25</v>
      </c>
      <c r="O239" s="510">
        <v>22123.9</v>
      </c>
      <c r="P239" s="510">
        <v>310702.34999999998</v>
      </c>
      <c r="Q239" s="510">
        <v>-12056.37</v>
      </c>
      <c r="R239" s="510">
        <v>83617.399999999994</v>
      </c>
      <c r="S239" s="505">
        <v>17697.3</v>
      </c>
      <c r="T239" s="384">
        <f t="shared" si="13"/>
        <v>4920252.51</v>
      </c>
      <c r="U239" s="507">
        <v>-100909.65</v>
      </c>
      <c r="V239" s="510"/>
      <c r="W239" s="510">
        <v>-170.93</v>
      </c>
      <c r="X239" s="515">
        <v>68.5</v>
      </c>
      <c r="Y239" s="518">
        <v>0.7</v>
      </c>
      <c r="Z239" s="519">
        <v>2856</v>
      </c>
      <c r="AA239" s="588"/>
      <c r="AB239" s="524">
        <v>89320</v>
      </c>
      <c r="AC239" s="337">
        <f>AB239/VPI!R239</f>
        <v>1.3595222521964603</v>
      </c>
      <c r="AD239" s="339">
        <f t="shared" si="14"/>
        <v>419116</v>
      </c>
      <c r="AE239" s="337">
        <f>AD239/VPI!R239</f>
        <v>6.3792826718716045</v>
      </c>
      <c r="AF239" s="524">
        <v>508436</v>
      </c>
      <c r="AG239" s="524">
        <v>259740</v>
      </c>
      <c r="AH239" s="524">
        <v>207650</v>
      </c>
      <c r="AI239" s="595"/>
      <c r="AJ239" s="519">
        <v>0</v>
      </c>
      <c r="AK239" s="337">
        <f>AJ239/VPI!R239</f>
        <v>0</v>
      </c>
      <c r="AL239" s="339">
        <f t="shared" si="15"/>
        <v>15745</v>
      </c>
      <c r="AM239" s="337">
        <f>AL239/VPI!R239</f>
        <v>0.23965156584005004</v>
      </c>
      <c r="AN239" s="519">
        <v>15745</v>
      </c>
      <c r="AO239" s="595"/>
      <c r="AP239" s="532">
        <v>2.0177173688321739</v>
      </c>
      <c r="AR239" s="591">
        <v>0</v>
      </c>
    </row>
    <row r="240" spans="1:44" x14ac:dyDescent="0.25">
      <c r="A240" s="586">
        <v>5817</v>
      </c>
      <c r="B240" s="587" t="s">
        <v>6</v>
      </c>
      <c r="C240" s="505">
        <v>1536085.07</v>
      </c>
      <c r="D240" s="505">
        <v>164942.04</v>
      </c>
      <c r="E240" s="505"/>
      <c r="F240" s="506">
        <v>5780</v>
      </c>
      <c r="G240" s="505">
        <v>29457.599999999999</v>
      </c>
      <c r="H240" s="505">
        <v>853.15</v>
      </c>
      <c r="I240" s="505"/>
      <c r="J240" s="505">
        <v>39594.879999999997</v>
      </c>
      <c r="K240" s="505">
        <v>4344.6499999999996</v>
      </c>
      <c r="L240" s="505">
        <v>135951.20000000001</v>
      </c>
      <c r="M240" s="384">
        <f t="shared" si="12"/>
        <v>1917008.5899999999</v>
      </c>
      <c r="N240" s="510">
        <v>4888.55</v>
      </c>
      <c r="O240" s="510"/>
      <c r="P240" s="510">
        <v>76165.2</v>
      </c>
      <c r="Q240" s="510">
        <v>47850.87</v>
      </c>
      <c r="R240" s="510">
        <v>119442.5</v>
      </c>
      <c r="S240" s="505">
        <v>3140.89</v>
      </c>
      <c r="T240" s="384">
        <f t="shared" si="13"/>
        <v>2168496.6</v>
      </c>
      <c r="U240" s="507">
        <v>-63071.83</v>
      </c>
      <c r="V240" s="510"/>
      <c r="W240" s="510">
        <v>-63.3</v>
      </c>
      <c r="X240" s="515">
        <v>73.5</v>
      </c>
      <c r="Y240" s="518">
        <v>1</v>
      </c>
      <c r="Z240" s="519">
        <v>1001</v>
      </c>
      <c r="AA240" s="588"/>
      <c r="AB240" s="524">
        <v>83777</v>
      </c>
      <c r="AC240" s="337">
        <f>AB240/VPI!R240</f>
        <v>3.2325696513058286</v>
      </c>
      <c r="AD240" s="339">
        <f t="shared" si="14"/>
        <v>123775</v>
      </c>
      <c r="AE240" s="337">
        <f>AD240/VPI!R240</f>
        <v>4.7759087648206417</v>
      </c>
      <c r="AF240" s="524">
        <v>207552</v>
      </c>
      <c r="AG240" s="524">
        <v>37673</v>
      </c>
      <c r="AH240" s="524">
        <v>75539</v>
      </c>
      <c r="AI240" s="595"/>
      <c r="AJ240" s="519">
        <v>0</v>
      </c>
      <c r="AK240" s="337">
        <f>AJ240/VPI!R240</f>
        <v>0</v>
      </c>
      <c r="AL240" s="339">
        <f t="shared" si="15"/>
        <v>72484</v>
      </c>
      <c r="AM240" s="337">
        <f>AL240/VPI!R240</f>
        <v>2.7968246488326352</v>
      </c>
      <c r="AN240" s="519">
        <v>72484</v>
      </c>
      <c r="AO240" s="595"/>
      <c r="AP240" s="532">
        <v>6.915820658140488</v>
      </c>
      <c r="AR240" s="591">
        <v>0</v>
      </c>
    </row>
    <row r="241" spans="1:44" x14ac:dyDescent="0.25">
      <c r="A241" s="586">
        <v>5819</v>
      </c>
      <c r="B241" s="587" t="s">
        <v>7</v>
      </c>
      <c r="C241" s="505">
        <v>435952.67</v>
      </c>
      <c r="D241" s="505">
        <v>160815.45000000001</v>
      </c>
      <c r="E241" s="505"/>
      <c r="F241" s="506"/>
      <c r="G241" s="505">
        <v>16448.05</v>
      </c>
      <c r="H241" s="505">
        <v>4773.8</v>
      </c>
      <c r="I241" s="505"/>
      <c r="J241" s="505">
        <v>18058.77</v>
      </c>
      <c r="K241" s="505">
        <v>2089.35</v>
      </c>
      <c r="L241" s="505">
        <v>91883.55</v>
      </c>
      <c r="M241" s="384">
        <f t="shared" si="12"/>
        <v>730021.64000000013</v>
      </c>
      <c r="N241" s="510">
        <v>5775.65</v>
      </c>
      <c r="O241" s="510"/>
      <c r="P241" s="510">
        <v>72006</v>
      </c>
      <c r="Q241" s="510">
        <v>1369.25</v>
      </c>
      <c r="R241" s="510">
        <v>106425.65</v>
      </c>
      <c r="S241" s="505">
        <v>2199.0700000000002</v>
      </c>
      <c r="T241" s="384">
        <f t="shared" si="13"/>
        <v>917797.26000000013</v>
      </c>
      <c r="U241" s="507">
        <v>-24581.52</v>
      </c>
      <c r="V241" s="510"/>
      <c r="W241" s="510">
        <v>-0.01</v>
      </c>
      <c r="X241" s="515">
        <v>69</v>
      </c>
      <c r="Y241" s="518">
        <v>1</v>
      </c>
      <c r="Z241" s="519">
        <v>414</v>
      </c>
      <c r="AA241" s="588"/>
      <c r="AB241" s="524">
        <v>56438</v>
      </c>
      <c r="AC241" s="337">
        <f>AB241/VPI!R241</f>
        <v>5.4924904066373372</v>
      </c>
      <c r="AD241" s="339">
        <f t="shared" si="14"/>
        <v>54352</v>
      </c>
      <c r="AE241" s="337">
        <f>AD241/VPI!R241</f>
        <v>5.289482947332516</v>
      </c>
      <c r="AF241" s="524">
        <v>110790</v>
      </c>
      <c r="AG241" s="524">
        <v>38837</v>
      </c>
      <c r="AH241" s="524">
        <v>69880</v>
      </c>
      <c r="AI241" s="595"/>
      <c r="AJ241" s="519">
        <v>0</v>
      </c>
      <c r="AK241" s="337">
        <f>AJ241/VPI!R241</f>
        <v>0</v>
      </c>
      <c r="AL241" s="339">
        <f t="shared" si="15"/>
        <v>0</v>
      </c>
      <c r="AM241" s="337">
        <f>AL241/VPI!R241</f>
        <v>0</v>
      </c>
      <c r="AN241" s="519">
        <v>0</v>
      </c>
      <c r="AO241" s="595"/>
      <c r="AP241" s="532">
        <v>9.0604880999575581</v>
      </c>
      <c r="AR241" s="591">
        <v>0</v>
      </c>
    </row>
    <row r="242" spans="1:44" x14ac:dyDescent="0.25">
      <c r="A242" s="586">
        <v>5821</v>
      </c>
      <c r="B242" s="587" t="s">
        <v>8</v>
      </c>
      <c r="C242" s="505">
        <v>462205.01</v>
      </c>
      <c r="D242" s="505">
        <v>75295.070000000007</v>
      </c>
      <c r="E242" s="505"/>
      <c r="F242" s="506">
        <v>2190</v>
      </c>
      <c r="G242" s="505">
        <v>4531.25</v>
      </c>
      <c r="H242" s="505">
        <v>462.2</v>
      </c>
      <c r="I242" s="505"/>
      <c r="J242" s="505">
        <v>10203.67</v>
      </c>
      <c r="K242" s="505">
        <v>1305</v>
      </c>
      <c r="L242" s="505">
        <v>53715.199999999997</v>
      </c>
      <c r="M242" s="384">
        <f t="shared" si="12"/>
        <v>609907.4</v>
      </c>
      <c r="N242" s="510">
        <v>0</v>
      </c>
      <c r="O242" s="510"/>
      <c r="P242" s="510">
        <v>32995.4</v>
      </c>
      <c r="Q242" s="510"/>
      <c r="R242" s="510">
        <v>47550.25</v>
      </c>
      <c r="S242" s="505">
        <v>517.44000000000005</v>
      </c>
      <c r="T242" s="384">
        <f t="shared" si="13"/>
        <v>690970.49</v>
      </c>
      <c r="U242" s="507">
        <v>-7359.76</v>
      </c>
      <c r="V242" s="510"/>
      <c r="W242" s="510">
        <v>0</v>
      </c>
      <c r="X242" s="515">
        <v>72</v>
      </c>
      <c r="Y242" s="518">
        <v>1</v>
      </c>
      <c r="Z242" s="519">
        <v>387</v>
      </c>
      <c r="AA242" s="588"/>
      <c r="AB242" s="524">
        <v>21572</v>
      </c>
      <c r="AC242" s="337">
        <f>AB242/VPI!R242</f>
        <v>2.57548322977016</v>
      </c>
      <c r="AD242" s="339">
        <f t="shared" si="14"/>
        <v>58870</v>
      </c>
      <c r="AE242" s="337">
        <f>AD242/VPI!R242</f>
        <v>7.0284951667239621</v>
      </c>
      <c r="AF242" s="524">
        <v>80442</v>
      </c>
      <c r="AG242" s="524">
        <v>13970</v>
      </c>
      <c r="AH242" s="524">
        <v>34166</v>
      </c>
      <c r="AI242" s="595"/>
      <c r="AJ242" s="519">
        <v>0</v>
      </c>
      <c r="AK242" s="337">
        <f>AJ242/VPI!R242</f>
        <v>0</v>
      </c>
      <c r="AL242" s="339">
        <f t="shared" si="15"/>
        <v>0</v>
      </c>
      <c r="AM242" s="337">
        <f>AL242/VPI!R242</f>
        <v>0</v>
      </c>
      <c r="AN242" s="519">
        <v>0</v>
      </c>
      <c r="AO242" s="595"/>
      <c r="AP242" s="532">
        <v>1.6502021009414345</v>
      </c>
      <c r="AR242" s="591">
        <v>0</v>
      </c>
    </row>
    <row r="243" spans="1:44" x14ac:dyDescent="0.25">
      <c r="A243" s="586">
        <v>5822</v>
      </c>
      <c r="B243" s="587" t="s">
        <v>9</v>
      </c>
      <c r="C243" s="505">
        <v>11870066.470000001</v>
      </c>
      <c r="D243" s="505">
        <v>1504329.29</v>
      </c>
      <c r="E243" s="505"/>
      <c r="F243" s="506"/>
      <c r="G243" s="505">
        <v>1161164.95</v>
      </c>
      <c r="H243" s="505">
        <v>71608</v>
      </c>
      <c r="I243" s="505"/>
      <c r="J243" s="505">
        <v>766046.68</v>
      </c>
      <c r="K243" s="505">
        <v>194676.8</v>
      </c>
      <c r="L243" s="505">
        <v>1555520.9</v>
      </c>
      <c r="M243" s="384">
        <f t="shared" si="12"/>
        <v>17123413.09</v>
      </c>
      <c r="N243" s="510">
        <v>423703.7</v>
      </c>
      <c r="O243" s="510">
        <v>252622.7</v>
      </c>
      <c r="P243" s="510">
        <v>947002.85</v>
      </c>
      <c r="Q243" s="510">
        <v>127056.52</v>
      </c>
      <c r="R243" s="510">
        <v>591608.44999999995</v>
      </c>
      <c r="S243" s="505">
        <v>127743.43</v>
      </c>
      <c r="T243" s="384">
        <f t="shared" si="13"/>
        <v>19593150.739999998</v>
      </c>
      <c r="U243" s="507">
        <v>-818205.67</v>
      </c>
      <c r="V243" s="510"/>
      <c r="W243" s="510">
        <v>-1463.71</v>
      </c>
      <c r="X243" s="515">
        <v>73</v>
      </c>
      <c r="Y243" s="518">
        <v>1</v>
      </c>
      <c r="Z243" s="519">
        <v>10372</v>
      </c>
      <c r="AA243" s="588"/>
      <c r="AB243" s="524">
        <v>422838</v>
      </c>
      <c r="AC243" s="337">
        <f>AB243/VPI!R243</f>
        <v>1.8641237196822416</v>
      </c>
      <c r="AD243" s="339">
        <f t="shared" si="14"/>
        <v>1636004</v>
      </c>
      <c r="AE243" s="337">
        <f>AD243/VPI!R243</f>
        <v>7.2124876711530801</v>
      </c>
      <c r="AF243" s="524">
        <v>2058842</v>
      </c>
      <c r="AG243" s="524">
        <v>1318006</v>
      </c>
      <c r="AH243" s="524">
        <v>694975</v>
      </c>
      <c r="AI243" s="595"/>
      <c r="AJ243" s="519">
        <v>0</v>
      </c>
      <c r="AK243" s="337">
        <f>AJ243/VPI!R243</f>
        <v>0</v>
      </c>
      <c r="AL243" s="339">
        <f t="shared" si="15"/>
        <v>144853</v>
      </c>
      <c r="AM243" s="337">
        <f>AL243/VPI!R243</f>
        <v>0.63859897447043956</v>
      </c>
      <c r="AN243" s="519">
        <v>144853</v>
      </c>
      <c r="AO243" s="595"/>
      <c r="AP243" s="532">
        <v>-13.138684132345055</v>
      </c>
      <c r="AR243" s="591">
        <v>0</v>
      </c>
    </row>
    <row r="244" spans="1:44" x14ac:dyDescent="0.25">
      <c r="A244" s="586">
        <v>5827</v>
      </c>
      <c r="B244" s="587" t="s">
        <v>10</v>
      </c>
      <c r="C244" s="505">
        <v>475684.15</v>
      </c>
      <c r="D244" s="505">
        <v>56427.68</v>
      </c>
      <c r="E244" s="505"/>
      <c r="F244" s="506">
        <v>1500</v>
      </c>
      <c r="G244" s="505">
        <v>22677.95</v>
      </c>
      <c r="H244" s="505">
        <v>2429.4499999999998</v>
      </c>
      <c r="I244" s="505"/>
      <c r="J244" s="505">
        <v>9815.5499999999993</v>
      </c>
      <c r="K244" s="505">
        <v>1522.35</v>
      </c>
      <c r="L244" s="505">
        <v>46764.25</v>
      </c>
      <c r="M244" s="384">
        <f t="shared" si="12"/>
        <v>616821.38</v>
      </c>
      <c r="N244" s="510">
        <v>0</v>
      </c>
      <c r="O244" s="510"/>
      <c r="P244" s="510">
        <v>16125.05</v>
      </c>
      <c r="Q244" s="510"/>
      <c r="R244" s="510">
        <v>33148.300000000003</v>
      </c>
      <c r="S244" s="505">
        <v>2601.6999999999998</v>
      </c>
      <c r="T244" s="384">
        <f t="shared" si="13"/>
        <v>668696.43000000005</v>
      </c>
      <c r="U244" s="507">
        <v>-17655.27</v>
      </c>
      <c r="V244" s="510"/>
      <c r="W244" s="510">
        <v>0</v>
      </c>
      <c r="X244" s="515">
        <v>78</v>
      </c>
      <c r="Y244" s="518">
        <v>1</v>
      </c>
      <c r="Z244" s="519">
        <v>302</v>
      </c>
      <c r="AA244" s="588"/>
      <c r="AB244" s="524">
        <v>45683</v>
      </c>
      <c r="AC244" s="337">
        <f>AB244/VPI!R244</f>
        <v>5.9213436491393576</v>
      </c>
      <c r="AD244" s="339">
        <f t="shared" si="14"/>
        <v>31575</v>
      </c>
      <c r="AE244" s="337">
        <f>AD244/VPI!R244</f>
        <v>4.0926914984036777</v>
      </c>
      <c r="AF244" s="524">
        <v>77258</v>
      </c>
      <c r="AG244" s="524">
        <v>12252</v>
      </c>
      <c r="AH244" s="524">
        <v>13837</v>
      </c>
      <c r="AI244" s="595"/>
      <c r="AJ244" s="519">
        <v>0</v>
      </c>
      <c r="AK244" s="337">
        <f>AJ244/VPI!R244</f>
        <v>0</v>
      </c>
      <c r="AL244" s="339">
        <f t="shared" si="15"/>
        <v>6917</v>
      </c>
      <c r="AM244" s="337">
        <f>AL244/VPI!R244</f>
        <v>0.89656839570730762</v>
      </c>
      <c r="AN244" s="519">
        <v>6917</v>
      </c>
      <c r="AO244" s="595"/>
      <c r="AP244" s="532">
        <v>2.6619343155891322</v>
      </c>
      <c r="AR244" s="591">
        <v>0</v>
      </c>
    </row>
    <row r="245" spans="1:44" x14ac:dyDescent="0.25">
      <c r="A245" s="586">
        <v>5828</v>
      </c>
      <c r="B245" s="587" t="s">
        <v>371</v>
      </c>
      <c r="C245" s="505">
        <v>152551.92000000001</v>
      </c>
      <c r="D245" s="505">
        <v>67482.710000000006</v>
      </c>
      <c r="E245" s="505"/>
      <c r="F245" s="506"/>
      <c r="G245" s="505">
        <v>236.65</v>
      </c>
      <c r="H245" s="505">
        <v>21.1</v>
      </c>
      <c r="I245" s="505"/>
      <c r="J245" s="505">
        <v>214.17</v>
      </c>
      <c r="K245" s="505"/>
      <c r="L245" s="505">
        <v>26723.5</v>
      </c>
      <c r="M245" s="384">
        <f t="shared" si="12"/>
        <v>247230.05000000002</v>
      </c>
      <c r="N245" s="510">
        <v>0</v>
      </c>
      <c r="O245" s="510">
        <v>1306.2</v>
      </c>
      <c r="P245" s="510">
        <v>9680</v>
      </c>
      <c r="Q245" s="510"/>
      <c r="R245" s="510">
        <v>10908.7</v>
      </c>
      <c r="S245" s="505">
        <v>26.71</v>
      </c>
      <c r="T245" s="384">
        <f t="shared" si="13"/>
        <v>269151.66000000003</v>
      </c>
      <c r="U245" s="507">
        <v>-4867.42</v>
      </c>
      <c r="V245" s="510"/>
      <c r="W245" s="510">
        <v>0</v>
      </c>
      <c r="X245" s="515">
        <v>81.5</v>
      </c>
      <c r="Y245" s="518">
        <v>1.5</v>
      </c>
      <c r="Z245" s="519">
        <v>105</v>
      </c>
      <c r="AA245" s="588"/>
      <c r="AB245" s="524">
        <v>40252</v>
      </c>
      <c r="AC245" s="337">
        <f>AB245/VPI!R245</f>
        <v>14.05052608592041</v>
      </c>
      <c r="AD245" s="339">
        <f t="shared" si="14"/>
        <v>18393</v>
      </c>
      <c r="AE245" s="337">
        <f>AD245/VPI!R245</f>
        <v>6.4203350466643672</v>
      </c>
      <c r="AF245" s="524">
        <v>58645</v>
      </c>
      <c r="AG245" s="524">
        <v>4199</v>
      </c>
      <c r="AH245" s="524">
        <v>13114</v>
      </c>
      <c r="AI245" s="595"/>
      <c r="AJ245" s="519">
        <v>0</v>
      </c>
      <c r="AK245" s="337">
        <f>AJ245/VPI!R245</f>
        <v>0</v>
      </c>
      <c r="AL245" s="339">
        <f t="shared" si="15"/>
        <v>3250</v>
      </c>
      <c r="AM245" s="337">
        <f>AL245/VPI!R245</f>
        <v>1.1344581580850972</v>
      </c>
      <c r="AN245" s="519">
        <v>3250</v>
      </c>
      <c r="AO245" s="595"/>
      <c r="AP245" s="532">
        <v>4.82048343871584</v>
      </c>
      <c r="AR245" s="591">
        <v>0</v>
      </c>
    </row>
    <row r="246" spans="1:44" x14ac:dyDescent="0.25">
      <c r="A246" s="586">
        <v>5830</v>
      </c>
      <c r="B246" s="587" t="s">
        <v>11</v>
      </c>
      <c r="C246" s="505">
        <v>767699.35</v>
      </c>
      <c r="D246" s="505">
        <v>88205.18</v>
      </c>
      <c r="E246" s="505"/>
      <c r="F246" s="506"/>
      <c r="G246" s="505">
        <v>9125</v>
      </c>
      <c r="H246" s="505">
        <v>614.54999999999995</v>
      </c>
      <c r="I246" s="505"/>
      <c r="J246" s="505">
        <v>11408.04</v>
      </c>
      <c r="K246" s="505">
        <v>705.4</v>
      </c>
      <c r="L246" s="505">
        <v>62205.3</v>
      </c>
      <c r="M246" s="384">
        <f t="shared" si="12"/>
        <v>939962.82000000018</v>
      </c>
      <c r="N246" s="510">
        <v>9722.5499999999993</v>
      </c>
      <c r="O246" s="510">
        <v>-19364.3</v>
      </c>
      <c r="P246" s="510">
        <v>52656.75</v>
      </c>
      <c r="Q246" s="510">
        <v>510.34</v>
      </c>
      <c r="R246" s="510">
        <v>24477.95</v>
      </c>
      <c r="S246" s="505">
        <v>1009.24</v>
      </c>
      <c r="T246" s="384">
        <f t="shared" si="13"/>
        <v>1008975.3500000001</v>
      </c>
      <c r="U246" s="507">
        <v>-5927.43</v>
      </c>
      <c r="V246" s="510"/>
      <c r="W246" s="510">
        <v>-0.01</v>
      </c>
      <c r="X246" s="515">
        <v>75</v>
      </c>
      <c r="Y246" s="518">
        <v>1</v>
      </c>
      <c r="Z246" s="519">
        <v>486</v>
      </c>
      <c r="AA246" s="588"/>
      <c r="AB246" s="524">
        <v>53454</v>
      </c>
      <c r="AC246" s="337">
        <f>AB246/VPI!R246</f>
        <v>4.2852105663573203</v>
      </c>
      <c r="AD246" s="339">
        <f t="shared" si="14"/>
        <v>63936</v>
      </c>
      <c r="AE246" s="337">
        <f>AD246/VPI!R246</f>
        <v>5.1255139516335841</v>
      </c>
      <c r="AF246" s="524">
        <v>117390</v>
      </c>
      <c r="AG246" s="524">
        <v>28627</v>
      </c>
      <c r="AH246" s="524">
        <v>80768</v>
      </c>
      <c r="AI246" s="595"/>
      <c r="AJ246" s="519">
        <v>20977</v>
      </c>
      <c r="AK246" s="337">
        <f>AJ246/VPI!R246</f>
        <v>1.6816489327361377</v>
      </c>
      <c r="AL246" s="339">
        <f t="shared" si="15"/>
        <v>4856</v>
      </c>
      <c r="AM246" s="337">
        <f>AL246/VPI!R246</f>
        <v>0.38928765873893717</v>
      </c>
      <c r="AN246" s="519">
        <v>25833</v>
      </c>
      <c r="AO246" s="595"/>
      <c r="AP246" s="532">
        <v>5.8486691296572477</v>
      </c>
      <c r="AR246" s="591">
        <v>0</v>
      </c>
    </row>
    <row r="247" spans="1:44" x14ac:dyDescent="0.25">
      <c r="A247" s="586">
        <v>5831</v>
      </c>
      <c r="B247" s="587" t="s">
        <v>348</v>
      </c>
      <c r="C247" s="505">
        <v>4360112.34</v>
      </c>
      <c r="D247" s="505">
        <v>668250.05000000005</v>
      </c>
      <c r="E247" s="505"/>
      <c r="F247" s="506"/>
      <c r="G247" s="505">
        <v>418676.7</v>
      </c>
      <c r="H247" s="505">
        <v>18473.849999999999</v>
      </c>
      <c r="I247" s="505"/>
      <c r="J247" s="505">
        <v>180872.61</v>
      </c>
      <c r="K247" s="505">
        <v>3858.6</v>
      </c>
      <c r="L247" s="505">
        <v>325547.05</v>
      </c>
      <c r="M247" s="384">
        <f t="shared" si="12"/>
        <v>5975791.1999999993</v>
      </c>
      <c r="N247" s="510">
        <v>24200.65</v>
      </c>
      <c r="O247" s="510">
        <f>734460.1-550000</f>
        <v>184460.09999999998</v>
      </c>
      <c r="P247" s="510">
        <v>412877.95</v>
      </c>
      <c r="Q247" s="510">
        <v>22808.86</v>
      </c>
      <c r="R247" s="510">
        <v>271264.15000000002</v>
      </c>
      <c r="S247" s="505">
        <v>45298.78</v>
      </c>
      <c r="T247" s="384">
        <f t="shared" si="13"/>
        <v>6936701.6900000004</v>
      </c>
      <c r="U247" s="507">
        <v>-94076.25</v>
      </c>
      <c r="V247" s="510"/>
      <c r="W247" s="510">
        <v>-565.36</v>
      </c>
      <c r="X247" s="515">
        <v>70.5</v>
      </c>
      <c r="Y247" s="518">
        <v>0.6</v>
      </c>
      <c r="Z247" s="519">
        <v>3361</v>
      </c>
      <c r="AA247" s="588"/>
      <c r="AB247" s="524">
        <v>433645</v>
      </c>
      <c r="AC247" s="337">
        <f>AB247/VPI!R247</f>
        <v>4.9579211256064797</v>
      </c>
      <c r="AD247" s="339">
        <f t="shared" si="14"/>
        <v>705012</v>
      </c>
      <c r="AE247" s="337">
        <f>AD247/VPI!R247</f>
        <v>8.0604962321854874</v>
      </c>
      <c r="AF247" s="524">
        <v>1138657</v>
      </c>
      <c r="AG247" s="524">
        <v>319570</v>
      </c>
      <c r="AH247" s="524">
        <v>531565</v>
      </c>
      <c r="AI247" s="595"/>
      <c r="AJ247" s="519">
        <v>0</v>
      </c>
      <c r="AK247" s="337">
        <f>AJ247/VPI!R247</f>
        <v>0</v>
      </c>
      <c r="AL247" s="339">
        <f t="shared" si="15"/>
        <v>21150</v>
      </c>
      <c r="AM247" s="337">
        <f>AL247/VPI!R247</f>
        <v>0.24181077103754697</v>
      </c>
      <c r="AN247" s="519">
        <v>21150</v>
      </c>
      <c r="AO247" s="595"/>
      <c r="AP247" s="532">
        <v>-0.21704705527438684</v>
      </c>
      <c r="AR247" s="591">
        <v>0</v>
      </c>
    </row>
    <row r="248" spans="1:44" x14ac:dyDescent="0.25">
      <c r="A248" s="586">
        <v>5841</v>
      </c>
      <c r="B248" s="587" t="s">
        <v>12</v>
      </c>
      <c r="C248" s="505">
        <v>5668849.0199999996</v>
      </c>
      <c r="D248" s="505">
        <v>1769105.47</v>
      </c>
      <c r="E248" s="505"/>
      <c r="F248" s="506"/>
      <c r="G248" s="505">
        <v>253139.5</v>
      </c>
      <c r="H248" s="505">
        <v>23293.55</v>
      </c>
      <c r="I248" s="505">
        <v>853965.84</v>
      </c>
      <c r="J248" s="505">
        <v>417082.16</v>
      </c>
      <c r="K248" s="505">
        <v>12287.95</v>
      </c>
      <c r="L248" s="505">
        <v>1574359.12</v>
      </c>
      <c r="M248" s="384">
        <f t="shared" si="12"/>
        <v>10572082.609999999</v>
      </c>
      <c r="N248" s="510">
        <v>7540.8</v>
      </c>
      <c r="O248" s="510">
        <v>437147.6</v>
      </c>
      <c r="P248" s="510">
        <v>1109957.5</v>
      </c>
      <c r="Q248" s="510">
        <v>78734.740000000005</v>
      </c>
      <c r="R248" s="510">
        <v>682559.7</v>
      </c>
      <c r="S248" s="505">
        <v>28644.78</v>
      </c>
      <c r="T248" s="384">
        <f t="shared" si="13"/>
        <v>12916667.729999999</v>
      </c>
      <c r="U248" s="507">
        <v>-45201.77</v>
      </c>
      <c r="V248" s="510"/>
      <c r="W248" s="510">
        <v>-17655.37</v>
      </c>
      <c r="X248" s="515">
        <v>81.5</v>
      </c>
      <c r="Y248" s="518">
        <v>1.5</v>
      </c>
      <c r="Z248" s="519">
        <v>3568</v>
      </c>
      <c r="AA248" s="588"/>
      <c r="AB248" s="524">
        <v>536411</v>
      </c>
      <c r="AC248" s="337">
        <f>AB248/VPI!R248</f>
        <v>4.331974063406216</v>
      </c>
      <c r="AD248" s="339">
        <f t="shared" si="14"/>
        <v>2385387</v>
      </c>
      <c r="AE248" s="337">
        <f>AD248/VPI!R248</f>
        <v>19.264024442426354</v>
      </c>
      <c r="AF248" s="524">
        <v>2921798</v>
      </c>
      <c r="AG248" s="524">
        <v>435798</v>
      </c>
      <c r="AH248" s="524">
        <v>474550</v>
      </c>
      <c r="AI248" s="595"/>
      <c r="AJ248" s="519">
        <v>16791</v>
      </c>
      <c r="AK248" s="337">
        <f>AJ248/VPI!R248</f>
        <v>0.13560157509568926</v>
      </c>
      <c r="AL248" s="339">
        <f t="shared" si="15"/>
        <v>45502</v>
      </c>
      <c r="AM248" s="337">
        <f>AL248/VPI!R248</f>
        <v>0.36746726639295174</v>
      </c>
      <c r="AN248" s="519">
        <v>62293</v>
      </c>
      <c r="AO248" s="595"/>
      <c r="AP248" s="532">
        <v>7.550636748464953</v>
      </c>
      <c r="AR248" s="591">
        <v>0</v>
      </c>
    </row>
    <row r="249" spans="1:44" x14ac:dyDescent="0.25">
      <c r="A249" s="586">
        <v>5842</v>
      </c>
      <c r="B249" s="587" t="s">
        <v>13</v>
      </c>
      <c r="C249" s="505">
        <v>857211.37</v>
      </c>
      <c r="D249" s="505">
        <v>204717.15</v>
      </c>
      <c r="E249" s="505"/>
      <c r="F249" s="506"/>
      <c r="G249" s="505">
        <v>105442.75</v>
      </c>
      <c r="H249" s="505">
        <v>-3502.35</v>
      </c>
      <c r="I249" s="505">
        <v>44271.34</v>
      </c>
      <c r="J249" s="505">
        <v>17955.78</v>
      </c>
      <c r="K249" s="505">
        <v>687.35</v>
      </c>
      <c r="L249" s="505">
        <v>145880.9</v>
      </c>
      <c r="M249" s="384">
        <f t="shared" si="12"/>
        <v>1372664.29</v>
      </c>
      <c r="N249" s="510">
        <v>984.1</v>
      </c>
      <c r="O249" s="510">
        <v>2602.5</v>
      </c>
      <c r="P249" s="510">
        <v>79555.350000000006</v>
      </c>
      <c r="Q249" s="510">
        <v>2762.52</v>
      </c>
      <c r="R249" s="510">
        <v>17990.400000000001</v>
      </c>
      <c r="S249" s="505">
        <v>10563.36</v>
      </c>
      <c r="T249" s="384">
        <f t="shared" si="13"/>
        <v>1487122.5200000003</v>
      </c>
      <c r="U249" s="507">
        <v>-2991.73</v>
      </c>
      <c r="V249" s="510"/>
      <c r="W249" s="510">
        <v>-49.67</v>
      </c>
      <c r="X249" s="515">
        <v>81</v>
      </c>
      <c r="Y249" s="518">
        <v>1.5</v>
      </c>
      <c r="Z249" s="519">
        <v>534</v>
      </c>
      <c r="AA249" s="588"/>
      <c r="AB249" s="524">
        <v>29854</v>
      </c>
      <c r="AC249" s="337">
        <f>AB249/VPI!R249</f>
        <v>1.8122869565340558</v>
      </c>
      <c r="AD249" s="339">
        <f t="shared" si="14"/>
        <v>307984</v>
      </c>
      <c r="AE249" s="337">
        <f>AD249/VPI!R249</f>
        <v>18.696167549446795</v>
      </c>
      <c r="AF249" s="524">
        <v>337838</v>
      </c>
      <c r="AG249" s="524">
        <v>65909</v>
      </c>
      <c r="AH249" s="524">
        <v>110000</v>
      </c>
      <c r="AI249" s="595"/>
      <c r="AJ249" s="519">
        <v>0</v>
      </c>
      <c r="AK249" s="337">
        <f>AJ249/VPI!R249</f>
        <v>0</v>
      </c>
      <c r="AL249" s="339">
        <f t="shared" si="15"/>
        <v>60338</v>
      </c>
      <c r="AM249" s="337">
        <f>AL249/VPI!R249</f>
        <v>3.6628180606736738</v>
      </c>
      <c r="AN249" s="519">
        <v>60338</v>
      </c>
      <c r="AO249" s="595"/>
      <c r="AP249" s="532">
        <v>8.673001194830313</v>
      </c>
      <c r="AR249" s="591">
        <v>0</v>
      </c>
    </row>
    <row r="250" spans="1:44" x14ac:dyDescent="0.25">
      <c r="A250" s="586">
        <v>5843</v>
      </c>
      <c r="B250" s="587" t="s">
        <v>14</v>
      </c>
      <c r="C250" s="505">
        <v>2600245.23</v>
      </c>
      <c r="D250" s="505">
        <v>2242569.15</v>
      </c>
      <c r="E250" s="505"/>
      <c r="F250" s="506"/>
      <c r="G250" s="505">
        <v>130124.85</v>
      </c>
      <c r="H250" s="505">
        <v>11648.25</v>
      </c>
      <c r="I250" s="505">
        <v>1159560.9099999999</v>
      </c>
      <c r="J250" s="505">
        <v>119291.12</v>
      </c>
      <c r="K250" s="505">
        <v>30953.05</v>
      </c>
      <c r="L250" s="505">
        <v>1226621.1499999999</v>
      </c>
      <c r="M250" s="384">
        <f t="shared" si="12"/>
        <v>7521013.709999999</v>
      </c>
      <c r="N250" s="510">
        <v>6430.85</v>
      </c>
      <c r="O250" s="510">
        <v>198327.5</v>
      </c>
      <c r="P250" s="510">
        <v>866695.7</v>
      </c>
      <c r="Q250" s="510"/>
      <c r="R250" s="510">
        <v>827046</v>
      </c>
      <c r="S250" s="505">
        <v>14690.93</v>
      </c>
      <c r="T250" s="384">
        <f t="shared" si="13"/>
        <v>9434204.6899999976</v>
      </c>
      <c r="U250" s="507">
        <v>-18068.29</v>
      </c>
      <c r="V250" s="510"/>
      <c r="W250" s="510">
        <v>-19678.599999999999</v>
      </c>
      <c r="X250" s="515">
        <v>79</v>
      </c>
      <c r="Y250" s="518">
        <v>1.5</v>
      </c>
      <c r="Z250" s="519">
        <v>826</v>
      </c>
      <c r="AA250" s="588"/>
      <c r="AB250" s="524">
        <v>55076</v>
      </c>
      <c r="AC250" s="337">
        <f>AB250/VPI!R250</f>
        <v>0.61376109798406908</v>
      </c>
      <c r="AD250" s="339">
        <f t="shared" si="14"/>
        <v>589875</v>
      </c>
      <c r="AE250" s="337">
        <f>AD250/VPI!R250</f>
        <v>6.5735043879975441</v>
      </c>
      <c r="AF250" s="524">
        <v>644951</v>
      </c>
      <c r="AG250" s="524">
        <v>105849</v>
      </c>
      <c r="AH250" s="524">
        <v>102227</v>
      </c>
      <c r="AI250" s="595"/>
      <c r="AJ250" s="519">
        <v>0</v>
      </c>
      <c r="AK250" s="337">
        <f>AJ250/VPI!R250</f>
        <v>0</v>
      </c>
      <c r="AL250" s="339">
        <f t="shared" si="15"/>
        <v>33700</v>
      </c>
      <c r="AM250" s="337">
        <f>AL250/VPI!R250</f>
        <v>0.37554922292946341</v>
      </c>
      <c r="AN250" s="519">
        <v>33700</v>
      </c>
      <c r="AO250" s="595"/>
      <c r="AP250" s="532">
        <v>46.728158900683106</v>
      </c>
      <c r="AR250" s="591">
        <v>0</v>
      </c>
    </row>
    <row r="251" spans="1:44" x14ac:dyDescent="0.25">
      <c r="A251" s="586">
        <v>5851</v>
      </c>
      <c r="B251" s="587" t="s">
        <v>15</v>
      </c>
      <c r="C251" s="505">
        <v>904148.14</v>
      </c>
      <c r="D251" s="505">
        <v>213334.42</v>
      </c>
      <c r="E251" s="505"/>
      <c r="F251" s="506"/>
      <c r="G251" s="505">
        <v>108096.25</v>
      </c>
      <c r="H251" s="505">
        <v>3550.7</v>
      </c>
      <c r="I251" s="505">
        <v>79456.45</v>
      </c>
      <c r="J251" s="505">
        <v>70206.69</v>
      </c>
      <c r="K251" s="505">
        <v>10918.4</v>
      </c>
      <c r="L251" s="505">
        <v>268600.09999999998</v>
      </c>
      <c r="M251" s="384">
        <f t="shared" si="12"/>
        <v>1658311.15</v>
      </c>
      <c r="N251" s="510">
        <v>65972.95</v>
      </c>
      <c r="O251" s="510">
        <v>4810.1000000000004</v>
      </c>
      <c r="P251" s="510">
        <v>517345.15</v>
      </c>
      <c r="Q251" s="510">
        <v>522.39</v>
      </c>
      <c r="R251" s="510">
        <v>52517.55</v>
      </c>
      <c r="S251" s="505">
        <v>11569.18</v>
      </c>
      <c r="T251" s="384">
        <f t="shared" si="13"/>
        <v>2311048.4700000002</v>
      </c>
      <c r="U251" s="507">
        <v>-22469.91</v>
      </c>
      <c r="V251" s="510"/>
      <c r="W251" s="510">
        <v>-899.9</v>
      </c>
      <c r="X251" s="515">
        <v>65</v>
      </c>
      <c r="Y251" s="518">
        <v>1.2</v>
      </c>
      <c r="Z251" s="519">
        <v>420</v>
      </c>
      <c r="AA251" s="588"/>
      <c r="AB251" s="524">
        <v>0</v>
      </c>
      <c r="AC251" s="337">
        <f>AB251/VPI!R251</f>
        <v>0</v>
      </c>
      <c r="AD251" s="339">
        <f t="shared" si="14"/>
        <v>130421</v>
      </c>
      <c r="AE251" s="337">
        <f>AD251/VPI!R251</f>
        <v>5.2908591961251021</v>
      </c>
      <c r="AF251" s="524">
        <v>130421</v>
      </c>
      <c r="AG251" s="524">
        <v>36673</v>
      </c>
      <c r="AH251" s="524">
        <v>40060</v>
      </c>
      <c r="AI251" s="595"/>
      <c r="AJ251" s="519">
        <v>0</v>
      </c>
      <c r="AK251" s="337">
        <f>AJ251/VPI!R251</f>
        <v>0</v>
      </c>
      <c r="AL251" s="339">
        <f t="shared" si="15"/>
        <v>14825</v>
      </c>
      <c r="AM251" s="337">
        <f>AL251/VPI!R251</f>
        <v>0.60141378752313379</v>
      </c>
      <c r="AN251" s="519">
        <v>14825</v>
      </c>
      <c r="AO251" s="595"/>
      <c r="AP251" s="532">
        <v>31.833081442992146</v>
      </c>
      <c r="AR251" s="591">
        <v>0</v>
      </c>
    </row>
    <row r="252" spans="1:44" x14ac:dyDescent="0.25">
      <c r="A252" s="586">
        <v>5852</v>
      </c>
      <c r="B252" s="587" t="s">
        <v>16</v>
      </c>
      <c r="C252" s="505">
        <v>1211573.7</v>
      </c>
      <c r="D252" s="505">
        <v>517751.73</v>
      </c>
      <c r="E252" s="505"/>
      <c r="F252" s="506"/>
      <c r="G252" s="505">
        <v>43756.4</v>
      </c>
      <c r="H252" s="505">
        <v>381.6</v>
      </c>
      <c r="I252" s="505">
        <v>249327.18</v>
      </c>
      <c r="J252" s="505">
        <v>27293.119999999999</v>
      </c>
      <c r="K252" s="505">
        <v>11969.35</v>
      </c>
      <c r="L252" s="505">
        <v>145145.85</v>
      </c>
      <c r="M252" s="384">
        <f t="shared" si="12"/>
        <v>2207198.9300000002</v>
      </c>
      <c r="N252" s="510">
        <v>10092.549999999999</v>
      </c>
      <c r="O252" s="510">
        <v>60934.6</v>
      </c>
      <c r="P252" s="510">
        <v>66165</v>
      </c>
      <c r="Q252" s="510"/>
      <c r="R252" s="510">
        <v>96446.55</v>
      </c>
      <c r="S252" s="505">
        <v>4573.7</v>
      </c>
      <c r="T252" s="384">
        <f t="shared" si="13"/>
        <v>2445411.33</v>
      </c>
      <c r="U252" s="507">
        <v>-16711.259999999998</v>
      </c>
      <c r="V252" s="510"/>
      <c r="W252" s="510">
        <v>-33207.4</v>
      </c>
      <c r="X252" s="515">
        <v>62</v>
      </c>
      <c r="Y252" s="518">
        <v>0.75</v>
      </c>
      <c r="Z252" s="519">
        <v>503</v>
      </c>
      <c r="AA252" s="588"/>
      <c r="AB252" s="524"/>
      <c r="AC252" s="337">
        <f>AB252/VPI!R252</f>
        <v>0</v>
      </c>
      <c r="AD252" s="339">
        <f t="shared" si="14"/>
        <v>0</v>
      </c>
      <c r="AE252" s="337">
        <f>AD252/VPI!R252</f>
        <v>0</v>
      </c>
      <c r="AF252" s="524"/>
      <c r="AG252" s="524"/>
      <c r="AH252" s="524"/>
      <c r="AI252" s="595"/>
      <c r="AJ252" s="519"/>
      <c r="AK252" s="337">
        <f>AJ252/VPI!R252</f>
        <v>0</v>
      </c>
      <c r="AL252" s="339">
        <f t="shared" si="15"/>
        <v>0</v>
      </c>
      <c r="AM252" s="337">
        <f>AL252/VPI!R252</f>
        <v>0</v>
      </c>
      <c r="AN252" s="519"/>
      <c r="AO252" s="595"/>
      <c r="AP252" s="532">
        <v>34.516322845836534</v>
      </c>
      <c r="AR252" s="591">
        <v>0</v>
      </c>
    </row>
    <row r="253" spans="1:44" x14ac:dyDescent="0.25">
      <c r="A253" s="586">
        <v>5853</v>
      </c>
      <c r="B253" s="587" t="s">
        <v>17</v>
      </c>
      <c r="C253" s="505">
        <v>2340904.59</v>
      </c>
      <c r="D253" s="505">
        <v>468286.11</v>
      </c>
      <c r="E253" s="505"/>
      <c r="F253" s="506"/>
      <c r="G253" s="505">
        <v>34104.400000000001</v>
      </c>
      <c r="H253" s="505">
        <v>7609.65</v>
      </c>
      <c r="I253" s="505">
        <v>323945.40000000002</v>
      </c>
      <c r="J253" s="505">
        <v>-18891.330000000002</v>
      </c>
      <c r="K253" s="505">
        <v>12308.25</v>
      </c>
      <c r="L253" s="505">
        <v>224651.2</v>
      </c>
      <c r="M253" s="384">
        <f t="shared" si="12"/>
        <v>3392918.2699999996</v>
      </c>
      <c r="N253" s="510">
        <v>79871.399999999994</v>
      </c>
      <c r="O253" s="510">
        <v>223965.8</v>
      </c>
      <c r="P253" s="510">
        <v>263022.55</v>
      </c>
      <c r="Q253" s="510">
        <v>1673.99</v>
      </c>
      <c r="R253" s="510">
        <v>249201.3</v>
      </c>
      <c r="S253" s="505">
        <v>4322.5200000000004</v>
      </c>
      <c r="T253" s="384">
        <f t="shared" si="13"/>
        <v>4214975.8299999991</v>
      </c>
      <c r="U253" s="507">
        <v>-21887.99</v>
      </c>
      <c r="V253" s="510"/>
      <c r="W253" s="510">
        <v>-1991.1</v>
      </c>
      <c r="X253" s="515">
        <v>71</v>
      </c>
      <c r="Y253" s="518">
        <v>1</v>
      </c>
      <c r="Z253" s="519">
        <v>766</v>
      </c>
      <c r="AA253" s="588"/>
      <c r="AB253" s="524">
        <v>40646</v>
      </c>
      <c r="AC253" s="337">
        <f>AB253/VPI!R253</f>
        <v>0.85506236528123958</v>
      </c>
      <c r="AD253" s="339">
        <f t="shared" si="14"/>
        <v>124435</v>
      </c>
      <c r="AE253" s="337">
        <f>AD253/VPI!R253</f>
        <v>2.6177160218415354</v>
      </c>
      <c r="AF253" s="524">
        <v>165081</v>
      </c>
      <c r="AG253" s="524">
        <v>69046</v>
      </c>
      <c r="AH253" s="524">
        <v>68986</v>
      </c>
      <c r="AI253" s="595"/>
      <c r="AJ253" s="519">
        <v>0</v>
      </c>
      <c r="AK253" s="337">
        <f>AJ253/VPI!R253</f>
        <v>0</v>
      </c>
      <c r="AL253" s="339">
        <f t="shared" si="15"/>
        <v>15102</v>
      </c>
      <c r="AM253" s="337">
        <f>AL253/VPI!R253</f>
        <v>0.3176979737360941</v>
      </c>
      <c r="AN253" s="519">
        <v>15102</v>
      </c>
      <c r="AO253" s="595"/>
      <c r="AP253" s="532">
        <v>32.108749562612942</v>
      </c>
      <c r="AR253" s="591">
        <v>0</v>
      </c>
    </row>
    <row r="254" spans="1:44" x14ac:dyDescent="0.25">
      <c r="A254" s="586">
        <v>5854</v>
      </c>
      <c r="B254" s="587" t="s">
        <v>18</v>
      </c>
      <c r="C254" s="505">
        <v>942064.64000000001</v>
      </c>
      <c r="D254" s="505">
        <v>190265.92</v>
      </c>
      <c r="E254" s="505"/>
      <c r="F254" s="506"/>
      <c r="G254" s="505">
        <v>2333.65</v>
      </c>
      <c r="H254" s="505">
        <v>2682.8</v>
      </c>
      <c r="I254" s="505"/>
      <c r="J254" s="505">
        <v>-5462.51</v>
      </c>
      <c r="K254" s="505">
        <v>3396.9</v>
      </c>
      <c r="L254" s="505">
        <v>118292.2</v>
      </c>
      <c r="M254" s="384">
        <f t="shared" si="12"/>
        <v>1253573.5999999999</v>
      </c>
      <c r="N254" s="510">
        <v>17144.25</v>
      </c>
      <c r="O254" s="510"/>
      <c r="P254" s="510">
        <v>58133.35</v>
      </c>
      <c r="Q254" s="510"/>
      <c r="R254" s="510">
        <v>44850.400000000001</v>
      </c>
      <c r="S254" s="505">
        <v>519.80999999999995</v>
      </c>
      <c r="T254" s="384">
        <f t="shared" si="13"/>
        <v>1374221.41</v>
      </c>
      <c r="U254" s="507">
        <v>-15984.02</v>
      </c>
      <c r="V254" s="510"/>
      <c r="W254" s="510">
        <v>-703.74</v>
      </c>
      <c r="X254" s="515">
        <v>78.5</v>
      </c>
      <c r="Y254" s="518">
        <v>1.5</v>
      </c>
      <c r="Z254" s="519">
        <v>414</v>
      </c>
      <c r="AA254" s="588"/>
      <c r="AB254" s="524">
        <v>0</v>
      </c>
      <c r="AC254" s="337">
        <f>AB254/VPI!R254</f>
        <v>0</v>
      </c>
      <c r="AD254" s="339">
        <f t="shared" si="14"/>
        <v>102530</v>
      </c>
      <c r="AE254" s="337">
        <f>AD254/VPI!R254</f>
        <v>6.7185087834685469</v>
      </c>
      <c r="AF254" s="524">
        <v>102530</v>
      </c>
      <c r="AG254" s="524">
        <v>14192</v>
      </c>
      <c r="AH254" s="524">
        <v>40472</v>
      </c>
      <c r="AI254" s="595"/>
      <c r="AJ254" s="519">
        <v>0</v>
      </c>
      <c r="AK254" s="337">
        <f>AJ254/VPI!R254</f>
        <v>0</v>
      </c>
      <c r="AL254" s="339">
        <f t="shared" si="15"/>
        <v>23868</v>
      </c>
      <c r="AM254" s="337">
        <f>AL254/VPI!R254</f>
        <v>1.5640043659790039</v>
      </c>
      <c r="AN254" s="519">
        <v>23868</v>
      </c>
      <c r="AO254" s="595"/>
      <c r="AP254" s="532">
        <v>20.605696547080942</v>
      </c>
      <c r="AR254" s="591">
        <v>0</v>
      </c>
    </row>
    <row r="255" spans="1:44" x14ac:dyDescent="0.25">
      <c r="A255" s="586">
        <v>5855</v>
      </c>
      <c r="B255" s="587" t="s">
        <v>19</v>
      </c>
      <c r="C255" s="505">
        <v>2204537.69</v>
      </c>
      <c r="D255" s="505">
        <v>847933.17</v>
      </c>
      <c r="E255" s="505"/>
      <c r="F255" s="506"/>
      <c r="G255" s="505">
        <v>7846.35</v>
      </c>
      <c r="H255" s="505">
        <v>26604.65</v>
      </c>
      <c r="I255" s="505">
        <v>901132.28</v>
      </c>
      <c r="J255" s="505">
        <v>-6793.38</v>
      </c>
      <c r="K255" s="505">
        <v>24306</v>
      </c>
      <c r="L255" s="505">
        <v>387368.7</v>
      </c>
      <c r="M255" s="384">
        <f t="shared" ref="M255:M305" si="16">SUM(C255:L255)</f>
        <v>4392935.46</v>
      </c>
      <c r="N255" s="510">
        <v>1933.5</v>
      </c>
      <c r="O255" s="510">
        <v>111189.9</v>
      </c>
      <c r="P255" s="510">
        <v>350603</v>
      </c>
      <c r="Q255" s="510"/>
      <c r="R255" s="510">
        <v>903080.05</v>
      </c>
      <c r="S255" s="505">
        <v>3569.91</v>
      </c>
      <c r="T255" s="384">
        <f t="shared" ref="T255:T305" si="17">SUM(M255:S255)</f>
        <v>5763311.8200000003</v>
      </c>
      <c r="U255" s="507">
        <v>-1344.77</v>
      </c>
      <c r="V255" s="510"/>
      <c r="W255" s="510">
        <v>-18880.830000000002</v>
      </c>
      <c r="X255" s="515">
        <v>53</v>
      </c>
      <c r="Y255" s="518">
        <v>1</v>
      </c>
      <c r="Z255" s="519">
        <v>631</v>
      </c>
      <c r="AA255" s="588"/>
      <c r="AB255" s="524"/>
      <c r="AC255" s="337">
        <f>AB255/VPI!R255</f>
        <v>0</v>
      </c>
      <c r="AD255" s="339">
        <f t="shared" si="14"/>
        <v>0</v>
      </c>
      <c r="AE255" s="337">
        <f>AD255/VPI!R255</f>
        <v>0</v>
      </c>
      <c r="AF255" s="524"/>
      <c r="AG255" s="524"/>
      <c r="AH255" s="524"/>
      <c r="AI255" s="595"/>
      <c r="AJ255" s="519"/>
      <c r="AK255" s="337">
        <f>AJ255/VPI!R255</f>
        <v>0</v>
      </c>
      <c r="AL255" s="339">
        <f t="shared" si="15"/>
        <v>0</v>
      </c>
      <c r="AM255" s="337">
        <f>AL255/VPI!R255</f>
        <v>0</v>
      </c>
      <c r="AN255" s="519"/>
      <c r="AO255" s="595"/>
      <c r="AP255" s="532">
        <v>45.0827404922738</v>
      </c>
      <c r="AR255" s="591">
        <v>0</v>
      </c>
    </row>
    <row r="256" spans="1:44" x14ac:dyDescent="0.25">
      <c r="A256" s="586">
        <v>5856</v>
      </c>
      <c r="B256" s="587" t="s">
        <v>20</v>
      </c>
      <c r="C256" s="505">
        <v>1636493.85</v>
      </c>
      <c r="D256" s="505">
        <v>355724.89</v>
      </c>
      <c r="E256" s="505"/>
      <c r="F256" s="506"/>
      <c r="G256" s="505">
        <v>5179.1499999999996</v>
      </c>
      <c r="H256" s="505">
        <v>621.85</v>
      </c>
      <c r="I256" s="505">
        <v>211283.6</v>
      </c>
      <c r="J256" s="505">
        <v>23463.119999999999</v>
      </c>
      <c r="K256" s="505">
        <v>1841.65</v>
      </c>
      <c r="L256" s="505">
        <v>261757.6</v>
      </c>
      <c r="M256" s="384">
        <f t="shared" si="16"/>
        <v>2496365.7100000004</v>
      </c>
      <c r="N256" s="510">
        <v>7815.05</v>
      </c>
      <c r="O256" s="510">
        <v>6578.9</v>
      </c>
      <c r="P256" s="510">
        <v>127853.25</v>
      </c>
      <c r="Q256" s="510"/>
      <c r="R256" s="510">
        <v>72234.600000000006</v>
      </c>
      <c r="S256" s="505">
        <v>601.12</v>
      </c>
      <c r="T256" s="384">
        <f t="shared" si="17"/>
        <v>2711448.6300000004</v>
      </c>
      <c r="U256" s="507">
        <v>-10033.66</v>
      </c>
      <c r="V256" s="510"/>
      <c r="W256" s="510">
        <v>-1888.65</v>
      </c>
      <c r="X256" s="515">
        <v>66.5</v>
      </c>
      <c r="Y256" s="518">
        <v>1.3</v>
      </c>
      <c r="Z256" s="519">
        <v>749</v>
      </c>
      <c r="AA256" s="588"/>
      <c r="AB256" s="524">
        <v>30943</v>
      </c>
      <c r="AC256" s="337">
        <f>AB256/VPI!R256</f>
        <v>0.84866636554691599</v>
      </c>
      <c r="AD256" s="339">
        <f t="shared" si="14"/>
        <v>156276</v>
      </c>
      <c r="AE256" s="337">
        <f>AD256/VPI!R256</f>
        <v>4.2861450066965014</v>
      </c>
      <c r="AF256" s="524">
        <v>187219</v>
      </c>
      <c r="AG256" s="524">
        <v>25688</v>
      </c>
      <c r="AH256" s="524">
        <v>51931</v>
      </c>
      <c r="AI256" s="595"/>
      <c r="AJ256" s="519">
        <v>0</v>
      </c>
      <c r="AK256" s="337">
        <f>AJ256/VPI!R256</f>
        <v>0</v>
      </c>
      <c r="AL256" s="339">
        <f t="shared" si="15"/>
        <v>15474</v>
      </c>
      <c r="AM256" s="337">
        <f>AL256/VPI!R256</f>
        <v>0.42440174968403122</v>
      </c>
      <c r="AN256" s="519">
        <v>15474</v>
      </c>
      <c r="AO256" s="595"/>
      <c r="AP256" s="532">
        <v>31.551598793280832</v>
      </c>
      <c r="AR256" s="591">
        <v>0</v>
      </c>
    </row>
    <row r="257" spans="1:44" x14ac:dyDescent="0.25">
      <c r="A257" s="586">
        <v>5857</v>
      </c>
      <c r="B257" s="587" t="s">
        <v>21</v>
      </c>
      <c r="C257" s="505">
        <v>4506377.58</v>
      </c>
      <c r="D257" s="505">
        <v>690679.01</v>
      </c>
      <c r="E257" s="505"/>
      <c r="F257" s="506"/>
      <c r="G257" s="505">
        <v>-120739.75</v>
      </c>
      <c r="H257" s="505">
        <v>4612.3999999999996</v>
      </c>
      <c r="I257" s="505"/>
      <c r="J257" s="505">
        <v>122367.82</v>
      </c>
      <c r="K257" s="505">
        <v>18053.400000000001</v>
      </c>
      <c r="L257" s="505">
        <v>424415.65</v>
      </c>
      <c r="M257" s="384">
        <f t="shared" si="16"/>
        <v>5645766.1100000013</v>
      </c>
      <c r="N257" s="510">
        <v>80326.95</v>
      </c>
      <c r="O257" s="510">
        <v>6510.8</v>
      </c>
      <c r="P257" s="510">
        <v>243115.25</v>
      </c>
      <c r="Q257" s="510">
        <v>13.25</v>
      </c>
      <c r="R257" s="510">
        <v>204711.85</v>
      </c>
      <c r="S257" s="505">
        <v>0</v>
      </c>
      <c r="T257" s="384">
        <f t="shared" si="17"/>
        <v>6180444.2100000009</v>
      </c>
      <c r="U257" s="507">
        <v>-32334.42</v>
      </c>
      <c r="V257" s="510"/>
      <c r="W257" s="510">
        <v>-858.55</v>
      </c>
      <c r="X257" s="515">
        <v>64.5</v>
      </c>
      <c r="Y257" s="518">
        <v>1</v>
      </c>
      <c r="Z257" s="519">
        <v>1446</v>
      </c>
      <c r="AA257" s="588"/>
      <c r="AB257" s="524"/>
      <c r="AC257" s="337">
        <f>AB257/VPI!R257</f>
        <v>0</v>
      </c>
      <c r="AD257" s="339">
        <f t="shared" si="14"/>
        <v>0</v>
      </c>
      <c r="AE257" s="337">
        <f>AD257/VPI!R257</f>
        <v>0</v>
      </c>
      <c r="AF257" s="524"/>
      <c r="AG257" s="524"/>
      <c r="AH257" s="524"/>
      <c r="AI257" s="595"/>
      <c r="AJ257" s="519"/>
      <c r="AK257" s="337">
        <f>AJ257/VPI!R257</f>
        <v>0</v>
      </c>
      <c r="AL257" s="339">
        <f t="shared" si="15"/>
        <v>0</v>
      </c>
      <c r="AM257" s="337">
        <f>AL257/VPI!R257</f>
        <v>0</v>
      </c>
      <c r="AN257" s="519"/>
      <c r="AO257" s="595"/>
      <c r="AP257" s="532">
        <v>32.083074832273851</v>
      </c>
      <c r="AR257" s="591">
        <v>0</v>
      </c>
    </row>
    <row r="258" spans="1:44" x14ac:dyDescent="0.25">
      <c r="A258" s="586">
        <v>5858</v>
      </c>
      <c r="B258" s="587" t="s">
        <v>22</v>
      </c>
      <c r="C258" s="505">
        <v>1898305.13</v>
      </c>
      <c r="D258" s="505">
        <v>398920.54</v>
      </c>
      <c r="E258" s="505"/>
      <c r="F258" s="506"/>
      <c r="G258" s="505">
        <v>-934.35</v>
      </c>
      <c r="H258" s="505">
        <v>815.9</v>
      </c>
      <c r="I258" s="505">
        <v>9528</v>
      </c>
      <c r="J258" s="505">
        <v>-49788.35</v>
      </c>
      <c r="K258" s="505">
        <v>1257.9000000000001</v>
      </c>
      <c r="L258" s="505">
        <v>239582.65</v>
      </c>
      <c r="M258" s="384">
        <f t="shared" si="16"/>
        <v>2497687.4199999995</v>
      </c>
      <c r="N258" s="510">
        <v>4889.3</v>
      </c>
      <c r="O258" s="510">
        <v>95001.1</v>
      </c>
      <c r="P258" s="510">
        <v>137974.45000000001</v>
      </c>
      <c r="Q258" s="510"/>
      <c r="R258" s="510">
        <v>144928.9</v>
      </c>
      <c r="S258" s="505">
        <v>0</v>
      </c>
      <c r="T258" s="384">
        <f t="shared" si="17"/>
        <v>2880481.1699999995</v>
      </c>
      <c r="U258" s="507">
        <v>-7650.13</v>
      </c>
      <c r="V258" s="510"/>
      <c r="W258" s="510">
        <v>-2228.8000000000002</v>
      </c>
      <c r="X258" s="515">
        <v>58.5</v>
      </c>
      <c r="Y258" s="518">
        <v>1.5</v>
      </c>
      <c r="Z258" s="519">
        <v>618</v>
      </c>
      <c r="AA258" s="588"/>
      <c r="AB258" s="524"/>
      <c r="AC258" s="337">
        <f>AB258/VPI!R258</f>
        <v>0</v>
      </c>
      <c r="AD258" s="339">
        <f t="shared" si="14"/>
        <v>0</v>
      </c>
      <c r="AE258" s="337">
        <f>AD258/VPI!R258</f>
        <v>0</v>
      </c>
      <c r="AF258" s="524"/>
      <c r="AG258" s="524"/>
      <c r="AH258" s="524"/>
      <c r="AI258" s="595"/>
      <c r="AJ258" s="519"/>
      <c r="AK258" s="337">
        <f>AJ258/VPI!R258</f>
        <v>0</v>
      </c>
      <c r="AL258" s="339">
        <f t="shared" si="15"/>
        <v>0</v>
      </c>
      <c r="AM258" s="337">
        <f>AL258/VPI!R258</f>
        <v>0</v>
      </c>
      <c r="AN258" s="519"/>
      <c r="AO258" s="595"/>
      <c r="AP258" s="532">
        <v>32.621769674610874</v>
      </c>
      <c r="AR258" s="591">
        <v>0</v>
      </c>
    </row>
    <row r="259" spans="1:44" x14ac:dyDescent="0.25">
      <c r="A259" s="586">
        <v>5859</v>
      </c>
      <c r="B259" s="587" t="s">
        <v>23</v>
      </c>
      <c r="C259" s="505">
        <v>7054386.1900000004</v>
      </c>
      <c r="D259" s="505">
        <v>1647800.64</v>
      </c>
      <c r="E259" s="505"/>
      <c r="F259" s="506"/>
      <c r="G259" s="505">
        <v>253196.79999999999</v>
      </c>
      <c r="H259" s="505">
        <v>30834.55</v>
      </c>
      <c r="I259" s="505">
        <v>327716.25</v>
      </c>
      <c r="J259" s="505">
        <v>65015.519999999997</v>
      </c>
      <c r="K259" s="505">
        <v>5880.6</v>
      </c>
      <c r="L259" s="505">
        <v>701543.95</v>
      </c>
      <c r="M259" s="384">
        <f t="shared" si="16"/>
        <v>10086374.5</v>
      </c>
      <c r="N259" s="510">
        <v>120650.05</v>
      </c>
      <c r="O259" s="510">
        <v>501474</v>
      </c>
      <c r="P259" s="510">
        <v>373643.75</v>
      </c>
      <c r="Q259" s="510">
        <v>48842.239999999998</v>
      </c>
      <c r="R259" s="510">
        <v>462011.3</v>
      </c>
      <c r="S259" s="505">
        <v>29432.13</v>
      </c>
      <c r="T259" s="384">
        <f t="shared" si="17"/>
        <v>11622427.970000003</v>
      </c>
      <c r="U259" s="507">
        <v>-95986.17</v>
      </c>
      <c r="V259" s="510"/>
      <c r="W259" s="510">
        <v>-8201.41</v>
      </c>
      <c r="X259" s="515">
        <v>63.5</v>
      </c>
      <c r="Y259" s="518">
        <v>1</v>
      </c>
      <c r="Z259" s="519">
        <v>2759</v>
      </c>
      <c r="AA259" s="588"/>
      <c r="AB259" s="524">
        <v>97206</v>
      </c>
      <c r="AC259" s="337">
        <f>AB259/VPI!R259</f>
        <v>0.61354850658145121</v>
      </c>
      <c r="AD259" s="339">
        <f t="shared" si="14"/>
        <v>1079518</v>
      </c>
      <c r="AE259" s="337">
        <f>AD259/VPI!R259</f>
        <v>6.8137425336686537</v>
      </c>
      <c r="AF259" s="524">
        <v>1176724</v>
      </c>
      <c r="AG259" s="524">
        <v>140668</v>
      </c>
      <c r="AH259" s="524">
        <v>256437</v>
      </c>
      <c r="AI259" s="595"/>
      <c r="AJ259" s="519">
        <v>0</v>
      </c>
      <c r="AK259" s="337">
        <f>AJ259/VPI!R259</f>
        <v>0</v>
      </c>
      <c r="AL259" s="339">
        <f t="shared" si="15"/>
        <v>0</v>
      </c>
      <c r="AM259" s="337">
        <f>AL259/VPI!R259</f>
        <v>0</v>
      </c>
      <c r="AN259" s="519">
        <v>0</v>
      </c>
      <c r="AO259" s="595"/>
      <c r="AP259" s="532">
        <v>29.738680732115526</v>
      </c>
      <c r="AR259" s="591">
        <v>0</v>
      </c>
    </row>
    <row r="260" spans="1:44" x14ac:dyDescent="0.25">
      <c r="A260" s="586">
        <v>5860</v>
      </c>
      <c r="B260" s="587" t="s">
        <v>24</v>
      </c>
      <c r="C260" s="505">
        <v>4556788.5599999996</v>
      </c>
      <c r="D260" s="505">
        <v>2206822.9500000002</v>
      </c>
      <c r="E260" s="505"/>
      <c r="F260" s="506"/>
      <c r="G260" s="505">
        <v>96272.75</v>
      </c>
      <c r="H260" s="505">
        <v>38091.199999999997</v>
      </c>
      <c r="I260" s="505">
        <v>317639.3</v>
      </c>
      <c r="J260" s="505">
        <v>84515.83</v>
      </c>
      <c r="K260" s="505">
        <v>24838.400000000001</v>
      </c>
      <c r="L260" s="505">
        <v>719817.5</v>
      </c>
      <c r="M260" s="384">
        <f t="shared" si="16"/>
        <v>8044786.4900000002</v>
      </c>
      <c r="N260" s="510">
        <v>29243.5</v>
      </c>
      <c r="O260" s="510">
        <v>29002.45</v>
      </c>
      <c r="P260" s="510">
        <v>345579.65</v>
      </c>
      <c r="Q260" s="510"/>
      <c r="R260" s="510">
        <v>396315.35</v>
      </c>
      <c r="S260" s="505">
        <v>13923.17</v>
      </c>
      <c r="T260" s="384">
        <f t="shared" si="17"/>
        <v>8858850.6099999994</v>
      </c>
      <c r="U260" s="507">
        <v>-111920.79</v>
      </c>
      <c r="V260" s="510"/>
      <c r="W260" s="510">
        <v>-36858.93</v>
      </c>
      <c r="X260" s="515">
        <v>58.5</v>
      </c>
      <c r="Y260" s="518">
        <v>1.3</v>
      </c>
      <c r="Z260" s="519">
        <v>1542</v>
      </c>
      <c r="AA260" s="588"/>
      <c r="AB260" s="524"/>
      <c r="AC260" s="337">
        <f>AB260/VPI!R260</f>
        <v>0</v>
      </c>
      <c r="AD260" s="339">
        <f t="shared" si="14"/>
        <v>0</v>
      </c>
      <c r="AE260" s="337">
        <f>AD260/VPI!R260</f>
        <v>0</v>
      </c>
      <c r="AF260" s="524"/>
      <c r="AG260" s="524"/>
      <c r="AH260" s="524"/>
      <c r="AI260" s="595"/>
      <c r="AJ260" s="519"/>
      <c r="AK260" s="337">
        <f>AJ260/VPI!R260</f>
        <v>0</v>
      </c>
      <c r="AL260" s="339">
        <f t="shared" si="15"/>
        <v>0</v>
      </c>
      <c r="AM260" s="337">
        <f>AL260/VPI!R260</f>
        <v>0</v>
      </c>
      <c r="AN260" s="519"/>
      <c r="AO260" s="595"/>
      <c r="AP260" s="532">
        <v>36.781223717822627</v>
      </c>
      <c r="AR260" s="591">
        <v>0</v>
      </c>
    </row>
    <row r="261" spans="1:44" x14ac:dyDescent="0.25">
      <c r="A261" s="586">
        <v>5861</v>
      </c>
      <c r="B261" s="587" t="s">
        <v>25</v>
      </c>
      <c r="C261" s="505">
        <v>14617244.279999999</v>
      </c>
      <c r="D261" s="505">
        <v>3819852.95</v>
      </c>
      <c r="E261" s="505"/>
      <c r="F261" s="506"/>
      <c r="G261" s="505">
        <f>26065871.72-6000000</f>
        <v>20065871.719999999</v>
      </c>
      <c r="H261" s="505">
        <v>2302904.35</v>
      </c>
      <c r="I261" s="505">
        <v>344467.67</v>
      </c>
      <c r="J261" s="505">
        <v>1339455.58</v>
      </c>
      <c r="K261" s="505">
        <v>346635.6</v>
      </c>
      <c r="L261" s="505">
        <v>1916767.1</v>
      </c>
      <c r="M261" s="384">
        <f t="shared" si="16"/>
        <v>44753199.250000007</v>
      </c>
      <c r="N261" s="510">
        <v>705395.85</v>
      </c>
      <c r="O261" s="510">
        <v>135943.29999999999</v>
      </c>
      <c r="P261" s="510">
        <v>842829.6</v>
      </c>
      <c r="Q261" s="510">
        <v>10425.290000000001</v>
      </c>
      <c r="R261" s="510">
        <v>647419.65</v>
      </c>
      <c r="S261" s="505">
        <v>2939653.07</v>
      </c>
      <c r="T261" s="384">
        <f t="shared" si="17"/>
        <v>50034866.010000005</v>
      </c>
      <c r="U261" s="507">
        <v>-97474.64</v>
      </c>
      <c r="V261" s="510"/>
      <c r="W261" s="510">
        <v>-228761.65</v>
      </c>
      <c r="X261" s="515">
        <v>59.5</v>
      </c>
      <c r="Y261" s="518">
        <v>1</v>
      </c>
      <c r="Z261" s="519">
        <v>6321</v>
      </c>
      <c r="AA261" s="588"/>
      <c r="AB261" s="524"/>
      <c r="AC261" s="337">
        <f>AB261/VPI!R261</f>
        <v>0</v>
      </c>
      <c r="AD261" s="339">
        <f t="shared" si="14"/>
        <v>0</v>
      </c>
      <c r="AE261" s="337">
        <f>AD261/VPI!R261</f>
        <v>0</v>
      </c>
      <c r="AF261" s="524"/>
      <c r="AG261" s="524"/>
      <c r="AH261" s="524"/>
      <c r="AI261" s="595"/>
      <c r="AJ261" s="519"/>
      <c r="AK261" s="337">
        <f>AJ261/VPI!R261</f>
        <v>0</v>
      </c>
      <c r="AL261" s="339">
        <f t="shared" si="15"/>
        <v>0</v>
      </c>
      <c r="AM261" s="337">
        <f>AL261/VPI!R261</f>
        <v>0</v>
      </c>
      <c r="AN261" s="519"/>
      <c r="AO261" s="595"/>
      <c r="AP261" s="532">
        <v>44.873634381568664</v>
      </c>
      <c r="AR261" s="591">
        <v>0</v>
      </c>
    </row>
    <row r="262" spans="1:44" x14ac:dyDescent="0.25">
      <c r="A262" s="586">
        <v>5862</v>
      </c>
      <c r="B262" s="587" t="s">
        <v>26</v>
      </c>
      <c r="C262" s="505">
        <v>627322.27</v>
      </c>
      <c r="D262" s="505">
        <v>80154.850000000006</v>
      </c>
      <c r="E262" s="505"/>
      <c r="F262" s="506"/>
      <c r="G262" s="505">
        <v>8243.4</v>
      </c>
      <c r="H262" s="505">
        <v>1736.6</v>
      </c>
      <c r="I262" s="505"/>
      <c r="J262" s="505">
        <v>56362.67</v>
      </c>
      <c r="K262" s="505"/>
      <c r="L262" s="505">
        <v>50622.5</v>
      </c>
      <c r="M262" s="384">
        <f t="shared" si="16"/>
        <v>824442.29</v>
      </c>
      <c r="N262" s="510">
        <v>7523.45</v>
      </c>
      <c r="O262" s="510">
        <v>464</v>
      </c>
      <c r="P262" s="510">
        <v>75024.149999999994</v>
      </c>
      <c r="Q262" s="510"/>
      <c r="R262" s="510">
        <v>85476.1</v>
      </c>
      <c r="S262" s="505">
        <v>1034.1500000000001</v>
      </c>
      <c r="T262" s="384">
        <f t="shared" si="17"/>
        <v>993964.14</v>
      </c>
      <c r="U262" s="507">
        <v>-6136.95</v>
      </c>
      <c r="V262" s="510"/>
      <c r="W262" s="510">
        <v>0</v>
      </c>
      <c r="X262" s="515">
        <v>79</v>
      </c>
      <c r="Y262" s="518">
        <v>1</v>
      </c>
      <c r="Z262" s="519">
        <v>249</v>
      </c>
      <c r="AA262" s="588"/>
      <c r="AB262" s="524">
        <v>0</v>
      </c>
      <c r="AC262" s="337">
        <f>AB262/VPI!R262</f>
        <v>0</v>
      </c>
      <c r="AD262" s="339">
        <f t="shared" si="14"/>
        <v>27805</v>
      </c>
      <c r="AE262" s="337">
        <f>AD262/VPI!R262</f>
        <v>2.680933882486245</v>
      </c>
      <c r="AF262" s="524">
        <v>27805</v>
      </c>
      <c r="AG262" s="524">
        <v>15584</v>
      </c>
      <c r="AH262" s="524">
        <v>22920</v>
      </c>
      <c r="AI262" s="595"/>
      <c r="AJ262" s="519">
        <v>0</v>
      </c>
      <c r="AK262" s="337">
        <f>AJ262/VPI!R262</f>
        <v>0</v>
      </c>
      <c r="AL262" s="339">
        <f t="shared" si="15"/>
        <v>4418</v>
      </c>
      <c r="AM262" s="337">
        <f>AL262/VPI!R262</f>
        <v>0.42597971202388885</v>
      </c>
      <c r="AN262" s="519">
        <v>4418</v>
      </c>
      <c r="AO262" s="595"/>
      <c r="AP262" s="532">
        <v>16.467349770010834</v>
      </c>
      <c r="AR262" s="591">
        <v>0</v>
      </c>
    </row>
    <row r="263" spans="1:44" x14ac:dyDescent="0.25">
      <c r="A263" s="586">
        <v>5863</v>
      </c>
      <c r="B263" s="587" t="s">
        <v>27</v>
      </c>
      <c r="C263" s="505">
        <v>1109539.18</v>
      </c>
      <c r="D263" s="505">
        <v>233939.48</v>
      </c>
      <c r="F263" s="506"/>
      <c r="G263" s="505">
        <v>62362.25</v>
      </c>
      <c r="H263" s="505">
        <v>18779.55</v>
      </c>
      <c r="I263" s="505">
        <v>42873.3</v>
      </c>
      <c r="J263" s="505">
        <v>12152.93</v>
      </c>
      <c r="K263" s="505">
        <v>2534.9</v>
      </c>
      <c r="L263" s="505">
        <v>96302.1</v>
      </c>
      <c r="M263" s="384">
        <f t="shared" si="16"/>
        <v>1578483.69</v>
      </c>
      <c r="N263" s="510">
        <v>20078.099999999999</v>
      </c>
      <c r="O263" s="510"/>
      <c r="P263" s="510">
        <v>88715</v>
      </c>
      <c r="Q263" s="510">
        <v>1074.53</v>
      </c>
      <c r="R263" s="510">
        <v>69554.100000000006</v>
      </c>
      <c r="S263" s="505">
        <v>8408.14</v>
      </c>
      <c r="T263" s="384">
        <f t="shared" si="17"/>
        <v>1766313.56</v>
      </c>
      <c r="U263" s="507">
        <v>-1314.72</v>
      </c>
      <c r="V263" s="510"/>
      <c r="W263" s="510">
        <v>-1373.95</v>
      </c>
      <c r="X263" s="515">
        <v>67</v>
      </c>
      <c r="Y263" s="518">
        <v>1</v>
      </c>
      <c r="Z263" s="519">
        <v>378</v>
      </c>
      <c r="AA263" s="588"/>
      <c r="AB263" s="524"/>
      <c r="AC263" s="337">
        <f>AB263/VPI!R263</f>
        <v>0</v>
      </c>
      <c r="AD263" s="339">
        <f t="shared" ref="AD263:AD305" si="18">AF263-AB263</f>
        <v>0</v>
      </c>
      <c r="AE263" s="337">
        <f>AD263/VPI!R263</f>
        <v>0</v>
      </c>
      <c r="AF263" s="524"/>
      <c r="AG263" s="524"/>
      <c r="AH263" s="524"/>
      <c r="AI263" s="595"/>
      <c r="AJ263" s="519"/>
      <c r="AK263" s="337">
        <f>AJ263/VPI!R263</f>
        <v>0</v>
      </c>
      <c r="AL263" s="339">
        <f t="shared" ref="AL263:AL305" si="19">AN263-AJ263</f>
        <v>0</v>
      </c>
      <c r="AM263" s="337">
        <f>AL263/VPI!R263</f>
        <v>0</v>
      </c>
      <c r="AN263" s="519"/>
      <c r="AO263" s="595"/>
      <c r="AP263" s="532">
        <v>32.15120373225465</v>
      </c>
      <c r="AR263" s="591">
        <v>0</v>
      </c>
    </row>
    <row r="264" spans="1:44" x14ac:dyDescent="0.25">
      <c r="A264" s="586">
        <v>5871</v>
      </c>
      <c r="B264" s="587" t="s">
        <v>28</v>
      </c>
      <c r="C264" s="505">
        <v>2797427.79</v>
      </c>
      <c r="D264" s="505">
        <v>634933.77</v>
      </c>
      <c r="F264" s="506"/>
      <c r="G264" s="505">
        <v>54828.55</v>
      </c>
      <c r="H264" s="507">
        <v>27539.3</v>
      </c>
      <c r="I264" s="505"/>
      <c r="J264" s="505">
        <v>114138.05</v>
      </c>
      <c r="K264" s="505">
        <v>5570.65</v>
      </c>
      <c r="L264" s="505">
        <v>294470.8</v>
      </c>
      <c r="M264" s="384">
        <f t="shared" si="16"/>
        <v>3928908.9099999992</v>
      </c>
      <c r="N264" s="510">
        <v>739765.05</v>
      </c>
      <c r="O264" s="510">
        <v>945.70000000000198</v>
      </c>
      <c r="P264" s="510">
        <v>236519.65</v>
      </c>
      <c r="Q264" s="510">
        <v>9753.34</v>
      </c>
      <c r="R264" s="510">
        <v>110705.25</v>
      </c>
      <c r="S264" s="505">
        <v>8535.19</v>
      </c>
      <c r="T264" s="384">
        <f t="shared" si="17"/>
        <v>5035133.09</v>
      </c>
      <c r="U264" s="507">
        <v>-63747.31</v>
      </c>
      <c r="V264" s="510"/>
      <c r="W264" s="510">
        <v>-240.08</v>
      </c>
      <c r="X264" s="515">
        <v>77.3</v>
      </c>
      <c r="Y264" s="518">
        <v>1</v>
      </c>
      <c r="Z264" s="519">
        <v>1534</v>
      </c>
      <c r="AA264" s="588"/>
      <c r="AB264" s="524">
        <v>137357</v>
      </c>
      <c r="AC264" s="337">
        <f>AB264/VPI!R264</f>
        <v>2.7342574734014202</v>
      </c>
      <c r="AD264" s="339">
        <f t="shared" si="18"/>
        <v>443374</v>
      </c>
      <c r="AE264" s="337">
        <f>AD264/VPI!R264</f>
        <v>8.8258965543210852</v>
      </c>
      <c r="AF264" s="524">
        <v>580731</v>
      </c>
      <c r="AG264" s="524">
        <v>181717</v>
      </c>
      <c r="AH264" s="524">
        <v>211375</v>
      </c>
      <c r="AI264" s="595"/>
      <c r="AJ264" s="519">
        <v>0</v>
      </c>
      <c r="AK264" s="337">
        <f>AJ264/VPI!R264</f>
        <v>0</v>
      </c>
      <c r="AL264" s="339">
        <f t="shared" si="19"/>
        <v>-50370</v>
      </c>
      <c r="AM264" s="337">
        <f>AL264/VPI!R264</f>
        <v>-1.0026758660660142</v>
      </c>
      <c r="AN264" s="519">
        <v>-50370</v>
      </c>
      <c r="AO264" s="595"/>
      <c r="AP264" s="532">
        <v>16.29065917383457</v>
      </c>
      <c r="AR264" s="591">
        <v>0</v>
      </c>
    </row>
    <row r="265" spans="1:44" x14ac:dyDescent="0.25">
      <c r="A265" s="586">
        <v>5872</v>
      </c>
      <c r="B265" s="587" t="s">
        <v>184</v>
      </c>
      <c r="C265" s="505">
        <v>6722731.2999999998</v>
      </c>
      <c r="D265" s="505">
        <v>1036732.85</v>
      </c>
      <c r="F265" s="506"/>
      <c r="G265" s="505">
        <v>10731951.800000001</v>
      </c>
      <c r="H265" s="505">
        <v>245658.25</v>
      </c>
      <c r="I265" s="505"/>
      <c r="J265" s="505">
        <v>568916.32999999996</v>
      </c>
      <c r="K265" s="505">
        <v>66792.75</v>
      </c>
      <c r="L265" s="505">
        <v>803935.1</v>
      </c>
      <c r="M265" s="384">
        <f t="shared" si="16"/>
        <v>20176718.379999999</v>
      </c>
      <c r="N265" s="510">
        <v>8102751.8499999996</v>
      </c>
      <c r="O265" s="510">
        <v>179177.1</v>
      </c>
      <c r="P265" s="510">
        <v>259286.1</v>
      </c>
      <c r="Q265" s="510">
        <v>6210.09</v>
      </c>
      <c r="R265" s="510">
        <v>206136.4</v>
      </c>
      <c r="S265" s="505">
        <v>1137531.1000000001</v>
      </c>
      <c r="T265" s="384">
        <f t="shared" si="17"/>
        <v>30067811.02</v>
      </c>
      <c r="U265" s="507">
        <v>-132586.73000000001</v>
      </c>
      <c r="V265" s="510"/>
      <c r="W265" s="510">
        <v>-8147.58</v>
      </c>
      <c r="X265" s="515">
        <v>66.83</v>
      </c>
      <c r="Y265" s="518">
        <v>1</v>
      </c>
      <c r="Z265" s="519">
        <v>4613</v>
      </c>
      <c r="AA265" s="588"/>
      <c r="AB265" s="524">
        <v>487988</v>
      </c>
      <c r="AC265" s="337">
        <f>AB265/VPI!R265</f>
        <v>1.5397856978622582</v>
      </c>
      <c r="AD265" s="339">
        <f t="shared" si="18"/>
        <v>2219022</v>
      </c>
      <c r="AE265" s="337">
        <f>AD265/VPI!R265</f>
        <v>7.0018491004731755</v>
      </c>
      <c r="AF265" s="524">
        <v>2707010</v>
      </c>
      <c r="AG265" s="524">
        <v>545868</v>
      </c>
      <c r="AH265" s="524">
        <v>659447</v>
      </c>
      <c r="AI265" s="595"/>
      <c r="AJ265" s="519">
        <v>0</v>
      </c>
      <c r="AK265" s="337">
        <f>AJ265/VPI!R265</f>
        <v>0</v>
      </c>
      <c r="AL265" s="339">
        <f t="shared" si="19"/>
        <v>534298</v>
      </c>
      <c r="AM265" s="337">
        <f>AL265/VPI!R265</f>
        <v>1.685911167480366</v>
      </c>
      <c r="AN265" s="519">
        <v>534298</v>
      </c>
      <c r="AO265" s="595"/>
      <c r="AP265" s="532">
        <v>21.815825606008143</v>
      </c>
      <c r="AR265" s="591">
        <v>0</v>
      </c>
    </row>
    <row r="266" spans="1:44" x14ac:dyDescent="0.25">
      <c r="A266" s="586">
        <v>5873</v>
      </c>
      <c r="B266" s="587" t="s">
        <v>185</v>
      </c>
      <c r="C266" s="505">
        <v>1554824.32</v>
      </c>
      <c r="D266" s="505">
        <v>416069.39</v>
      </c>
      <c r="F266" s="506"/>
      <c r="G266" s="508">
        <v>277637.2</v>
      </c>
      <c r="H266" s="507">
        <v>4755.05</v>
      </c>
      <c r="I266" s="505"/>
      <c r="J266" s="505">
        <v>57658.89</v>
      </c>
      <c r="K266" s="505">
        <v>0</v>
      </c>
      <c r="L266" s="505">
        <v>121166.3</v>
      </c>
      <c r="M266" s="384">
        <f t="shared" si="16"/>
        <v>2432111.15</v>
      </c>
      <c r="N266" s="510">
        <v>879860</v>
      </c>
      <c r="O266" s="510">
        <v>40004.699999999997</v>
      </c>
      <c r="P266" s="510">
        <v>92283.199999999997</v>
      </c>
      <c r="Q266" s="510">
        <v>4338.42</v>
      </c>
      <c r="R266" s="510">
        <v>115052.6</v>
      </c>
      <c r="S266" s="505">
        <v>29262.29</v>
      </c>
      <c r="T266" s="384">
        <f t="shared" si="17"/>
        <v>3592912.3600000003</v>
      </c>
      <c r="U266" s="507">
        <v>-31339.03</v>
      </c>
      <c r="V266" s="510"/>
      <c r="W266" s="510">
        <v>-421.75</v>
      </c>
      <c r="X266" s="515">
        <v>70</v>
      </c>
      <c r="Y266" s="518">
        <v>0.8</v>
      </c>
      <c r="Z266" s="519">
        <v>886</v>
      </c>
      <c r="AA266" s="588"/>
      <c r="AB266" s="524">
        <v>31551</v>
      </c>
      <c r="AC266" s="337">
        <f>AB266/VPI!R266</f>
        <v>0.89624696476979049</v>
      </c>
      <c r="AD266" s="339">
        <f t="shared" si="18"/>
        <v>757158</v>
      </c>
      <c r="AE266" s="337">
        <f>AD266/VPI!R266</f>
        <v>21.508052339107</v>
      </c>
      <c r="AF266" s="524">
        <v>788709</v>
      </c>
      <c r="AG266" s="524">
        <v>105255</v>
      </c>
      <c r="AH266" s="524">
        <v>119609</v>
      </c>
      <c r="AI266" s="595"/>
      <c r="AJ266" s="519">
        <v>0</v>
      </c>
      <c r="AK266" s="337">
        <f>AJ266/VPI!R266</f>
        <v>0</v>
      </c>
      <c r="AL266" s="339">
        <f t="shared" si="19"/>
        <v>186223</v>
      </c>
      <c r="AM266" s="337">
        <f>AL266/VPI!R266</f>
        <v>5.2899051858998032</v>
      </c>
      <c r="AN266" s="519">
        <v>186223</v>
      </c>
      <c r="AO266" s="595"/>
      <c r="AP266" s="532">
        <v>21.664162181124883</v>
      </c>
      <c r="AR266" s="591">
        <v>0</v>
      </c>
    </row>
    <row r="267" spans="1:44" x14ac:dyDescent="0.25">
      <c r="A267" s="586">
        <v>5882</v>
      </c>
      <c r="B267" s="587" t="s">
        <v>186</v>
      </c>
      <c r="C267" s="505">
        <v>8517733.3000000007</v>
      </c>
      <c r="D267" s="505">
        <v>2149481.38</v>
      </c>
      <c r="E267" s="505"/>
      <c r="F267" s="506"/>
      <c r="G267" s="505">
        <v>116369.95</v>
      </c>
      <c r="H267" s="505">
        <v>18537.400000000001</v>
      </c>
      <c r="I267" s="505">
        <v>1150791.94</v>
      </c>
      <c r="J267" s="505">
        <v>700760.93</v>
      </c>
      <c r="K267" s="505">
        <v>67255.75</v>
      </c>
      <c r="L267" s="505">
        <v>1040784.14</v>
      </c>
      <c r="M267" s="384">
        <f t="shared" si="16"/>
        <v>13761714.789999999</v>
      </c>
      <c r="N267" s="510">
        <v>17097.55</v>
      </c>
      <c r="O267" s="510">
        <v>1794840.55</v>
      </c>
      <c r="P267" s="510">
        <v>726270.8</v>
      </c>
      <c r="Q267" s="510">
        <v>19119.43</v>
      </c>
      <c r="R267" s="510">
        <v>603840.44999999995</v>
      </c>
      <c r="S267" s="505">
        <v>13979.48</v>
      </c>
      <c r="T267" s="384">
        <f t="shared" si="17"/>
        <v>16936863.050000001</v>
      </c>
      <c r="U267" s="507">
        <v>-59054.11</v>
      </c>
      <c r="V267" s="510"/>
      <c r="W267" s="510">
        <v>-16408.09</v>
      </c>
      <c r="X267" s="515">
        <v>68</v>
      </c>
      <c r="Y267" s="518">
        <v>1</v>
      </c>
      <c r="Z267" s="519">
        <v>3192</v>
      </c>
      <c r="AA267" s="588"/>
      <c r="AB267" s="524">
        <v>332932</v>
      </c>
      <c r="AC267" s="337">
        <f>AB267/VPI!R267</f>
        <v>1.6501782901327371</v>
      </c>
      <c r="AD267" s="339">
        <f t="shared" si="18"/>
        <v>1078758</v>
      </c>
      <c r="AE267" s="337">
        <f>AD267/VPI!R267</f>
        <v>5.3468667232558333</v>
      </c>
      <c r="AF267" s="524">
        <v>1411690</v>
      </c>
      <c r="AG267" s="524">
        <v>377961</v>
      </c>
      <c r="AH267" s="524">
        <v>185759</v>
      </c>
      <c r="AI267" s="595"/>
      <c r="AJ267" s="519">
        <v>0</v>
      </c>
      <c r="AK267" s="337">
        <f>AJ267/VPI!R267</f>
        <v>0</v>
      </c>
      <c r="AL267" s="339">
        <f t="shared" si="19"/>
        <v>1503</v>
      </c>
      <c r="AM267" s="337">
        <f>AL267/VPI!R267</f>
        <v>7.4496232566094688E-3</v>
      </c>
      <c r="AN267" s="519">
        <v>1503</v>
      </c>
      <c r="AO267" s="595"/>
      <c r="AP267" s="532">
        <v>30.430807007658885</v>
      </c>
      <c r="AR267" s="591">
        <v>1</v>
      </c>
    </row>
    <row r="268" spans="1:44" x14ac:dyDescent="0.25">
      <c r="A268" s="586">
        <v>5883</v>
      </c>
      <c r="B268" s="587" t="s">
        <v>187</v>
      </c>
      <c r="C268" s="505">
        <v>8644525.0899999999</v>
      </c>
      <c r="D268" s="505">
        <v>2267851.04</v>
      </c>
      <c r="E268" s="505"/>
      <c r="F268" s="506"/>
      <c r="G268" s="505">
        <v>61487.65</v>
      </c>
      <c r="H268" s="505">
        <v>21419.200000000001</v>
      </c>
      <c r="I268" s="505">
        <v>473368.28</v>
      </c>
      <c r="J268" s="505">
        <v>4940.47</v>
      </c>
      <c r="K268" s="505">
        <v>20863.8</v>
      </c>
      <c r="L268" s="505">
        <v>727626.3</v>
      </c>
      <c r="M268" s="384">
        <f t="shared" si="16"/>
        <v>12222081.83</v>
      </c>
      <c r="N268" s="510">
        <v>1881.65</v>
      </c>
      <c r="O268" s="510">
        <v>710734.8</v>
      </c>
      <c r="P268" s="510">
        <v>415006.3</v>
      </c>
      <c r="Q268" s="510">
        <v>12807.99</v>
      </c>
      <c r="R268" s="510">
        <v>371747.15</v>
      </c>
      <c r="S268" s="505">
        <v>8591.0400000000009</v>
      </c>
      <c r="T268" s="384">
        <f t="shared" si="17"/>
        <v>13742850.760000002</v>
      </c>
      <c r="U268" s="507">
        <v>-23324.94</v>
      </c>
      <c r="V268" s="510"/>
      <c r="W268" s="510">
        <v>-9731.92</v>
      </c>
      <c r="X268" s="515">
        <v>67.5</v>
      </c>
      <c r="Y268" s="518">
        <v>1</v>
      </c>
      <c r="Z268" s="519">
        <v>2307</v>
      </c>
      <c r="AA268" s="588"/>
      <c r="AB268" s="524">
        <v>293220</v>
      </c>
      <c r="AC268" s="337">
        <f>AB268/VPI!R268</f>
        <v>1.6209387978664782</v>
      </c>
      <c r="AD268" s="339">
        <f t="shared" si="18"/>
        <v>322505</v>
      </c>
      <c r="AE268" s="337">
        <f>AD268/VPI!R268</f>
        <v>1.7828281393013048</v>
      </c>
      <c r="AF268" s="524">
        <v>615725</v>
      </c>
      <c r="AG268" s="524">
        <f>286111+238131</f>
        <v>524242</v>
      </c>
      <c r="AH268" s="524">
        <v>137840</v>
      </c>
      <c r="AI268" s="595"/>
      <c r="AJ268" s="519">
        <v>0</v>
      </c>
      <c r="AK268" s="337">
        <f>AJ268/VPI!R268</f>
        <v>0</v>
      </c>
      <c r="AL268" s="339">
        <f t="shared" si="19"/>
        <v>2162</v>
      </c>
      <c r="AM268" s="337">
        <f>AL268/VPI!R268</f>
        <v>1.1951673422642814E-2</v>
      </c>
      <c r="AN268" s="519">
        <v>2162</v>
      </c>
      <c r="AO268" s="595"/>
      <c r="AP268" s="532">
        <v>37.468587232161568</v>
      </c>
      <c r="AR268" s="591">
        <v>1</v>
      </c>
    </row>
    <row r="269" spans="1:44" x14ac:dyDescent="0.25">
      <c r="A269" s="586">
        <v>5884</v>
      </c>
      <c r="B269" s="587" t="s">
        <v>45</v>
      </c>
      <c r="C269" s="505">
        <v>5305103.63</v>
      </c>
      <c r="D269" s="505">
        <v>832581.05</v>
      </c>
      <c r="E269" s="505"/>
      <c r="F269" s="506"/>
      <c r="G269" s="505">
        <v>723167.2</v>
      </c>
      <c r="H269" s="505">
        <v>96673.85</v>
      </c>
      <c r="I269" s="505">
        <v>30676.95</v>
      </c>
      <c r="J269" s="505">
        <v>194817.97</v>
      </c>
      <c r="K269" s="505">
        <v>169043.45</v>
      </c>
      <c r="L269" s="505">
        <v>966598.6</v>
      </c>
      <c r="M269" s="384">
        <f t="shared" si="16"/>
        <v>8318662.6999999993</v>
      </c>
      <c r="N269" s="510">
        <v>491143.6</v>
      </c>
      <c r="O269" s="510">
        <v>80903.600000000006</v>
      </c>
      <c r="P269" s="510">
        <v>466409.25</v>
      </c>
      <c r="Q269" s="510">
        <v>58543.24</v>
      </c>
      <c r="R269" s="510">
        <v>531535.44999999995</v>
      </c>
      <c r="S269" s="505">
        <v>84954.25</v>
      </c>
      <c r="T269" s="384">
        <f t="shared" si="17"/>
        <v>10032152.089999998</v>
      </c>
      <c r="U269" s="507">
        <v>-38609.71</v>
      </c>
      <c r="V269" s="510"/>
      <c r="W269" s="510">
        <v>-3866.58</v>
      </c>
      <c r="X269" s="515">
        <v>64.5</v>
      </c>
      <c r="Y269" s="518">
        <v>1.2</v>
      </c>
      <c r="Z269" s="519">
        <v>3366</v>
      </c>
      <c r="AA269" s="588"/>
      <c r="AB269" s="524">
        <v>1066464</v>
      </c>
      <c r="AC269" s="337">
        <f>AB269/VPI!R269</f>
        <v>8.3291429728689099</v>
      </c>
      <c r="AD269" s="339">
        <f t="shared" si="18"/>
        <v>655871</v>
      </c>
      <c r="AE269" s="337">
        <f>AD269/VPI!R269</f>
        <v>5.1223888764726278</v>
      </c>
      <c r="AF269" s="524">
        <v>1722335</v>
      </c>
      <c r="AG269" s="524">
        <v>958820</v>
      </c>
      <c r="AH269" s="524">
        <v>228023</v>
      </c>
      <c r="AI269" s="595"/>
      <c r="AJ269" s="519">
        <v>0</v>
      </c>
      <c r="AK269" s="337">
        <f>AJ269/VPI!R269</f>
        <v>0</v>
      </c>
      <c r="AL269" s="339">
        <f t="shared" si="19"/>
        <v>32204</v>
      </c>
      <c r="AM269" s="337">
        <f>AL269/VPI!R269</f>
        <v>0.25151502563449901</v>
      </c>
      <c r="AN269" s="519">
        <v>32204</v>
      </c>
      <c r="AO269" s="595"/>
      <c r="AP269" s="532">
        <v>23.370703096497493</v>
      </c>
      <c r="AR269" s="591">
        <v>1</v>
      </c>
    </row>
    <row r="270" spans="1:44" x14ac:dyDescent="0.25">
      <c r="A270" s="586">
        <v>5885</v>
      </c>
      <c r="B270" s="587" t="s">
        <v>46</v>
      </c>
      <c r="C270" s="505">
        <v>5271097.95</v>
      </c>
      <c r="D270" s="505">
        <v>928722.98</v>
      </c>
      <c r="E270" s="505"/>
      <c r="F270" s="506"/>
      <c r="G270" s="505">
        <v>181548.25</v>
      </c>
      <c r="H270" s="505">
        <v>28196</v>
      </c>
      <c r="I270" s="505">
        <v>196351.71</v>
      </c>
      <c r="J270" s="505">
        <v>130817.43</v>
      </c>
      <c r="K270" s="505">
        <v>3306.65</v>
      </c>
      <c r="L270" s="505">
        <v>597313.15</v>
      </c>
      <c r="M270" s="384">
        <f t="shared" si="16"/>
        <v>7337354.1200000001</v>
      </c>
      <c r="N270" s="510">
        <v>3104.95</v>
      </c>
      <c r="O270" s="510">
        <v>114058.7</v>
      </c>
      <c r="P270" s="510">
        <v>293057.8</v>
      </c>
      <c r="Q270" s="510"/>
      <c r="R270" s="510">
        <v>183657.5</v>
      </c>
      <c r="S270" s="505">
        <v>21734.29</v>
      </c>
      <c r="T270" s="384">
        <f t="shared" si="17"/>
        <v>7952967.3600000003</v>
      </c>
      <c r="U270" s="507">
        <v>-23195.72</v>
      </c>
      <c r="V270" s="510"/>
      <c r="W270" s="510">
        <v>-2175.87</v>
      </c>
      <c r="X270" s="515">
        <v>69.5</v>
      </c>
      <c r="Y270" s="518">
        <v>1.2</v>
      </c>
      <c r="Z270" s="519">
        <v>1842</v>
      </c>
      <c r="AA270" s="588"/>
      <c r="AB270" s="524">
        <v>50527</v>
      </c>
      <c r="AC270" s="337">
        <f>AB270/VPI!R270</f>
        <v>0.48542253050841028</v>
      </c>
      <c r="AD270" s="339">
        <f t="shared" si="18"/>
        <v>557486</v>
      </c>
      <c r="AE270" s="337">
        <f>AD270/VPI!R270</f>
        <v>5.3558743808856972</v>
      </c>
      <c r="AF270" s="524">
        <v>608013</v>
      </c>
      <c r="AG270" s="524">
        <v>178796</v>
      </c>
      <c r="AH270" s="524">
        <v>128292</v>
      </c>
      <c r="AI270" s="595"/>
      <c r="AJ270" s="519">
        <v>0</v>
      </c>
      <c r="AK270" s="337">
        <f>AJ270/VPI!R270</f>
        <v>0</v>
      </c>
      <c r="AL270" s="339">
        <f t="shared" si="19"/>
        <v>-7847</v>
      </c>
      <c r="AM270" s="337">
        <f>AL270/VPI!R270</f>
        <v>-7.5387626356195614E-2</v>
      </c>
      <c r="AN270" s="519">
        <v>-7847</v>
      </c>
      <c r="AO270" s="595"/>
      <c r="AP270" s="532">
        <v>29.161373868196396</v>
      </c>
      <c r="AR270" s="591">
        <v>1</v>
      </c>
    </row>
    <row r="271" spans="1:44" x14ac:dyDescent="0.25">
      <c r="A271" s="586">
        <v>5886</v>
      </c>
      <c r="B271" s="587" t="s">
        <v>47</v>
      </c>
      <c r="C271" s="505">
        <v>44972882.689999998</v>
      </c>
      <c r="D271" s="505">
        <v>12252555.51</v>
      </c>
      <c r="E271" s="505"/>
      <c r="F271" s="506"/>
      <c r="G271" s="505">
        <v>3312254.85</v>
      </c>
      <c r="H271" s="505">
        <v>694377.55</v>
      </c>
      <c r="I271" s="505">
        <v>3915210.38</v>
      </c>
      <c r="J271" s="505">
        <v>2357491.62</v>
      </c>
      <c r="K271" s="505">
        <v>774006.2</v>
      </c>
      <c r="L271" s="505">
        <v>10976646</v>
      </c>
      <c r="M271" s="384">
        <f t="shared" si="16"/>
        <v>79255424.799999997</v>
      </c>
      <c r="N271" s="510">
        <v>920310.65</v>
      </c>
      <c r="O271" s="510">
        <v>15182542.449999999</v>
      </c>
      <c r="P271" s="510">
        <v>4496505.9000000004</v>
      </c>
      <c r="Q271" s="510">
        <v>1092404.32</v>
      </c>
      <c r="R271" s="510">
        <v>3073791.35</v>
      </c>
      <c r="S271" s="505">
        <v>415178.62</v>
      </c>
      <c r="T271" s="384">
        <f t="shared" si="17"/>
        <v>104436158.09</v>
      </c>
      <c r="U271" s="507">
        <v>-2091798.36</v>
      </c>
      <c r="V271" s="510"/>
      <c r="W271" s="510">
        <v>-63535.86</v>
      </c>
      <c r="X271" s="515">
        <v>65</v>
      </c>
      <c r="Y271" s="518">
        <v>1.5</v>
      </c>
      <c r="Z271" s="519">
        <v>26081</v>
      </c>
      <c r="AA271" s="588"/>
      <c r="AB271" s="524">
        <v>1659176</v>
      </c>
      <c r="AC271" s="337">
        <f>AB271/VPI!R271</f>
        <v>1.438935008995059</v>
      </c>
      <c r="AD271" s="339">
        <f t="shared" si="18"/>
        <v>8004203</v>
      </c>
      <c r="AE271" s="337">
        <f>AD271/VPI!R271</f>
        <v>6.941715596056885</v>
      </c>
      <c r="AF271" s="524">
        <v>9663379</v>
      </c>
      <c r="AG271" s="524">
        <v>7237279</v>
      </c>
      <c r="AH271" s="524">
        <v>370211</v>
      </c>
      <c r="AI271" s="595"/>
      <c r="AJ271" s="519">
        <v>20765</v>
      </c>
      <c r="AK271" s="337">
        <f>AJ271/VPI!R271</f>
        <v>1.800862926041746E-2</v>
      </c>
      <c r="AL271" s="339">
        <f t="shared" si="19"/>
        <v>1872149</v>
      </c>
      <c r="AM271" s="337">
        <f>AL271/VPI!R271</f>
        <v>1.6236377202630046</v>
      </c>
      <c r="AN271" s="519">
        <v>1892914</v>
      </c>
      <c r="AO271" s="595"/>
      <c r="AP271" s="532">
        <v>12.166533387916338</v>
      </c>
      <c r="AR271" s="591">
        <v>1</v>
      </c>
    </row>
    <row r="272" spans="1:44" x14ac:dyDescent="0.25">
      <c r="A272" s="586">
        <v>5889</v>
      </c>
      <c r="B272" s="587" t="s">
        <v>48</v>
      </c>
      <c r="C272" s="505">
        <v>27274786.09</v>
      </c>
      <c r="D272" s="505">
        <v>6964182.7699999996</v>
      </c>
      <c r="E272" s="505"/>
      <c r="F272" s="506"/>
      <c r="G272" s="505">
        <v>5600469.1500000004</v>
      </c>
      <c r="H272" s="505">
        <v>1040204.7</v>
      </c>
      <c r="I272" s="505">
        <v>678936.31</v>
      </c>
      <c r="J272" s="505">
        <v>445309.48</v>
      </c>
      <c r="K272" s="505">
        <v>279936.90000000002</v>
      </c>
      <c r="L272" s="505">
        <v>3162489.35</v>
      </c>
      <c r="M272" s="384">
        <f t="shared" si="16"/>
        <v>45446314.75</v>
      </c>
      <c r="N272" s="510">
        <v>244731.45</v>
      </c>
      <c r="O272" s="510">
        <v>1244313.55</v>
      </c>
      <c r="P272" s="510">
        <v>1887556.05</v>
      </c>
      <c r="Q272" s="510">
        <v>206090.58</v>
      </c>
      <c r="R272" s="510">
        <v>1285644.8999999999</v>
      </c>
      <c r="S272" s="505">
        <v>688125.46</v>
      </c>
      <c r="T272" s="384">
        <f t="shared" si="17"/>
        <v>51002776.739999995</v>
      </c>
      <c r="U272" s="507">
        <v>-330764.75</v>
      </c>
      <c r="V272" s="510"/>
      <c r="W272" s="510">
        <v>-101064.1</v>
      </c>
      <c r="X272" s="515">
        <v>64</v>
      </c>
      <c r="Y272" s="518">
        <v>1.2</v>
      </c>
      <c r="Z272" s="519">
        <v>12400</v>
      </c>
      <c r="AA272" s="588"/>
      <c r="AB272" s="524">
        <v>697752</v>
      </c>
      <c r="AC272" s="337">
        <f>AB272/VPI!R272</f>
        <v>0.98401351966798112</v>
      </c>
      <c r="AD272" s="339">
        <f t="shared" si="18"/>
        <v>2341132</v>
      </c>
      <c r="AE272" s="337">
        <f>AD272/VPI!R272</f>
        <v>3.3016108005814959</v>
      </c>
      <c r="AF272" s="524">
        <v>3038884</v>
      </c>
      <c r="AG272" s="524">
        <v>3652360</v>
      </c>
      <c r="AH272" s="524">
        <v>423</v>
      </c>
      <c r="AI272" s="595"/>
      <c r="AJ272" s="519">
        <v>-523</v>
      </c>
      <c r="AK272" s="337">
        <f>AJ272/VPI!R272</f>
        <v>-7.3756731730808959E-4</v>
      </c>
      <c r="AL272" s="339">
        <f t="shared" si="19"/>
        <v>59605</v>
      </c>
      <c r="AM272" s="337">
        <f>AL272/VPI!R272</f>
        <v>8.4058699709653309E-2</v>
      </c>
      <c r="AN272" s="519">
        <v>59082</v>
      </c>
      <c r="AO272" s="595"/>
      <c r="AP272" s="532">
        <v>25.204771791683349</v>
      </c>
      <c r="AR272" s="591">
        <v>1</v>
      </c>
    </row>
    <row r="273" spans="1:44" x14ac:dyDescent="0.25">
      <c r="A273" s="586">
        <v>5890</v>
      </c>
      <c r="B273" s="587" t="s">
        <v>49</v>
      </c>
      <c r="C273" s="505">
        <v>36457612.399999999</v>
      </c>
      <c r="D273" s="505">
        <v>5115426.16</v>
      </c>
      <c r="E273" s="505"/>
      <c r="F273" s="506"/>
      <c r="G273" s="505">
        <v>16216362.050000001</v>
      </c>
      <c r="H273" s="505">
        <v>1914528.75</v>
      </c>
      <c r="I273" s="505">
        <v>919618.72</v>
      </c>
      <c r="J273" s="505">
        <v>3661901.96</v>
      </c>
      <c r="K273" s="505">
        <v>793893.9</v>
      </c>
      <c r="L273" s="505">
        <v>5950803.0199999996</v>
      </c>
      <c r="M273" s="384">
        <f t="shared" si="16"/>
        <v>71030146.959999993</v>
      </c>
      <c r="N273" s="510">
        <v>859057.1</v>
      </c>
      <c r="O273" s="510">
        <v>3802005.7</v>
      </c>
      <c r="P273" s="510">
        <v>1772932.4</v>
      </c>
      <c r="Q273" s="510">
        <v>259229.85</v>
      </c>
      <c r="R273" s="510">
        <v>926077.3</v>
      </c>
      <c r="S273" s="505">
        <v>1878774.34</v>
      </c>
      <c r="T273" s="384">
        <f t="shared" si="17"/>
        <v>80528223.649999991</v>
      </c>
      <c r="U273" s="507">
        <v>-754239.37</v>
      </c>
      <c r="V273" s="510"/>
      <c r="W273" s="510">
        <v>-37273.660000000003</v>
      </c>
      <c r="X273" s="515">
        <v>74.5</v>
      </c>
      <c r="Y273" s="518">
        <v>1.5</v>
      </c>
      <c r="Z273" s="519">
        <v>19743</v>
      </c>
      <c r="AA273" s="588"/>
      <c r="AB273" s="524">
        <v>1287373</v>
      </c>
      <c r="AC273" s="337">
        <f>AB273/VPI!R273</f>
        <v>1.3624826038630111</v>
      </c>
      <c r="AD273" s="339">
        <f t="shared" si="18"/>
        <v>5168182</v>
      </c>
      <c r="AE273" s="337">
        <f>AD273/VPI!R273</f>
        <v>5.4697108519426347</v>
      </c>
      <c r="AF273" s="524">
        <v>6455555</v>
      </c>
      <c r="AG273" s="524">
        <v>5892013</v>
      </c>
      <c r="AH273" s="524">
        <v>121042</v>
      </c>
      <c r="AI273" s="595"/>
      <c r="AJ273" s="519">
        <v>0</v>
      </c>
      <c r="AK273" s="337">
        <f>AJ273/VPI!R273</f>
        <v>0</v>
      </c>
      <c r="AL273" s="339">
        <f t="shared" si="19"/>
        <v>100000</v>
      </c>
      <c r="AM273" s="337">
        <f>AL273/VPI!R273</f>
        <v>0.10583433114280097</v>
      </c>
      <c r="AN273" s="519">
        <v>100000</v>
      </c>
      <c r="AO273" s="595"/>
      <c r="AP273" s="532">
        <v>16.64338047201646</v>
      </c>
      <c r="AR273" s="591">
        <v>1</v>
      </c>
    </row>
    <row r="274" spans="1:44" x14ac:dyDescent="0.25">
      <c r="A274" s="586">
        <v>5891</v>
      </c>
      <c r="B274" s="587" t="s">
        <v>50</v>
      </c>
      <c r="C274" s="505">
        <v>1900244.81</v>
      </c>
      <c r="D274" s="505">
        <v>536734.68999999994</v>
      </c>
      <c r="E274" s="505"/>
      <c r="F274" s="506"/>
      <c r="G274" s="505">
        <v>25416.15</v>
      </c>
      <c r="H274" s="505">
        <v>22093.25</v>
      </c>
      <c r="I274" s="505"/>
      <c r="J274" s="505">
        <v>88527.94</v>
      </c>
      <c r="K274" s="505">
        <v>15304.85</v>
      </c>
      <c r="L274" s="505">
        <v>449673.4</v>
      </c>
      <c r="M274" s="384">
        <f t="shared" si="16"/>
        <v>3037995.09</v>
      </c>
      <c r="N274" s="510">
        <v>172</v>
      </c>
      <c r="O274" s="510">
        <v>266056.59999999998</v>
      </c>
      <c r="P274" s="510">
        <v>179907.20000000001</v>
      </c>
      <c r="Q274" s="510">
        <v>26436.43</v>
      </c>
      <c r="R274" s="510">
        <v>150009.85</v>
      </c>
      <c r="S274" s="505">
        <v>4923.0600000000004</v>
      </c>
      <c r="T274" s="384">
        <f t="shared" si="17"/>
        <v>3665500.2300000004</v>
      </c>
      <c r="U274" s="507">
        <v>-60757.16</v>
      </c>
      <c r="V274" s="510"/>
      <c r="W274" s="510">
        <v>-1372.73</v>
      </c>
      <c r="X274" s="515">
        <v>69.5</v>
      </c>
      <c r="Y274" s="518">
        <v>1.5</v>
      </c>
      <c r="Z274" s="519">
        <v>970</v>
      </c>
      <c r="AA274" s="588"/>
      <c r="AB274" s="524">
        <v>0</v>
      </c>
      <c r="AC274" s="337">
        <f>AB274/VPI!R274</f>
        <v>0</v>
      </c>
      <c r="AD274" s="339">
        <f t="shared" si="18"/>
        <v>333428</v>
      </c>
      <c r="AE274" s="337">
        <f>AD274/VPI!R274</f>
        <v>8.1100947930747189</v>
      </c>
      <c r="AF274" s="524">
        <v>333428</v>
      </c>
      <c r="AG274" s="524">
        <v>490711</v>
      </c>
      <c r="AH274" s="524">
        <v>30000</v>
      </c>
      <c r="AI274" s="595"/>
      <c r="AJ274" s="519">
        <v>21781</v>
      </c>
      <c r="AK274" s="337">
        <f>AJ274/VPI!R274</f>
        <v>0.52978746442398494</v>
      </c>
      <c r="AL274" s="339">
        <f t="shared" si="19"/>
        <v>427856</v>
      </c>
      <c r="AM274" s="337">
        <f>AL274/VPI!R274</f>
        <v>10.406902593020913</v>
      </c>
      <c r="AN274" s="519">
        <v>449637</v>
      </c>
      <c r="AO274" s="595"/>
      <c r="AP274" s="532">
        <v>25.622072032201309</v>
      </c>
      <c r="AR274" s="591">
        <v>1</v>
      </c>
    </row>
    <row r="275" spans="1:44" x14ac:dyDescent="0.25">
      <c r="A275" s="586">
        <v>5892</v>
      </c>
      <c r="B275" s="587" t="s">
        <v>552</v>
      </c>
      <c r="C275" s="505">
        <v>37443598.399999999</v>
      </c>
      <c r="D275" s="505">
        <v>8417314.0600000005</v>
      </c>
      <c r="E275" s="505"/>
      <c r="F275" s="505"/>
      <c r="G275" s="505">
        <v>888608.7</v>
      </c>
      <c r="H275" s="505">
        <v>153415.70000000001</v>
      </c>
      <c r="I275" s="505">
        <v>883133.52</v>
      </c>
      <c r="J275" s="505">
        <v>206658.69</v>
      </c>
      <c r="K275" s="505">
        <v>134932.1</v>
      </c>
      <c r="L275" s="505">
        <v>3507406.75</v>
      </c>
      <c r="M275" s="384">
        <f t="shared" si="16"/>
        <v>51635067.920000009</v>
      </c>
      <c r="N275" s="505">
        <v>295689.34999999998</v>
      </c>
      <c r="O275" s="505">
        <v>2405488.7000000002</v>
      </c>
      <c r="P275" s="505">
        <v>2373599.7999999998</v>
      </c>
      <c r="Q275" s="505">
        <v>40891.57</v>
      </c>
      <c r="R275" s="505">
        <v>1884214.8</v>
      </c>
      <c r="S275" s="505">
        <v>107977.52</v>
      </c>
      <c r="T275" s="384">
        <f t="shared" si="17"/>
        <v>58742929.660000011</v>
      </c>
      <c r="U275" s="505">
        <v>-250192.7</v>
      </c>
      <c r="V275" s="505"/>
      <c r="W275" s="505">
        <v>-177839.7</v>
      </c>
      <c r="X275" s="505">
        <v>68.5</v>
      </c>
      <c r="Y275" s="520">
        <v>1</v>
      </c>
      <c r="Z275" s="519">
        <v>12123</v>
      </c>
      <c r="AA275" s="505"/>
      <c r="AB275" s="525">
        <v>971430</v>
      </c>
      <c r="AC275" s="337">
        <f>AB275/VPI!R275</f>
        <v>1.2957216021279623</v>
      </c>
      <c r="AD275" s="339">
        <f t="shared" si="18"/>
        <v>3977172</v>
      </c>
      <c r="AE275" s="337">
        <f>AD275/VPI!R275</f>
        <v>5.3048677473193866</v>
      </c>
      <c r="AF275" s="525">
        <v>4948602</v>
      </c>
      <c r="AG275" s="525">
        <v>2500978</v>
      </c>
      <c r="AH275" s="525">
        <v>738253</v>
      </c>
      <c r="AI275" s="592"/>
      <c r="AJ275" s="525">
        <v>58826</v>
      </c>
      <c r="AK275" s="337">
        <f>AJ275/VPI!R275</f>
        <v>7.8463830607228016E-2</v>
      </c>
      <c r="AL275" s="339">
        <f t="shared" si="19"/>
        <v>1238246</v>
      </c>
      <c r="AM275" s="337">
        <f>AL275/VPI!R275</f>
        <v>1.6516085471403403</v>
      </c>
      <c r="AN275" s="525">
        <v>1297072</v>
      </c>
      <c r="AO275" s="592"/>
      <c r="AP275" s="532">
        <v>24.937874842328256</v>
      </c>
      <c r="AQ275" s="505"/>
      <c r="AR275" s="591">
        <v>1</v>
      </c>
    </row>
    <row r="276" spans="1:44" x14ac:dyDescent="0.25">
      <c r="A276" s="586">
        <v>5902</v>
      </c>
      <c r="B276" s="587" t="s">
        <v>51</v>
      </c>
      <c r="C276" s="505">
        <v>676388.28</v>
      </c>
      <c r="D276" s="505">
        <v>63329.45</v>
      </c>
      <c r="E276" s="505"/>
      <c r="F276" s="506"/>
      <c r="G276" s="505">
        <v>24256.35</v>
      </c>
      <c r="H276" s="505">
        <v>212.5</v>
      </c>
      <c r="I276" s="505"/>
      <c r="J276" s="505">
        <v>-266.57</v>
      </c>
      <c r="K276" s="505"/>
      <c r="L276" s="505">
        <v>69778.5</v>
      </c>
      <c r="M276" s="384">
        <f t="shared" si="16"/>
        <v>833698.51</v>
      </c>
      <c r="N276" s="510">
        <v>0</v>
      </c>
      <c r="O276" s="510"/>
      <c r="P276" s="510">
        <v>39280.25</v>
      </c>
      <c r="Q276" s="510"/>
      <c r="R276" s="510">
        <v>42871.05</v>
      </c>
      <c r="S276" s="505">
        <v>2535.54</v>
      </c>
      <c r="T276" s="384">
        <f t="shared" si="17"/>
        <v>918385.35000000009</v>
      </c>
      <c r="U276" s="507">
        <v>-410.43</v>
      </c>
      <c r="V276" s="510">
        <v>-1527.65</v>
      </c>
      <c r="W276" s="510">
        <v>-56.85</v>
      </c>
      <c r="X276" s="515">
        <v>70</v>
      </c>
      <c r="Y276" s="518">
        <v>1</v>
      </c>
      <c r="Z276" s="519">
        <v>434</v>
      </c>
      <c r="AA276" s="588"/>
      <c r="AB276" s="524">
        <v>0</v>
      </c>
      <c r="AC276" s="337">
        <f>AB276/VPI!R276</f>
        <v>0</v>
      </c>
      <c r="AD276" s="339">
        <f t="shared" si="18"/>
        <v>-6085</v>
      </c>
      <c r="AE276" s="337">
        <f>AD276/VPI!R276</f>
        <v>-0.51058502267311556</v>
      </c>
      <c r="AF276" s="524">
        <v>-6085</v>
      </c>
      <c r="AG276" s="524">
        <v>19832</v>
      </c>
      <c r="AH276" s="524">
        <v>57139</v>
      </c>
      <c r="AI276" s="595"/>
      <c r="AJ276" s="519">
        <v>0</v>
      </c>
      <c r="AK276" s="337">
        <f>AJ276/VPI!R276</f>
        <v>0</v>
      </c>
      <c r="AL276" s="339">
        <f t="shared" si="19"/>
        <v>20377</v>
      </c>
      <c r="AM276" s="337">
        <f>AL276/VPI!R276</f>
        <v>1.7098095327871941</v>
      </c>
      <c r="AN276" s="519">
        <v>20377</v>
      </c>
      <c r="AO276" s="595"/>
      <c r="AP276" s="532">
        <v>14.971104217348817</v>
      </c>
      <c r="AR276" s="591">
        <v>0</v>
      </c>
    </row>
    <row r="277" spans="1:44" x14ac:dyDescent="0.25">
      <c r="A277" s="586">
        <v>5903</v>
      </c>
      <c r="B277" s="587" t="s">
        <v>52</v>
      </c>
      <c r="C277" s="505">
        <v>363428.01</v>
      </c>
      <c r="D277" s="505">
        <v>46941.18</v>
      </c>
      <c r="E277" s="505"/>
      <c r="F277" s="506"/>
      <c r="G277" s="505">
        <v>5314.45</v>
      </c>
      <c r="H277" s="505">
        <v>-152.25</v>
      </c>
      <c r="I277" s="505"/>
      <c r="J277" s="505">
        <v>-219.75</v>
      </c>
      <c r="K277" s="505"/>
      <c r="L277" s="505">
        <v>27631.65</v>
      </c>
      <c r="M277" s="384">
        <f t="shared" si="16"/>
        <v>442943.29000000004</v>
      </c>
      <c r="N277" s="510">
        <v>29031.05</v>
      </c>
      <c r="O277" s="510">
        <v>1056.4000000000001</v>
      </c>
      <c r="P277" s="510">
        <v>13200</v>
      </c>
      <c r="Q277" s="510">
        <v>195.53</v>
      </c>
      <c r="R277" s="510">
        <v>7854.3</v>
      </c>
      <c r="S277" s="505">
        <v>534.92999999999995</v>
      </c>
      <c r="T277" s="384">
        <f t="shared" si="17"/>
        <v>494815.50000000006</v>
      </c>
      <c r="U277" s="507">
        <v>-3689.38</v>
      </c>
      <c r="V277" s="510"/>
      <c r="W277" s="510">
        <v>0</v>
      </c>
      <c r="X277" s="515">
        <v>72</v>
      </c>
      <c r="Y277" s="518">
        <v>0.7</v>
      </c>
      <c r="Z277" s="519">
        <v>247</v>
      </c>
      <c r="AA277" s="588"/>
      <c r="AB277" s="524">
        <v>141333</v>
      </c>
      <c r="AC277" s="337">
        <f>AB277/VPI!R277</f>
        <v>22.521865962495831</v>
      </c>
      <c r="AD277" s="339">
        <f t="shared" si="18"/>
        <v>47118</v>
      </c>
      <c r="AE277" s="337">
        <f>AD277/VPI!R277</f>
        <v>7.5084041265725521</v>
      </c>
      <c r="AF277" s="524">
        <v>188451</v>
      </c>
      <c r="AG277" s="524">
        <v>11183</v>
      </c>
      <c r="AH277" s="524">
        <v>20606</v>
      </c>
      <c r="AI277" s="595"/>
      <c r="AJ277" s="519">
        <v>0</v>
      </c>
      <c r="AK277" s="337">
        <f>AJ277/VPI!R277</f>
        <v>0</v>
      </c>
      <c r="AL277" s="339">
        <f t="shared" si="19"/>
        <v>27357</v>
      </c>
      <c r="AM277" s="337">
        <f>AL277/VPI!R277</f>
        <v>4.3594255208337644</v>
      </c>
      <c r="AN277" s="519">
        <v>27357</v>
      </c>
      <c r="AO277" s="595"/>
      <c r="AP277" s="532">
        <v>9.389600766360676</v>
      </c>
      <c r="AR277" s="591">
        <v>0</v>
      </c>
    </row>
    <row r="278" spans="1:44" x14ac:dyDescent="0.25">
      <c r="A278" s="586">
        <v>5904</v>
      </c>
      <c r="B278" s="587" t="s">
        <v>53</v>
      </c>
      <c r="C278" s="505">
        <v>937768.34</v>
      </c>
      <c r="D278" s="505">
        <v>168419.22</v>
      </c>
      <c r="E278" s="505"/>
      <c r="F278" s="506"/>
      <c r="G278" s="505">
        <v>24818.85</v>
      </c>
      <c r="H278" s="505">
        <v>526.75</v>
      </c>
      <c r="I278" s="505"/>
      <c r="J278" s="505">
        <v>18399.05</v>
      </c>
      <c r="K278" s="505">
        <v>3596.65</v>
      </c>
      <c r="L278" s="505">
        <v>100815.9</v>
      </c>
      <c r="M278" s="384">
        <f t="shared" si="16"/>
        <v>1254344.76</v>
      </c>
      <c r="N278" s="510">
        <v>31054.2</v>
      </c>
      <c r="O278" s="510"/>
      <c r="P278" s="510">
        <v>59237.35</v>
      </c>
      <c r="Q278" s="510"/>
      <c r="R278" s="510">
        <v>63330.25</v>
      </c>
      <c r="S278" s="505">
        <v>2626.39</v>
      </c>
      <c r="T278" s="384">
        <f t="shared" si="17"/>
        <v>1410592.95</v>
      </c>
      <c r="U278" s="507">
        <v>-10101.14</v>
      </c>
      <c r="V278" s="510"/>
      <c r="W278" s="510">
        <v>-135.85</v>
      </c>
      <c r="X278" s="515">
        <v>66</v>
      </c>
      <c r="Y278" s="518">
        <v>1</v>
      </c>
      <c r="Z278" s="519">
        <v>567</v>
      </c>
      <c r="AA278" s="588"/>
      <c r="AB278" s="524">
        <v>0</v>
      </c>
      <c r="AC278" s="337">
        <f>AB278/VPI!R278</f>
        <v>0</v>
      </c>
      <c r="AD278" s="339">
        <f t="shared" si="18"/>
        <v>64919</v>
      </c>
      <c r="AE278" s="337">
        <f>AD278/VPI!R278</f>
        <v>3.4367021755463893</v>
      </c>
      <c r="AF278" s="524">
        <v>64919</v>
      </c>
      <c r="AG278" s="524">
        <v>26809</v>
      </c>
      <c r="AH278" s="524">
        <v>15499</v>
      </c>
      <c r="AI278" s="595"/>
      <c r="AJ278" s="519">
        <v>0</v>
      </c>
      <c r="AK278" s="337">
        <f>AJ278/VPI!R278</f>
        <v>0</v>
      </c>
      <c r="AL278" s="339">
        <f t="shared" si="19"/>
        <v>1940</v>
      </c>
      <c r="AM278" s="337">
        <f>AL278/VPI!R278</f>
        <v>0.10270032225635015</v>
      </c>
      <c r="AN278" s="519">
        <v>1940</v>
      </c>
      <c r="AO278" s="595"/>
      <c r="AP278" s="532">
        <v>25.01286553023311</v>
      </c>
      <c r="AR278" s="591">
        <v>1</v>
      </c>
    </row>
    <row r="279" spans="1:44" x14ac:dyDescent="0.25">
      <c r="A279" s="586">
        <v>5905</v>
      </c>
      <c r="B279" s="587" t="s">
        <v>54</v>
      </c>
      <c r="C279" s="505">
        <v>1091061.81</v>
      </c>
      <c r="D279" s="505">
        <v>146124.75</v>
      </c>
      <c r="E279" s="505"/>
      <c r="F279" s="506"/>
      <c r="G279" s="505">
        <v>125077.9</v>
      </c>
      <c r="H279" s="505">
        <v>-2545.25</v>
      </c>
      <c r="I279" s="505"/>
      <c r="J279" s="505">
        <v>25768.46</v>
      </c>
      <c r="K279" s="505">
        <v>3170.25</v>
      </c>
      <c r="L279" s="506">
        <v>109356.3</v>
      </c>
      <c r="M279" s="384">
        <f t="shared" si="16"/>
        <v>1498014.22</v>
      </c>
      <c r="N279" s="510">
        <v>173931</v>
      </c>
      <c r="O279" s="510">
        <v>34436.300000000003</v>
      </c>
      <c r="P279" s="510">
        <v>44931.35</v>
      </c>
      <c r="Q279" s="510">
        <v>747.02</v>
      </c>
      <c r="R279" s="510">
        <v>22751.9</v>
      </c>
      <c r="S279" s="505">
        <v>12697.18</v>
      </c>
      <c r="T279" s="384">
        <f t="shared" si="17"/>
        <v>1787508.97</v>
      </c>
      <c r="U279" s="507">
        <v>-4130.54</v>
      </c>
      <c r="V279" s="510"/>
      <c r="W279" s="510">
        <v>-43.55</v>
      </c>
      <c r="X279" s="515">
        <v>70</v>
      </c>
      <c r="Y279" s="518">
        <v>1</v>
      </c>
      <c r="Z279" s="519">
        <v>734</v>
      </c>
      <c r="AA279" s="588"/>
      <c r="AB279" s="524">
        <v>11312</v>
      </c>
      <c r="AC279" s="337">
        <f>AB279/VPI!R279</f>
        <v>0.52534215624732195</v>
      </c>
      <c r="AD279" s="339">
        <f t="shared" si="18"/>
        <v>160513</v>
      </c>
      <c r="AE279" s="337">
        <f>AD279/VPI!R279</f>
        <v>7.4544064290776504</v>
      </c>
      <c r="AF279" s="524">
        <v>171825</v>
      </c>
      <c r="AG279" s="524">
        <v>85064</v>
      </c>
      <c r="AH279" s="524">
        <v>25429</v>
      </c>
      <c r="AI279" s="595"/>
      <c r="AJ279" s="519">
        <v>0</v>
      </c>
      <c r="AK279" s="337">
        <f>AJ279/VPI!R279</f>
        <v>0</v>
      </c>
      <c r="AL279" s="339">
        <f t="shared" si="19"/>
        <v>-67192</v>
      </c>
      <c r="AM279" s="337">
        <f>AL279/VPI!R279</f>
        <v>-3.1204729634520909</v>
      </c>
      <c r="AN279" s="519">
        <v>-67192</v>
      </c>
      <c r="AO279" s="595"/>
      <c r="AP279" s="532">
        <v>18.921572113312951</v>
      </c>
      <c r="AR279" s="591">
        <v>0</v>
      </c>
    </row>
    <row r="280" spans="1:44" x14ac:dyDescent="0.25">
      <c r="A280" s="586">
        <v>5907</v>
      </c>
      <c r="B280" s="587" t="s">
        <v>55</v>
      </c>
      <c r="C280" s="505">
        <v>519816.79</v>
      </c>
      <c r="D280" s="505">
        <v>55200.03</v>
      </c>
      <c r="E280" s="505"/>
      <c r="F280" s="506">
        <v>1980</v>
      </c>
      <c r="G280" s="505">
        <v>1693.9</v>
      </c>
      <c r="H280" s="505">
        <v>83.65</v>
      </c>
      <c r="I280" s="505"/>
      <c r="J280" s="505">
        <v>-48.95</v>
      </c>
      <c r="K280" s="505">
        <v>520.70000000000005</v>
      </c>
      <c r="L280" s="505">
        <v>49846.2</v>
      </c>
      <c r="M280" s="384">
        <f t="shared" si="16"/>
        <v>629092.31999999995</v>
      </c>
      <c r="N280" s="510">
        <v>10275.1</v>
      </c>
      <c r="O280" s="510"/>
      <c r="P280" s="510">
        <v>39676.550000000003</v>
      </c>
      <c r="Q280" s="510">
        <v>5889.78</v>
      </c>
      <c r="R280" s="510">
        <v>22750</v>
      </c>
      <c r="S280" s="505">
        <v>184.2</v>
      </c>
      <c r="T280" s="384">
        <f t="shared" si="17"/>
        <v>707867.95</v>
      </c>
      <c r="U280" s="507">
        <v>-1157.4100000000001</v>
      </c>
      <c r="V280" s="510"/>
      <c r="W280" s="510">
        <v>0</v>
      </c>
      <c r="X280" s="515">
        <v>75</v>
      </c>
      <c r="Y280" s="518">
        <v>1</v>
      </c>
      <c r="Z280" s="519">
        <v>316</v>
      </c>
      <c r="AA280" s="588"/>
      <c r="AB280" s="524">
        <v>49733</v>
      </c>
      <c r="AC280" s="337">
        <f>AB280/VPI!R280</f>
        <v>5.8831588307854812</v>
      </c>
      <c r="AD280" s="339">
        <f t="shared" si="18"/>
        <v>29053</v>
      </c>
      <c r="AE280" s="337">
        <f>AD280/VPI!R280</f>
        <v>3.4368208937890454</v>
      </c>
      <c r="AF280" s="524">
        <v>78786</v>
      </c>
      <c r="AG280" s="524">
        <v>15531</v>
      </c>
      <c r="AH280" s="524">
        <v>30122</v>
      </c>
      <c r="AI280" s="595"/>
      <c r="AJ280" s="519">
        <v>0</v>
      </c>
      <c r="AK280" s="337">
        <f>AJ280/VPI!R280</f>
        <v>0</v>
      </c>
      <c r="AL280" s="339">
        <f t="shared" si="19"/>
        <v>12960</v>
      </c>
      <c r="AM280" s="337">
        <f>AL280/VPI!R280</f>
        <v>1.533101531115755</v>
      </c>
      <c r="AN280" s="519">
        <v>12960</v>
      </c>
      <c r="AO280" s="595"/>
      <c r="AP280" s="532">
        <v>4.308090793295996</v>
      </c>
      <c r="AR280" s="591">
        <v>0</v>
      </c>
    </row>
    <row r="281" spans="1:44" x14ac:dyDescent="0.25">
      <c r="A281" s="586">
        <v>5908</v>
      </c>
      <c r="B281" s="587" t="s">
        <v>56</v>
      </c>
      <c r="C281" s="505">
        <v>297311.81</v>
      </c>
      <c r="D281" s="505">
        <v>56355.22</v>
      </c>
      <c r="E281" s="505"/>
      <c r="F281" s="506"/>
      <c r="G281" s="505">
        <v>13902.45</v>
      </c>
      <c r="H281" s="505">
        <v>-379.3</v>
      </c>
      <c r="I281" s="505"/>
      <c r="J281" s="505">
        <v>-23437.49</v>
      </c>
      <c r="K281" s="505">
        <v>92.95</v>
      </c>
      <c r="L281" s="505">
        <v>23463.15</v>
      </c>
      <c r="M281" s="384">
        <f t="shared" si="16"/>
        <v>367308.7900000001</v>
      </c>
      <c r="N281" s="510">
        <v>0</v>
      </c>
      <c r="O281" s="510"/>
      <c r="P281" s="510">
        <v>12302.5</v>
      </c>
      <c r="Q281" s="510"/>
      <c r="R281" s="510">
        <v>12044.7</v>
      </c>
      <c r="S281" s="505">
        <v>1401.3</v>
      </c>
      <c r="T281" s="384">
        <f t="shared" si="17"/>
        <v>393057.2900000001</v>
      </c>
      <c r="U281" s="507">
        <v>174.07</v>
      </c>
      <c r="V281" s="510"/>
      <c r="W281" s="510">
        <v>-50.85</v>
      </c>
      <c r="X281" s="515">
        <v>75</v>
      </c>
      <c r="Y281" s="518">
        <v>1</v>
      </c>
      <c r="Z281" s="519">
        <v>163</v>
      </c>
      <c r="AA281" s="588"/>
      <c r="AB281" s="524">
        <v>4164</v>
      </c>
      <c r="AC281" s="337">
        <f>AB281/VPI!R281</f>
        <v>0.84672395776834775</v>
      </c>
      <c r="AD281" s="339">
        <f t="shared" si="18"/>
        <v>53204</v>
      </c>
      <c r="AE281" s="337">
        <f>AD281/VPI!R281</f>
        <v>10.818708321111233</v>
      </c>
      <c r="AF281" s="524">
        <v>57368</v>
      </c>
      <c r="AG281" s="524">
        <v>7312</v>
      </c>
      <c r="AH281" s="524">
        <v>15491</v>
      </c>
      <c r="AI281" s="595"/>
      <c r="AJ281" s="519">
        <v>0</v>
      </c>
      <c r="AK281" s="337">
        <f>AJ281/VPI!R281</f>
        <v>0</v>
      </c>
      <c r="AL281" s="339">
        <f t="shared" si="19"/>
        <v>16827</v>
      </c>
      <c r="AM281" s="337">
        <f>AL281/VPI!R281</f>
        <v>3.4216676362555205</v>
      </c>
      <c r="AN281" s="519">
        <v>16827</v>
      </c>
      <c r="AO281" s="595"/>
      <c r="AP281" s="532">
        <v>11.004726615370672</v>
      </c>
      <c r="AR281" s="591">
        <v>0</v>
      </c>
    </row>
    <row r="282" spans="1:44" x14ac:dyDescent="0.25">
      <c r="A282" s="586">
        <v>5909</v>
      </c>
      <c r="B282" s="587" t="s">
        <v>57</v>
      </c>
      <c r="C282" s="505">
        <v>1708567.83</v>
      </c>
      <c r="D282" s="505">
        <v>388220.97</v>
      </c>
      <c r="E282" s="505"/>
      <c r="F282" s="506"/>
      <c r="G282" s="505">
        <v>4719.1000000000004</v>
      </c>
      <c r="H282" s="505">
        <v>-7819.75</v>
      </c>
      <c r="I282" s="505"/>
      <c r="J282" s="505">
        <v>26919.72</v>
      </c>
      <c r="K282" s="505">
        <v>788.1</v>
      </c>
      <c r="L282" s="505">
        <v>172607.2</v>
      </c>
      <c r="M282" s="384">
        <f t="shared" si="16"/>
        <v>2294003.1700000004</v>
      </c>
      <c r="N282" s="510">
        <v>9007.6</v>
      </c>
      <c r="O282" s="510">
        <v>4593.3</v>
      </c>
      <c r="P282" s="510">
        <v>122503.35</v>
      </c>
      <c r="Q282" s="510"/>
      <c r="R282" s="510">
        <v>81925.600000000006</v>
      </c>
      <c r="S282" s="505">
        <v>0</v>
      </c>
      <c r="T282" s="384">
        <f t="shared" si="17"/>
        <v>2512033.0200000005</v>
      </c>
      <c r="U282" s="507">
        <v>-2679.65</v>
      </c>
      <c r="V282" s="510"/>
      <c r="W282" s="510">
        <v>-962.95</v>
      </c>
      <c r="X282" s="515">
        <v>67</v>
      </c>
      <c r="Y282" s="518">
        <v>1</v>
      </c>
      <c r="Z282" s="519">
        <v>734</v>
      </c>
      <c r="AA282" s="588"/>
      <c r="AB282" s="524">
        <v>111864</v>
      </c>
      <c r="AC282" s="337">
        <f>AB282/VPI!R282</f>
        <v>3.2723616089845624</v>
      </c>
      <c r="AD282" s="339">
        <f t="shared" si="18"/>
        <v>63023</v>
      </c>
      <c r="AE282" s="337">
        <f>AD282/VPI!R282</f>
        <v>1.8436140821268154</v>
      </c>
      <c r="AF282" s="524">
        <v>174887</v>
      </c>
      <c r="AG282" s="524">
        <v>144226</v>
      </c>
      <c r="AH282" s="524">
        <v>23003</v>
      </c>
      <c r="AI282" s="595"/>
      <c r="AJ282" s="519">
        <v>0</v>
      </c>
      <c r="AK282" s="337">
        <f>AJ282/VPI!R282</f>
        <v>0</v>
      </c>
      <c r="AL282" s="339">
        <f t="shared" si="19"/>
        <v>2141</v>
      </c>
      <c r="AM282" s="337">
        <f>AL282/VPI!R282</f>
        <v>6.2630749882320924E-2</v>
      </c>
      <c r="AN282" s="519">
        <v>2141</v>
      </c>
      <c r="AO282" s="595"/>
      <c r="AP282" s="532">
        <v>30.162713122376843</v>
      </c>
      <c r="AR282" s="591">
        <v>1</v>
      </c>
    </row>
    <row r="283" spans="1:44" x14ac:dyDescent="0.25">
      <c r="A283" s="586">
        <v>5910</v>
      </c>
      <c r="B283" s="587" t="s">
        <v>58</v>
      </c>
      <c r="C283" s="505">
        <v>650686</v>
      </c>
      <c r="D283" s="505">
        <v>86332.63</v>
      </c>
      <c r="E283" s="505"/>
      <c r="F283" s="506">
        <v>2270</v>
      </c>
      <c r="G283" s="505">
        <v>15443.3</v>
      </c>
      <c r="H283" s="505">
        <v>177.55</v>
      </c>
      <c r="I283" s="505">
        <v>0</v>
      </c>
      <c r="J283" s="505">
        <v>2816.74</v>
      </c>
      <c r="K283" s="505"/>
      <c r="L283" s="505">
        <v>64331.7</v>
      </c>
      <c r="M283" s="384">
        <f t="shared" si="16"/>
        <v>822057.92</v>
      </c>
      <c r="N283" s="510">
        <v>6244.6</v>
      </c>
      <c r="O283" s="510">
        <v>2978</v>
      </c>
      <c r="P283" s="510">
        <v>83896.65</v>
      </c>
      <c r="Q283" s="510">
        <v>5804.99</v>
      </c>
      <c r="R283" s="510">
        <v>53300.7</v>
      </c>
      <c r="S283" s="505">
        <v>1618.68</v>
      </c>
      <c r="T283" s="384">
        <f t="shared" si="17"/>
        <v>975901.54</v>
      </c>
      <c r="U283" s="507">
        <v>-11753.56</v>
      </c>
      <c r="V283" s="510"/>
      <c r="W283" s="510">
        <v>0</v>
      </c>
      <c r="X283" s="515">
        <v>77</v>
      </c>
      <c r="Y283" s="518">
        <v>1</v>
      </c>
      <c r="Z283" s="519">
        <v>410</v>
      </c>
      <c r="AA283" s="588"/>
      <c r="AB283" s="524">
        <v>4499</v>
      </c>
      <c r="AC283" s="337">
        <f>AB283/VPI!R283</f>
        <v>0.42364085281508579</v>
      </c>
      <c r="AD283" s="339">
        <f t="shared" si="18"/>
        <v>37328</v>
      </c>
      <c r="AE283" s="337">
        <f>AD283/VPI!R283</f>
        <v>3.5149290406493714</v>
      </c>
      <c r="AF283" s="524">
        <v>41827</v>
      </c>
      <c r="AG283" s="524">
        <v>28888</v>
      </c>
      <c r="AH283" s="524">
        <v>38651</v>
      </c>
      <c r="AI283" s="595"/>
      <c r="AJ283" s="519">
        <v>0</v>
      </c>
      <c r="AK283" s="337">
        <f>AJ283/VPI!R283</f>
        <v>0</v>
      </c>
      <c r="AL283" s="339">
        <f t="shared" si="19"/>
        <v>60087</v>
      </c>
      <c r="AM283" s="337">
        <f>AL283/VPI!R283</f>
        <v>5.6579924256723846</v>
      </c>
      <c r="AN283" s="519">
        <v>60087</v>
      </c>
      <c r="AO283" s="595"/>
      <c r="AP283" s="532">
        <v>7.5913239229245271</v>
      </c>
      <c r="AR283" s="591">
        <v>0</v>
      </c>
    </row>
    <row r="284" spans="1:44" x14ac:dyDescent="0.25">
      <c r="A284" s="586">
        <v>5911</v>
      </c>
      <c r="B284" s="587" t="s">
        <v>59</v>
      </c>
      <c r="C284" s="505">
        <v>472001.1</v>
      </c>
      <c r="D284" s="505">
        <v>57827.57</v>
      </c>
      <c r="E284" s="505"/>
      <c r="F284" s="506">
        <v>1520</v>
      </c>
      <c r="G284" s="505">
        <v>3400.55</v>
      </c>
      <c r="H284" s="505">
        <v>135.9</v>
      </c>
      <c r="I284" s="505"/>
      <c r="J284" s="505">
        <v>15883.11</v>
      </c>
      <c r="K284" s="505">
        <v>2201.5</v>
      </c>
      <c r="L284" s="505">
        <v>36573.1</v>
      </c>
      <c r="M284" s="384">
        <f t="shared" si="16"/>
        <v>589542.82999999996</v>
      </c>
      <c r="N284" s="510">
        <v>0</v>
      </c>
      <c r="O284" s="510">
        <v>80.400000000000006</v>
      </c>
      <c r="P284" s="510">
        <v>12120.9</v>
      </c>
      <c r="Q284" s="510">
        <v>266.35000000000002</v>
      </c>
      <c r="R284" s="510">
        <v>18457.7</v>
      </c>
      <c r="S284" s="505">
        <v>366.46</v>
      </c>
      <c r="T284" s="384">
        <f t="shared" si="17"/>
        <v>620834.6399999999</v>
      </c>
      <c r="U284" s="507">
        <v>-2053.27</v>
      </c>
      <c r="V284" s="510"/>
      <c r="W284" s="510">
        <v>-559.65</v>
      </c>
      <c r="X284" s="515">
        <v>77</v>
      </c>
      <c r="Y284" s="518">
        <v>1</v>
      </c>
      <c r="Z284" s="519">
        <v>236</v>
      </c>
      <c r="AA284" s="588"/>
      <c r="AB284" s="524">
        <v>0</v>
      </c>
      <c r="AC284" s="337">
        <f>AB284/VPI!R284</f>
        <v>0</v>
      </c>
      <c r="AD284" s="339">
        <f t="shared" si="18"/>
        <v>12853</v>
      </c>
      <c r="AE284" s="337">
        <f>AD284/VPI!R284</f>
        <v>1.6843835837644707</v>
      </c>
      <c r="AF284" s="524">
        <v>12853</v>
      </c>
      <c r="AG284" s="524">
        <v>11708</v>
      </c>
      <c r="AH284" s="524">
        <v>19985</v>
      </c>
      <c r="AI284" s="595"/>
      <c r="AJ284" s="519">
        <v>0</v>
      </c>
      <c r="AK284" s="337">
        <f>AJ284/VPI!R284</f>
        <v>0</v>
      </c>
      <c r="AL284" s="339">
        <f t="shared" si="19"/>
        <v>18605</v>
      </c>
      <c r="AM284" s="337">
        <f>AL284/VPI!R284</f>
        <v>2.438182259078657</v>
      </c>
      <c r="AN284" s="519">
        <v>18605</v>
      </c>
      <c r="AO284" s="595"/>
      <c r="AP284" s="532">
        <v>14.378580174331724</v>
      </c>
      <c r="AR284" s="591">
        <v>0</v>
      </c>
    </row>
    <row r="285" spans="1:44" x14ac:dyDescent="0.25">
      <c r="A285" s="586">
        <v>5912</v>
      </c>
      <c r="B285" s="587" t="s">
        <v>60</v>
      </c>
      <c r="C285" s="505">
        <v>190305.84</v>
      </c>
      <c r="D285" s="505">
        <v>24008.03</v>
      </c>
      <c r="E285" s="505"/>
      <c r="F285" s="506">
        <v>940</v>
      </c>
      <c r="G285" s="505">
        <v>2679.95</v>
      </c>
      <c r="H285" s="505">
        <v>141.85</v>
      </c>
      <c r="I285" s="505"/>
      <c r="J285" s="505">
        <v>3771.49</v>
      </c>
      <c r="K285" s="505"/>
      <c r="L285" s="505">
        <v>22461.4</v>
      </c>
      <c r="M285" s="384">
        <f t="shared" si="16"/>
        <v>244308.56</v>
      </c>
      <c r="N285" s="510">
        <v>0</v>
      </c>
      <c r="O285" s="510">
        <v>34118.699999999997</v>
      </c>
      <c r="P285" s="510">
        <v>6974.8</v>
      </c>
      <c r="Q285" s="510">
        <v>1559.41</v>
      </c>
      <c r="R285" s="510">
        <v>392</v>
      </c>
      <c r="S285" s="505">
        <v>292.41000000000003</v>
      </c>
      <c r="T285" s="384">
        <f t="shared" si="17"/>
        <v>287645.87999999995</v>
      </c>
      <c r="U285" s="507">
        <v>-9386.1</v>
      </c>
      <c r="V285" s="510"/>
      <c r="W285" s="510">
        <v>0</v>
      </c>
      <c r="X285" s="515">
        <v>78</v>
      </c>
      <c r="Y285" s="518">
        <v>1</v>
      </c>
      <c r="Z285" s="519">
        <v>167</v>
      </c>
      <c r="AA285" s="588"/>
      <c r="AB285" s="524">
        <v>0</v>
      </c>
      <c r="AC285" s="337">
        <f>AB285/VPI!R285</f>
        <v>0</v>
      </c>
      <c r="AD285" s="339">
        <f t="shared" si="18"/>
        <v>8202</v>
      </c>
      <c r="AE285" s="337">
        <f>AD285/VPI!R285</f>
        <v>2.7019657709443781</v>
      </c>
      <c r="AF285" s="524">
        <v>8202</v>
      </c>
      <c r="AG285" s="524">
        <v>7837</v>
      </c>
      <c r="AH285" s="524">
        <v>13723</v>
      </c>
      <c r="AI285" s="595"/>
      <c r="AJ285" s="519">
        <v>0</v>
      </c>
      <c r="AK285" s="337">
        <f>AJ285/VPI!R285</f>
        <v>0</v>
      </c>
      <c r="AL285" s="339">
        <f t="shared" si="19"/>
        <v>17783</v>
      </c>
      <c r="AM285" s="337">
        <f>AL285/VPI!R285</f>
        <v>5.8582123024510944</v>
      </c>
      <c r="AN285" s="519">
        <v>17783</v>
      </c>
      <c r="AO285" s="595"/>
      <c r="AP285" s="532">
        <v>10.073983302751071</v>
      </c>
      <c r="AR285" s="591">
        <v>0</v>
      </c>
    </row>
    <row r="286" spans="1:44" x14ac:dyDescent="0.25">
      <c r="A286" s="586">
        <v>5913</v>
      </c>
      <c r="B286" s="587" t="s">
        <v>61</v>
      </c>
      <c r="C286" s="505">
        <v>1309396.3799999999</v>
      </c>
      <c r="D286" s="505">
        <v>146583.32</v>
      </c>
      <c r="E286" s="505"/>
      <c r="F286" s="506"/>
      <c r="G286" s="505">
        <v>711.7</v>
      </c>
      <c r="H286" s="505">
        <v>198.8</v>
      </c>
      <c r="I286" s="505"/>
      <c r="J286" s="505">
        <v>33828.449999999997</v>
      </c>
      <c r="K286" s="505">
        <v>-5581.95</v>
      </c>
      <c r="L286" s="505">
        <v>126441</v>
      </c>
      <c r="M286" s="384">
        <f t="shared" si="16"/>
        <v>1611577.7</v>
      </c>
      <c r="N286" s="510">
        <v>19227.599999999999</v>
      </c>
      <c r="O286" s="510">
        <v>464.2</v>
      </c>
      <c r="P286" s="510">
        <v>90926</v>
      </c>
      <c r="Q286" s="510">
        <v>3564.09</v>
      </c>
      <c r="R286" s="510">
        <v>81457.2</v>
      </c>
      <c r="S286" s="505">
        <v>94.35</v>
      </c>
      <c r="T286" s="384">
        <f t="shared" si="17"/>
        <v>1807311.1400000001</v>
      </c>
      <c r="U286" s="507">
        <v>-17967.88</v>
      </c>
      <c r="V286" s="510"/>
      <c r="W286" s="510">
        <v>-892.99</v>
      </c>
      <c r="X286" s="515">
        <v>73</v>
      </c>
      <c r="Y286" s="518">
        <v>1</v>
      </c>
      <c r="Z286" s="519">
        <v>905</v>
      </c>
      <c r="AA286" s="588"/>
      <c r="AB286" s="524">
        <v>20793</v>
      </c>
      <c r="AC286" s="337">
        <f>AB286/VPI!R286</f>
        <v>0.95083469941250076</v>
      </c>
      <c r="AD286" s="339">
        <f t="shared" si="18"/>
        <v>103307</v>
      </c>
      <c r="AE286" s="337">
        <f>AD286/VPI!R286</f>
        <v>4.7240840808063878</v>
      </c>
      <c r="AF286" s="524">
        <v>124100</v>
      </c>
      <c r="AG286" s="524">
        <v>63869</v>
      </c>
      <c r="AH286" s="524">
        <v>78461</v>
      </c>
      <c r="AI286" s="595"/>
      <c r="AJ286" s="519">
        <v>0</v>
      </c>
      <c r="AK286" s="337">
        <f>AJ286/VPI!R286</f>
        <v>0</v>
      </c>
      <c r="AL286" s="339">
        <f t="shared" si="19"/>
        <v>55501</v>
      </c>
      <c r="AM286" s="337">
        <f>AL286/VPI!R286</f>
        <v>2.5379828140284331</v>
      </c>
      <c r="AN286" s="519">
        <v>55501</v>
      </c>
      <c r="AO286" s="595"/>
      <c r="AP286" s="532">
        <v>10.399213257852093</v>
      </c>
      <c r="AR286" s="591">
        <v>0</v>
      </c>
    </row>
    <row r="287" spans="1:44" x14ac:dyDescent="0.25">
      <c r="A287" s="586">
        <v>5914</v>
      </c>
      <c r="B287" s="587" t="s">
        <v>62</v>
      </c>
      <c r="C287" s="505">
        <v>570841.68999999994</v>
      </c>
      <c r="D287" s="505">
        <v>61947.12</v>
      </c>
      <c r="E287" s="505"/>
      <c r="F287" s="506">
        <v>2270</v>
      </c>
      <c r="G287" s="505">
        <v>9161.2000000000007</v>
      </c>
      <c r="H287" s="505">
        <v>3551.8</v>
      </c>
      <c r="I287" s="505"/>
      <c r="J287" s="505">
        <v>14779.43</v>
      </c>
      <c r="K287" s="505">
        <v>7301.35</v>
      </c>
      <c r="L287" s="505">
        <v>64165.7</v>
      </c>
      <c r="M287" s="384">
        <f t="shared" si="16"/>
        <v>734018.28999999992</v>
      </c>
      <c r="N287" s="510">
        <v>20140.25</v>
      </c>
      <c r="O287" s="510"/>
      <c r="P287" s="510">
        <v>14076.2</v>
      </c>
      <c r="Q287" s="510">
        <v>2264.35</v>
      </c>
      <c r="R287" s="510">
        <v>13164.3</v>
      </c>
      <c r="S287" s="505">
        <v>1317.35</v>
      </c>
      <c r="T287" s="384">
        <f t="shared" si="17"/>
        <v>784980.73999999987</v>
      </c>
      <c r="U287" s="507">
        <v>-15389.64</v>
      </c>
      <c r="V287" s="510"/>
      <c r="W287" s="510">
        <v>0</v>
      </c>
      <c r="X287" s="515">
        <v>73.5</v>
      </c>
      <c r="Y287" s="518">
        <v>1</v>
      </c>
      <c r="Z287" s="519">
        <v>372</v>
      </c>
      <c r="AA287" s="588"/>
      <c r="AB287" s="524">
        <v>24843</v>
      </c>
      <c r="AC287" s="337">
        <f>AB287/VPI!R287</f>
        <v>2.528294561272904</v>
      </c>
      <c r="AD287" s="339">
        <f t="shared" si="18"/>
        <v>49152</v>
      </c>
      <c r="AE287" s="337">
        <f>AD287/VPI!R287</f>
        <v>5.0022434599559542</v>
      </c>
      <c r="AF287" s="524">
        <v>73995</v>
      </c>
      <c r="AG287" s="524">
        <v>45519</v>
      </c>
      <c r="AH287" s="524">
        <v>50756</v>
      </c>
      <c r="AI287" s="595"/>
      <c r="AJ287" s="519">
        <v>0</v>
      </c>
      <c r="AK287" s="337">
        <f>AJ287/VPI!R287</f>
        <v>0</v>
      </c>
      <c r="AL287" s="339">
        <f t="shared" si="19"/>
        <v>16155</v>
      </c>
      <c r="AM287" s="337">
        <f>AL287/VPI!R287</f>
        <v>1.6441089496986581</v>
      </c>
      <c r="AN287" s="519">
        <v>16155</v>
      </c>
      <c r="AO287" s="595"/>
      <c r="AP287" s="532">
        <v>8.4541997483589491</v>
      </c>
      <c r="AR287" s="591">
        <v>1</v>
      </c>
    </row>
    <row r="288" spans="1:44" x14ac:dyDescent="0.25">
      <c r="A288" s="586">
        <v>5919</v>
      </c>
      <c r="B288" s="587" t="s">
        <v>322</v>
      </c>
      <c r="C288" s="505">
        <v>1091725.5</v>
      </c>
      <c r="D288" s="505">
        <v>218910.67</v>
      </c>
      <c r="E288" s="505"/>
      <c r="F288" s="506">
        <v>3960</v>
      </c>
      <c r="G288" s="505">
        <v>37342.85</v>
      </c>
      <c r="H288" s="505">
        <v>1037.4000000000001</v>
      </c>
      <c r="I288" s="505"/>
      <c r="J288" s="505">
        <v>23986.73</v>
      </c>
      <c r="K288" s="505">
        <v>11383.75</v>
      </c>
      <c r="L288" s="505">
        <v>148460.75</v>
      </c>
      <c r="M288" s="384">
        <f t="shared" si="16"/>
        <v>1536807.65</v>
      </c>
      <c r="N288" s="510">
        <v>14768.6</v>
      </c>
      <c r="O288" s="510">
        <v>16275.4</v>
      </c>
      <c r="P288" s="510">
        <v>222178.95</v>
      </c>
      <c r="Q288" s="510">
        <v>7673.07</v>
      </c>
      <c r="R288" s="510">
        <v>48237.25</v>
      </c>
      <c r="S288" s="505">
        <v>3977.07</v>
      </c>
      <c r="T288" s="384">
        <f t="shared" si="17"/>
        <v>1849917.99</v>
      </c>
      <c r="U288" s="507">
        <v>-22232.55</v>
      </c>
      <c r="V288" s="510"/>
      <c r="W288" s="510">
        <v>0</v>
      </c>
      <c r="X288" s="515">
        <v>72</v>
      </c>
      <c r="Y288" s="518">
        <v>1.2</v>
      </c>
      <c r="Z288" s="519">
        <v>684</v>
      </c>
      <c r="AA288" s="588"/>
      <c r="AB288" s="524">
        <v>105947</v>
      </c>
      <c r="AC288" s="337">
        <f>AB288/VPI!R288</f>
        <v>5.0804372674656122</v>
      </c>
      <c r="AD288" s="339">
        <f t="shared" si="18"/>
        <v>125571</v>
      </c>
      <c r="AE288" s="337">
        <f>AD288/VPI!R288</f>
        <v>6.0214596742987005</v>
      </c>
      <c r="AF288" s="524">
        <v>231518</v>
      </c>
      <c r="AG288" s="524">
        <v>46953</v>
      </c>
      <c r="AH288" s="524">
        <v>20089</v>
      </c>
      <c r="AI288" s="595"/>
      <c r="AJ288" s="519">
        <v>0</v>
      </c>
      <c r="AK288" s="337">
        <f>AJ288/VPI!R288</f>
        <v>0</v>
      </c>
      <c r="AL288" s="339">
        <f t="shared" si="19"/>
        <v>-52965</v>
      </c>
      <c r="AM288" s="337">
        <f>AL288/VPI!R288</f>
        <v>-2.5398110363796631</v>
      </c>
      <c r="AN288" s="519">
        <v>-52965</v>
      </c>
      <c r="AO288" s="595"/>
      <c r="AP288" s="532">
        <v>13.362018355780283</v>
      </c>
      <c r="AR288" s="591">
        <v>1</v>
      </c>
    </row>
    <row r="289" spans="1:44" x14ac:dyDescent="0.25">
      <c r="A289" s="586">
        <v>5921</v>
      </c>
      <c r="B289" s="587" t="s">
        <v>323</v>
      </c>
      <c r="C289" s="505">
        <v>333777.21000000002</v>
      </c>
      <c r="D289" s="505">
        <v>38076.980000000003</v>
      </c>
      <c r="E289" s="505"/>
      <c r="F289" s="506">
        <v>1421.7</v>
      </c>
      <c r="G289" s="505">
        <v>920.4</v>
      </c>
      <c r="H289" s="505">
        <v>-59.6</v>
      </c>
      <c r="I289" s="505"/>
      <c r="J289" s="505">
        <v>6939.28</v>
      </c>
      <c r="K289" s="505"/>
      <c r="L289" s="505">
        <v>35888.75</v>
      </c>
      <c r="M289" s="384">
        <f t="shared" si="16"/>
        <v>416964.72000000009</v>
      </c>
      <c r="N289" s="510">
        <v>11053.2</v>
      </c>
      <c r="O289" s="510">
        <v>707.3</v>
      </c>
      <c r="P289" s="510">
        <v>24365</v>
      </c>
      <c r="Q289" s="510">
        <v>2503.8200000000002</v>
      </c>
      <c r="R289" s="510"/>
      <c r="S289" s="505">
        <v>89.2</v>
      </c>
      <c r="T289" s="384">
        <f t="shared" si="17"/>
        <v>455683.24000000011</v>
      </c>
      <c r="U289" s="507">
        <v>-7190.13</v>
      </c>
      <c r="V289" s="510"/>
      <c r="W289" s="510">
        <v>0</v>
      </c>
      <c r="X289" s="515">
        <v>81</v>
      </c>
      <c r="Y289" s="518">
        <v>1</v>
      </c>
      <c r="Z289" s="519">
        <v>257</v>
      </c>
      <c r="AA289" s="588"/>
      <c r="AB289" s="524">
        <v>0</v>
      </c>
      <c r="AC289" s="337">
        <f>AB289/VPI!R289</f>
        <v>0</v>
      </c>
      <c r="AD289" s="339">
        <f t="shared" si="18"/>
        <v>13246</v>
      </c>
      <c r="AE289" s="337">
        <f>AD289/VPI!R289</f>
        <v>2.6018677849116223</v>
      </c>
      <c r="AF289" s="524">
        <v>13246</v>
      </c>
      <c r="AG289" s="524">
        <v>11422</v>
      </c>
      <c r="AH289" s="524">
        <v>22984</v>
      </c>
      <c r="AI289" s="595"/>
      <c r="AJ289" s="519">
        <v>0</v>
      </c>
      <c r="AK289" s="337">
        <f>AJ289/VPI!R289</f>
        <v>0</v>
      </c>
      <c r="AL289" s="339">
        <f t="shared" si="19"/>
        <v>10787</v>
      </c>
      <c r="AM289" s="337">
        <f>AL289/VPI!R289</f>
        <v>2.1188545822015454</v>
      </c>
      <c r="AN289" s="519">
        <v>10787</v>
      </c>
      <c r="AO289" s="595"/>
      <c r="AP289" s="532">
        <v>1.8227543284857486</v>
      </c>
      <c r="AR289" s="591">
        <v>0</v>
      </c>
    </row>
    <row r="290" spans="1:44" x14ac:dyDescent="0.25">
      <c r="A290" s="586">
        <v>5922</v>
      </c>
      <c r="B290" s="587" t="s">
        <v>235</v>
      </c>
      <c r="C290" s="505">
        <v>1353693.24</v>
      </c>
      <c r="D290" s="505">
        <v>212766.65</v>
      </c>
      <c r="E290" s="505"/>
      <c r="F290" s="506"/>
      <c r="G290" s="505">
        <v>467640.2</v>
      </c>
      <c r="H290" s="505">
        <v>14051.45</v>
      </c>
      <c r="I290" s="505"/>
      <c r="J290" s="505">
        <v>85313.26</v>
      </c>
      <c r="K290" s="505">
        <v>65824.350000000006</v>
      </c>
      <c r="L290" s="505">
        <v>268740.05</v>
      </c>
      <c r="M290" s="384">
        <f t="shared" si="16"/>
        <v>2468029.1999999997</v>
      </c>
      <c r="N290" s="510">
        <v>403748.6</v>
      </c>
      <c r="O290" s="510">
        <v>3463.5</v>
      </c>
      <c r="P290" s="510">
        <v>36961.1</v>
      </c>
      <c r="Q290" s="510"/>
      <c r="R290" s="510">
        <v>31280.15</v>
      </c>
      <c r="S290" s="505">
        <v>49914.25</v>
      </c>
      <c r="T290" s="384">
        <f t="shared" si="17"/>
        <v>2993396.8</v>
      </c>
      <c r="U290" s="507">
        <v>-18199.62</v>
      </c>
      <c r="V290" s="510"/>
      <c r="W290" s="510">
        <v>-254.07</v>
      </c>
      <c r="X290" s="515">
        <v>64.5</v>
      </c>
      <c r="Y290" s="518">
        <v>0.8</v>
      </c>
      <c r="Z290" s="519">
        <v>770</v>
      </c>
      <c r="AA290" s="588"/>
      <c r="AB290" s="524">
        <v>38555</v>
      </c>
      <c r="AC290" s="337">
        <f>AB290/VPI!R290</f>
        <v>0.96887908302375314</v>
      </c>
      <c r="AD290" s="339">
        <f t="shared" si="18"/>
        <v>77873</v>
      </c>
      <c r="AE290" s="337">
        <f>AD290/VPI!R290</f>
        <v>1.9569321964027682</v>
      </c>
      <c r="AF290" s="524">
        <v>116428</v>
      </c>
      <c r="AG290" s="524">
        <v>303778</v>
      </c>
      <c r="AH290" s="524">
        <v>112511</v>
      </c>
      <c r="AI290" s="595"/>
      <c r="AJ290" s="519">
        <v>0</v>
      </c>
      <c r="AK290" s="337">
        <f>AJ290/VPI!R290</f>
        <v>0</v>
      </c>
      <c r="AL290" s="339">
        <f t="shared" si="19"/>
        <v>2492</v>
      </c>
      <c r="AM290" s="337">
        <f>AL290/VPI!R290</f>
        <v>6.2623438591497674E-2</v>
      </c>
      <c r="AN290" s="519">
        <v>2492</v>
      </c>
      <c r="AO290" s="595"/>
      <c r="AP290" s="532">
        <v>30.245261626868384</v>
      </c>
      <c r="AR290" s="591">
        <v>0</v>
      </c>
    </row>
    <row r="291" spans="1:44" x14ac:dyDescent="0.25">
      <c r="A291" s="586">
        <v>5923</v>
      </c>
      <c r="B291" s="587" t="s">
        <v>236</v>
      </c>
      <c r="C291" s="505">
        <v>240852.12</v>
      </c>
      <c r="D291" s="505">
        <v>39684.65</v>
      </c>
      <c r="E291" s="505"/>
      <c r="F291" s="506"/>
      <c r="G291" s="505">
        <v>22460.05</v>
      </c>
      <c r="H291" s="505">
        <v>-218.9</v>
      </c>
      <c r="I291" s="505"/>
      <c r="J291" s="505">
        <v>31244.639999999999</v>
      </c>
      <c r="K291" s="505"/>
      <c r="L291" s="505">
        <v>27354</v>
      </c>
      <c r="M291" s="384">
        <f t="shared" si="16"/>
        <v>361376.56</v>
      </c>
      <c r="N291" s="510">
        <v>40011.199999999997</v>
      </c>
      <c r="O291" s="510">
        <v>1527.6</v>
      </c>
      <c r="P291" s="510"/>
      <c r="Q291" s="510">
        <v>3625.14</v>
      </c>
      <c r="R291" s="510"/>
      <c r="S291" s="505">
        <v>2304.69</v>
      </c>
      <c r="T291" s="384">
        <f t="shared" si="17"/>
        <v>408845.19</v>
      </c>
      <c r="U291" s="507">
        <v>-6113.84</v>
      </c>
      <c r="V291" s="510"/>
      <c r="W291" s="510">
        <v>0</v>
      </c>
      <c r="X291" s="515">
        <v>81</v>
      </c>
      <c r="Y291" s="518">
        <v>1</v>
      </c>
      <c r="Z291" s="519">
        <v>202</v>
      </c>
      <c r="AA291" s="588"/>
      <c r="AB291" s="524">
        <v>4200</v>
      </c>
      <c r="AC291" s="337">
        <f>AB291/VPI!R291</f>
        <v>0.94187989204096267</v>
      </c>
      <c r="AD291" s="339">
        <f t="shared" si="18"/>
        <v>33867</v>
      </c>
      <c r="AE291" s="337">
        <f>AD291/VPI!R291</f>
        <v>7.5949157866074479</v>
      </c>
      <c r="AF291" s="524">
        <v>38067</v>
      </c>
      <c r="AG291" s="524">
        <v>9606</v>
      </c>
      <c r="AH291" s="524">
        <v>17700</v>
      </c>
      <c r="AI291" s="595"/>
      <c r="AJ291" s="519">
        <v>0</v>
      </c>
      <c r="AK291" s="337">
        <f>AJ291/VPI!R291</f>
        <v>0</v>
      </c>
      <c r="AL291" s="339">
        <f t="shared" si="19"/>
        <v>28692</v>
      </c>
      <c r="AM291" s="337">
        <f>AL291/VPI!R291</f>
        <v>6.4343852053426902</v>
      </c>
      <c r="AN291" s="519">
        <v>28692</v>
      </c>
      <c r="AO291" s="595"/>
      <c r="AP291" s="532">
        <v>3.5429525749974893</v>
      </c>
      <c r="AR291" s="591">
        <v>0</v>
      </c>
    </row>
    <row r="292" spans="1:44" x14ac:dyDescent="0.25">
      <c r="A292" s="586">
        <v>5924</v>
      </c>
      <c r="B292" s="587" t="s">
        <v>237</v>
      </c>
      <c r="C292" s="505">
        <v>683629.63</v>
      </c>
      <c r="D292" s="505">
        <v>78938.259999999995</v>
      </c>
      <c r="E292" s="505"/>
      <c r="F292" s="506"/>
      <c r="G292" s="505">
        <v>11651.25</v>
      </c>
      <c r="H292" s="505">
        <v>689.2</v>
      </c>
      <c r="I292" s="505"/>
      <c r="J292" s="505">
        <v>22949.55</v>
      </c>
      <c r="K292" s="505"/>
      <c r="L292" s="505">
        <v>61757.15</v>
      </c>
      <c r="M292" s="384">
        <f t="shared" si="16"/>
        <v>859615.04</v>
      </c>
      <c r="N292" s="510">
        <v>20322.2</v>
      </c>
      <c r="O292" s="510"/>
      <c r="P292" s="510">
        <v>26337.05</v>
      </c>
      <c r="Q292" s="510">
        <v>1748.47</v>
      </c>
      <c r="R292" s="510">
        <v>22442.5</v>
      </c>
      <c r="S292" s="505">
        <v>1278.75</v>
      </c>
      <c r="T292" s="384">
        <f t="shared" si="17"/>
        <v>931744.01</v>
      </c>
      <c r="U292" s="507">
        <v>-1325.8</v>
      </c>
      <c r="V292" s="510"/>
      <c r="W292" s="510">
        <v>-145.54</v>
      </c>
      <c r="X292" s="515">
        <v>74</v>
      </c>
      <c r="Y292" s="518">
        <v>1</v>
      </c>
      <c r="Z292" s="519">
        <v>407</v>
      </c>
      <c r="AA292" s="588"/>
      <c r="AB292" s="524">
        <v>2467</v>
      </c>
      <c r="AC292" s="337">
        <f>AB292/VPI!R292</f>
        <v>0.21198811497257714</v>
      </c>
      <c r="AD292" s="339">
        <f t="shared" si="18"/>
        <v>57483</v>
      </c>
      <c r="AE292" s="337">
        <f>AD292/VPI!R292</f>
        <v>4.9394863449406774</v>
      </c>
      <c r="AF292" s="524">
        <v>59950</v>
      </c>
      <c r="AG292" s="524">
        <v>17539</v>
      </c>
      <c r="AH292" s="524">
        <v>60348</v>
      </c>
      <c r="AI292" s="595"/>
      <c r="AJ292" s="519">
        <v>0</v>
      </c>
      <c r="AK292" s="337">
        <f>AJ292/VPI!R292</f>
        <v>0</v>
      </c>
      <c r="AL292" s="339">
        <f t="shared" si="19"/>
        <v>7458</v>
      </c>
      <c r="AM292" s="337">
        <f>AL292/VPI!R292</f>
        <v>0.64086232730663972</v>
      </c>
      <c r="AN292" s="519">
        <v>7458</v>
      </c>
      <c r="AO292" s="595"/>
      <c r="AP292" s="532">
        <v>20.88330513948868</v>
      </c>
      <c r="AR292" s="591">
        <v>0</v>
      </c>
    </row>
    <row r="293" spans="1:44" x14ac:dyDescent="0.25">
      <c r="A293" s="586">
        <v>5925</v>
      </c>
      <c r="B293" s="587" t="s">
        <v>327</v>
      </c>
      <c r="C293" s="505">
        <v>310921.34999999998</v>
      </c>
      <c r="D293" s="505">
        <v>61925.62</v>
      </c>
      <c r="E293" s="505"/>
      <c r="F293" s="506">
        <v>1210</v>
      </c>
      <c r="G293" s="505">
        <v>2423</v>
      </c>
      <c r="H293" s="505">
        <v>450.25</v>
      </c>
      <c r="I293" s="505"/>
      <c r="J293" s="505">
        <v>11747.07</v>
      </c>
      <c r="K293" s="505"/>
      <c r="L293" s="505">
        <v>34493.699999999997</v>
      </c>
      <c r="M293" s="384">
        <f t="shared" si="16"/>
        <v>423170.99</v>
      </c>
      <c r="N293" s="510">
        <v>288.45</v>
      </c>
      <c r="O293" s="510">
        <v>13581.5</v>
      </c>
      <c r="P293" s="510">
        <v>4660.1499999999996</v>
      </c>
      <c r="Q293" s="510">
        <v>2220.4899999999998</v>
      </c>
      <c r="R293" s="510">
        <v>20445.099999999999</v>
      </c>
      <c r="S293" s="505">
        <v>297.73</v>
      </c>
      <c r="T293" s="384">
        <f t="shared" si="17"/>
        <v>464664.41</v>
      </c>
      <c r="U293" s="507">
        <v>-10323.950000000001</v>
      </c>
      <c r="V293" s="510"/>
      <c r="W293" s="510">
        <v>-164.65</v>
      </c>
      <c r="X293" s="515">
        <v>79</v>
      </c>
      <c r="Y293" s="518">
        <v>1</v>
      </c>
      <c r="Z293" s="519">
        <v>212</v>
      </c>
      <c r="AA293" s="588"/>
      <c r="AB293" s="524">
        <v>3827</v>
      </c>
      <c r="AC293" s="337">
        <f>AB293/VPI!R293</f>
        <v>0.72816126161279016</v>
      </c>
      <c r="AD293" s="339">
        <f t="shared" si="18"/>
        <v>74615</v>
      </c>
      <c r="AE293" s="337">
        <f>AD293/VPI!R293</f>
        <v>14.196956502544641</v>
      </c>
      <c r="AF293" s="524">
        <v>78442</v>
      </c>
      <c r="AG293" s="524">
        <v>9653</v>
      </c>
      <c r="AH293" s="524">
        <v>17788</v>
      </c>
      <c r="AI293" s="595"/>
      <c r="AJ293" s="519">
        <v>0</v>
      </c>
      <c r="AK293" s="337">
        <f>AJ293/VPI!R293</f>
        <v>0</v>
      </c>
      <c r="AL293" s="339">
        <f t="shared" si="19"/>
        <v>10619</v>
      </c>
      <c r="AM293" s="337">
        <f>AL293/VPI!R293</f>
        <v>2.0204715017157615</v>
      </c>
      <c r="AN293" s="519">
        <v>10619</v>
      </c>
      <c r="AO293" s="595"/>
      <c r="AP293" s="532">
        <v>5.7699202638357008</v>
      </c>
      <c r="AR293" s="591">
        <v>0</v>
      </c>
    </row>
    <row r="294" spans="1:44" x14ac:dyDescent="0.25">
      <c r="A294" s="586">
        <v>5926</v>
      </c>
      <c r="B294" s="587" t="s">
        <v>328</v>
      </c>
      <c r="C294" s="505">
        <v>1440302.97</v>
      </c>
      <c r="D294" s="505">
        <v>242047.73</v>
      </c>
      <c r="E294" s="505"/>
      <c r="F294" s="506"/>
      <c r="G294" s="505">
        <v>46776.800000000003</v>
      </c>
      <c r="H294" s="505">
        <v>589.65</v>
      </c>
      <c r="I294" s="505"/>
      <c r="J294" s="505">
        <v>39940.949999999997</v>
      </c>
      <c r="K294" s="505"/>
      <c r="L294" s="509">
        <v>139755.29999999999</v>
      </c>
      <c r="M294" s="384">
        <f t="shared" si="16"/>
        <v>1909413.4</v>
      </c>
      <c r="N294" s="510">
        <v>24861.65</v>
      </c>
      <c r="O294" s="510">
        <v>23125.599999999999</v>
      </c>
      <c r="P294" s="510">
        <v>45914.65</v>
      </c>
      <c r="Q294" s="510">
        <v>1395.7</v>
      </c>
      <c r="R294" s="510">
        <v>30756.799999999999</v>
      </c>
      <c r="S294" s="505">
        <v>4908.25</v>
      </c>
      <c r="T294" s="384">
        <f t="shared" si="17"/>
        <v>2040376.0499999998</v>
      </c>
      <c r="U294" s="507">
        <v>-14155.75</v>
      </c>
      <c r="V294" s="510"/>
      <c r="W294" s="510">
        <v>-33.1</v>
      </c>
      <c r="X294" s="515">
        <v>71</v>
      </c>
      <c r="Y294" s="518">
        <v>1</v>
      </c>
      <c r="Z294" s="519">
        <v>868</v>
      </c>
      <c r="AA294" s="588"/>
      <c r="AB294" s="524">
        <v>51417</v>
      </c>
      <c r="AC294" s="337">
        <f>AB294/VPI!R294</f>
        <v>1.9198276544369439</v>
      </c>
      <c r="AD294" s="339">
        <f t="shared" si="18"/>
        <v>81151</v>
      </c>
      <c r="AE294" s="337">
        <f>AD294/VPI!R294</f>
        <v>3.0300471436531193</v>
      </c>
      <c r="AF294" s="524">
        <v>132568</v>
      </c>
      <c r="AG294" s="524">
        <v>60071</v>
      </c>
      <c r="AH294" s="524">
        <v>81310</v>
      </c>
      <c r="AI294" s="595"/>
      <c r="AJ294" s="519">
        <v>0</v>
      </c>
      <c r="AK294" s="337">
        <f>AJ294/VPI!R294</f>
        <v>0</v>
      </c>
      <c r="AL294" s="339">
        <f t="shared" si="19"/>
        <v>38901</v>
      </c>
      <c r="AM294" s="337">
        <f>AL294/VPI!R294</f>
        <v>1.4525004489809121</v>
      </c>
      <c r="AN294" s="519">
        <v>38901</v>
      </c>
      <c r="AO294" s="595"/>
      <c r="AP294" s="532">
        <v>19.214131136459109</v>
      </c>
      <c r="AR294" s="591">
        <v>1</v>
      </c>
    </row>
    <row r="295" spans="1:44" x14ac:dyDescent="0.25">
      <c r="A295" s="586">
        <v>5928</v>
      </c>
      <c r="B295" s="587" t="s">
        <v>329</v>
      </c>
      <c r="C295" s="505">
        <v>295283.53000000003</v>
      </c>
      <c r="D295" s="505">
        <v>35785.18</v>
      </c>
      <c r="E295" s="505"/>
      <c r="F295" s="506"/>
      <c r="G295" s="505">
        <v>1941.6</v>
      </c>
      <c r="H295" s="505">
        <v>-21.6</v>
      </c>
      <c r="I295" s="505"/>
      <c r="J295" s="505">
        <v>12054.8</v>
      </c>
      <c r="K295" s="505"/>
      <c r="L295" s="505">
        <v>26295.7</v>
      </c>
      <c r="M295" s="384">
        <f t="shared" si="16"/>
        <v>371339.21</v>
      </c>
      <c r="N295" s="510">
        <v>0</v>
      </c>
      <c r="O295" s="510"/>
      <c r="P295" s="510">
        <v>70.25</v>
      </c>
      <c r="Q295" s="510">
        <v>11</v>
      </c>
      <c r="R295" s="510">
        <v>168.25</v>
      </c>
      <c r="S295" s="505">
        <v>198.96</v>
      </c>
      <c r="T295" s="384">
        <f t="shared" si="17"/>
        <v>371787.67000000004</v>
      </c>
      <c r="U295" s="507">
        <v>-7221.21</v>
      </c>
      <c r="V295" s="510"/>
      <c r="W295" s="510">
        <v>0</v>
      </c>
      <c r="X295" s="515">
        <v>71.5</v>
      </c>
      <c r="Y295" s="518">
        <v>1</v>
      </c>
      <c r="Z295" s="519">
        <v>197</v>
      </c>
      <c r="AA295" s="588"/>
      <c r="AB295" s="524">
        <v>6931</v>
      </c>
      <c r="AC295" s="337">
        <f>AB295/VPI!R295</f>
        <v>1.3602208845019745</v>
      </c>
      <c r="AD295" s="339">
        <f t="shared" si="18"/>
        <v>8751</v>
      </c>
      <c r="AE295" s="337">
        <f>AD295/VPI!R295</f>
        <v>1.717399070881082</v>
      </c>
      <c r="AF295" s="524">
        <v>15682</v>
      </c>
      <c r="AG295" s="524">
        <v>9845</v>
      </c>
      <c r="AH295" s="524">
        <v>22794</v>
      </c>
      <c r="AI295" s="595"/>
      <c r="AJ295" s="519">
        <v>0</v>
      </c>
      <c r="AK295" s="337">
        <f>AJ295/VPI!R295</f>
        <v>0</v>
      </c>
      <c r="AL295" s="339">
        <f t="shared" si="19"/>
        <v>-9633</v>
      </c>
      <c r="AM295" s="337">
        <f>AL295/VPI!R295</f>
        <v>-1.8904931150494186</v>
      </c>
      <c r="AN295" s="519">
        <v>-9633</v>
      </c>
      <c r="AO295" s="595"/>
      <c r="AP295" s="532">
        <v>10.591627862588812</v>
      </c>
      <c r="AR295" s="591">
        <v>0</v>
      </c>
    </row>
    <row r="296" spans="1:44" x14ac:dyDescent="0.25">
      <c r="A296" s="586">
        <v>5929</v>
      </c>
      <c r="B296" s="587" t="s">
        <v>330</v>
      </c>
      <c r="C296" s="505">
        <v>1158429.44</v>
      </c>
      <c r="D296" s="505">
        <v>142569.04</v>
      </c>
      <c r="E296" s="505"/>
      <c r="F296" s="506"/>
      <c r="G296" s="505">
        <v>33353.050000000003</v>
      </c>
      <c r="H296" s="505">
        <v>128.44999999999999</v>
      </c>
      <c r="I296" s="505">
        <v>41100.15</v>
      </c>
      <c r="J296" s="505">
        <v>26464.74</v>
      </c>
      <c r="K296" s="505"/>
      <c r="L296" s="505">
        <v>94372.6</v>
      </c>
      <c r="M296" s="384">
        <f t="shared" si="16"/>
        <v>1496417.47</v>
      </c>
      <c r="N296" s="510">
        <v>19827.2</v>
      </c>
      <c r="O296" s="510"/>
      <c r="P296" s="510">
        <v>36654.550000000003</v>
      </c>
      <c r="Q296" s="510">
        <v>158.96</v>
      </c>
      <c r="R296" s="510">
        <v>52663.95</v>
      </c>
      <c r="S296" s="505">
        <v>3469.45</v>
      </c>
      <c r="T296" s="384">
        <f t="shared" si="17"/>
        <v>1609191.5799999998</v>
      </c>
      <c r="U296" s="507">
        <v>-11366.04</v>
      </c>
      <c r="V296" s="510"/>
      <c r="W296" s="510">
        <v>-87.5</v>
      </c>
      <c r="X296" s="515">
        <v>70</v>
      </c>
      <c r="Y296" s="518">
        <v>0.8</v>
      </c>
      <c r="Z296" s="519">
        <v>671</v>
      </c>
      <c r="AA296" s="588"/>
      <c r="AB296" s="524">
        <v>4000</v>
      </c>
      <c r="AC296" s="337">
        <f>AB296/VPI!R296</f>
        <v>0.18516246971791805</v>
      </c>
      <c r="AD296" s="339">
        <f t="shared" si="18"/>
        <v>31351</v>
      </c>
      <c r="AE296" s="337">
        <f>AD296/VPI!R296</f>
        <v>1.4512571470316122</v>
      </c>
      <c r="AF296" s="524">
        <v>35351</v>
      </c>
      <c r="AG296" s="524">
        <v>31350</v>
      </c>
      <c r="AH296" s="524">
        <v>95890</v>
      </c>
      <c r="AI296" s="595"/>
      <c r="AJ296" s="519">
        <v>0</v>
      </c>
      <c r="AK296" s="337">
        <f>AJ296/VPI!R296</f>
        <v>0</v>
      </c>
      <c r="AL296" s="339">
        <f t="shared" si="19"/>
        <v>37695</v>
      </c>
      <c r="AM296" s="337">
        <f>AL296/VPI!R296</f>
        <v>1.7449248240042301</v>
      </c>
      <c r="AN296" s="519">
        <v>37695</v>
      </c>
      <c r="AO296" s="595"/>
      <c r="AP296" s="532">
        <v>16.999253808897294</v>
      </c>
      <c r="AR296" s="591">
        <v>1</v>
      </c>
    </row>
    <row r="297" spans="1:44" x14ac:dyDescent="0.25">
      <c r="A297" s="586">
        <v>5930</v>
      </c>
      <c r="B297" s="587" t="s">
        <v>331</v>
      </c>
      <c r="C297" s="505">
        <v>324024.74</v>
      </c>
      <c r="D297" s="505">
        <v>50569.21</v>
      </c>
      <c r="E297" s="505"/>
      <c r="F297" s="506">
        <v>1150</v>
      </c>
      <c r="G297" s="505">
        <v>587.29999999999995</v>
      </c>
      <c r="H297" s="505">
        <v>42.1</v>
      </c>
      <c r="I297" s="505"/>
      <c r="J297" s="505">
        <v>6739.75</v>
      </c>
      <c r="K297" s="505">
        <v>228.6</v>
      </c>
      <c r="L297" s="505">
        <v>30971.5</v>
      </c>
      <c r="M297" s="384">
        <f t="shared" si="16"/>
        <v>414313.19999999995</v>
      </c>
      <c r="N297" s="510">
        <v>0</v>
      </c>
      <c r="O297" s="510">
        <v>0</v>
      </c>
      <c r="P297" s="510">
        <v>27302</v>
      </c>
      <c r="Q297" s="510">
        <v>0</v>
      </c>
      <c r="R297" s="510">
        <v>21235.95</v>
      </c>
      <c r="S297" s="505">
        <v>65.22</v>
      </c>
      <c r="T297" s="384">
        <f t="shared" si="17"/>
        <v>462916.36999999994</v>
      </c>
      <c r="U297" s="507">
        <v>-42.39</v>
      </c>
      <c r="V297" s="510"/>
      <c r="W297" s="510">
        <v>-396.7</v>
      </c>
      <c r="X297" s="515">
        <v>72</v>
      </c>
      <c r="Y297" s="518">
        <v>1</v>
      </c>
      <c r="Z297" s="519">
        <v>220</v>
      </c>
      <c r="AA297" s="588"/>
      <c r="AB297" s="524">
        <v>56981</v>
      </c>
      <c r="AC297" s="337">
        <f>AB297/VPI!R297</f>
        <v>9.9111915748619488</v>
      </c>
      <c r="AD297" s="339">
        <f t="shared" si="18"/>
        <v>16448</v>
      </c>
      <c r="AE297" s="337">
        <f>AD297/VPI!R297</f>
        <v>2.8609409982859084</v>
      </c>
      <c r="AF297" s="524">
        <v>73429</v>
      </c>
      <c r="AG297" s="524">
        <v>15412</v>
      </c>
      <c r="AH297" s="524">
        <v>7011</v>
      </c>
      <c r="AI297" s="595"/>
      <c r="AJ297" s="519">
        <v>767</v>
      </c>
      <c r="AK297" s="337">
        <f>AJ297/VPI!R297</f>
        <v>0.13341085516082757</v>
      </c>
      <c r="AL297" s="339">
        <f t="shared" si="19"/>
        <v>4303</v>
      </c>
      <c r="AM297" s="337">
        <f>AL297/VPI!R297</f>
        <v>0.74845750946159195</v>
      </c>
      <c r="AN297" s="519">
        <v>5070</v>
      </c>
      <c r="AO297" s="595"/>
      <c r="AP297" s="532">
        <v>16.483117582120638</v>
      </c>
      <c r="AR297" s="591">
        <v>1</v>
      </c>
    </row>
    <row r="298" spans="1:44" x14ac:dyDescent="0.25">
      <c r="A298" s="586">
        <v>5931</v>
      </c>
      <c r="B298" s="587" t="s">
        <v>332</v>
      </c>
      <c r="C298" s="505">
        <v>1036909.97</v>
      </c>
      <c r="D298" s="505">
        <v>93771.85</v>
      </c>
      <c r="E298" s="505"/>
      <c r="F298" s="506"/>
      <c r="G298" s="505">
        <v>11925.35</v>
      </c>
      <c r="H298" s="505">
        <v>1184.5999999999999</v>
      </c>
      <c r="I298" s="505"/>
      <c r="J298" s="505">
        <v>16964.7</v>
      </c>
      <c r="K298" s="505">
        <v>1295.9000000000001</v>
      </c>
      <c r="L298" s="505">
        <v>85534.8</v>
      </c>
      <c r="M298" s="384">
        <f t="shared" si="16"/>
        <v>1247587.1700000002</v>
      </c>
      <c r="N298" s="510">
        <v>14546.55</v>
      </c>
      <c r="O298" s="510"/>
      <c r="P298" s="510">
        <v>99291.5</v>
      </c>
      <c r="Q298" s="510">
        <v>2635.73</v>
      </c>
      <c r="R298" s="510">
        <v>98829.1</v>
      </c>
      <c r="S298" s="505">
        <v>1358.49</v>
      </c>
      <c r="T298" s="384">
        <f t="shared" si="17"/>
        <v>1464248.5400000003</v>
      </c>
      <c r="U298" s="507">
        <v>-28547.599999999999</v>
      </c>
      <c r="V298" s="510"/>
      <c r="W298" s="510">
        <v>-39.6</v>
      </c>
      <c r="X298" s="515">
        <v>75</v>
      </c>
      <c r="Y298" s="518">
        <v>1</v>
      </c>
      <c r="Z298" s="519">
        <v>520</v>
      </c>
      <c r="AA298" s="588"/>
      <c r="AB298" s="524">
        <v>118129</v>
      </c>
      <c r="AC298" s="337">
        <f>AB298/VPI!R298</f>
        <v>7.2442494595988238</v>
      </c>
      <c r="AD298" s="339">
        <f t="shared" si="18"/>
        <v>31728</v>
      </c>
      <c r="AE298" s="337">
        <f>AD298/VPI!R298</f>
        <v>1.9457165205339204</v>
      </c>
      <c r="AF298" s="524">
        <v>149857</v>
      </c>
      <c r="AG298" s="524">
        <v>35125</v>
      </c>
      <c r="AH298" s="524">
        <v>14827</v>
      </c>
      <c r="AI298" s="595"/>
      <c r="AJ298" s="519">
        <v>0</v>
      </c>
      <c r="AK298" s="337">
        <f>AJ298/VPI!R298</f>
        <v>0</v>
      </c>
      <c r="AL298" s="339">
        <f t="shared" si="19"/>
        <v>1851</v>
      </c>
      <c r="AM298" s="337">
        <f>AL298/VPI!R298</f>
        <v>0.11351239534506703</v>
      </c>
      <c r="AN298" s="519">
        <v>1851</v>
      </c>
      <c r="AO298" s="595"/>
      <c r="AP298" s="532">
        <v>15.741232604257206</v>
      </c>
      <c r="AR298" s="591">
        <v>1</v>
      </c>
    </row>
    <row r="299" spans="1:44" x14ac:dyDescent="0.25">
      <c r="A299" s="586">
        <v>5932</v>
      </c>
      <c r="B299" s="587" t="s">
        <v>238</v>
      </c>
      <c r="C299" s="505">
        <v>438578.77</v>
      </c>
      <c r="D299" s="505">
        <v>78417.789999999994</v>
      </c>
      <c r="E299" s="505"/>
      <c r="F299" s="506">
        <v>1350</v>
      </c>
      <c r="G299" s="505">
        <v>174.7</v>
      </c>
      <c r="H299" s="505">
        <v>424.55</v>
      </c>
      <c r="I299" s="505">
        <v>40597.800000000003</v>
      </c>
      <c r="J299" s="505">
        <v>5920.82</v>
      </c>
      <c r="K299" s="505">
        <v>819.5</v>
      </c>
      <c r="L299" s="505">
        <v>33679.300000000003</v>
      </c>
      <c r="M299" s="384">
        <f t="shared" si="16"/>
        <v>599963.23</v>
      </c>
      <c r="N299" s="510">
        <v>0</v>
      </c>
      <c r="O299" s="510">
        <v>1060.9000000000001</v>
      </c>
      <c r="P299" s="510"/>
      <c r="Q299" s="510">
        <v>56.86</v>
      </c>
      <c r="R299" s="510">
        <v>18408.75</v>
      </c>
      <c r="S299" s="505">
        <v>62.1</v>
      </c>
      <c r="T299" s="384">
        <f t="shared" si="17"/>
        <v>619551.84</v>
      </c>
      <c r="U299" s="507">
        <v>-4106.46</v>
      </c>
      <c r="V299" s="510"/>
      <c r="W299" s="510">
        <v>-53.7</v>
      </c>
      <c r="X299" s="515">
        <v>75</v>
      </c>
      <c r="Y299" s="518">
        <v>1</v>
      </c>
      <c r="Z299" s="519">
        <v>230</v>
      </c>
      <c r="AA299" s="588"/>
      <c r="AB299" s="524">
        <v>7347</v>
      </c>
      <c r="AC299" s="337">
        <f>AB299/VPI!R299</f>
        <v>0.92465955655306109</v>
      </c>
      <c r="AD299" s="339">
        <f t="shared" si="18"/>
        <v>9989</v>
      </c>
      <c r="AE299" s="337">
        <f>AD299/VPI!R299</f>
        <v>1.2571694991708897</v>
      </c>
      <c r="AF299" s="524">
        <v>17336</v>
      </c>
      <c r="AG299" s="524">
        <v>10896</v>
      </c>
      <c r="AH299" s="524">
        <v>6817</v>
      </c>
      <c r="AI299" s="595"/>
      <c r="AJ299" s="519">
        <v>0</v>
      </c>
      <c r="AK299" s="337">
        <f>AJ299/VPI!R299</f>
        <v>0</v>
      </c>
      <c r="AL299" s="339">
        <f t="shared" si="19"/>
        <v>18908</v>
      </c>
      <c r="AM299" s="337">
        <f>AL299/VPI!R299</f>
        <v>2.3796737301354676</v>
      </c>
      <c r="AN299" s="519">
        <v>18908</v>
      </c>
      <c r="AO299" s="595"/>
      <c r="AP299" s="532">
        <v>18.747217124727811</v>
      </c>
      <c r="AR299" s="591">
        <v>0</v>
      </c>
    </row>
    <row r="300" spans="1:44" x14ac:dyDescent="0.25">
      <c r="A300" s="586">
        <v>5933</v>
      </c>
      <c r="B300" s="587" t="s">
        <v>325</v>
      </c>
      <c r="C300" s="505">
        <v>1343729.72</v>
      </c>
      <c r="D300" s="505">
        <v>162464.26999999999</v>
      </c>
      <c r="E300" s="505"/>
      <c r="F300" s="506"/>
      <c r="G300" s="505">
        <v>24941.200000000001</v>
      </c>
      <c r="H300" s="505">
        <v>168.65</v>
      </c>
      <c r="I300" s="505"/>
      <c r="J300" s="505">
        <v>15895.67</v>
      </c>
      <c r="K300" s="505">
        <v>3437.05</v>
      </c>
      <c r="L300" s="505">
        <v>123173.55</v>
      </c>
      <c r="M300" s="384">
        <f t="shared" si="16"/>
        <v>1673810.1099999999</v>
      </c>
      <c r="N300" s="510">
        <v>27780.9</v>
      </c>
      <c r="O300" s="510">
        <v>27451.599999999999</v>
      </c>
      <c r="P300" s="510">
        <v>51051.05</v>
      </c>
      <c r="Q300" s="510">
        <v>153.87</v>
      </c>
      <c r="R300" s="510">
        <v>14564.25</v>
      </c>
      <c r="S300" s="505">
        <v>2601.96</v>
      </c>
      <c r="T300" s="384">
        <f t="shared" si="17"/>
        <v>1797413.74</v>
      </c>
      <c r="U300" s="507">
        <v>-21366.7</v>
      </c>
      <c r="V300" s="510"/>
      <c r="W300" s="510">
        <v>-0.21</v>
      </c>
      <c r="X300" s="515">
        <v>70.5</v>
      </c>
      <c r="Y300" s="518">
        <v>1</v>
      </c>
      <c r="Z300" s="519">
        <v>703</v>
      </c>
      <c r="AA300" s="588"/>
      <c r="AB300" s="524">
        <v>36393</v>
      </c>
      <c r="AC300" s="337">
        <f>AB300/VPI!R300</f>
        <v>1.550089417343363</v>
      </c>
      <c r="AD300" s="339">
        <f t="shared" si="18"/>
        <v>422518</v>
      </c>
      <c r="AE300" s="337">
        <f>AD300/VPI!R300</f>
        <v>17.99633667015863</v>
      </c>
      <c r="AF300" s="524">
        <v>458911</v>
      </c>
      <c r="AG300" s="524">
        <v>83272</v>
      </c>
      <c r="AH300" s="524">
        <v>98288</v>
      </c>
      <c r="AI300" s="595"/>
      <c r="AJ300" s="519">
        <v>0</v>
      </c>
      <c r="AK300" s="337">
        <f>AJ300/VPI!R300</f>
        <v>0</v>
      </c>
      <c r="AL300" s="339">
        <f t="shared" si="19"/>
        <v>-25017</v>
      </c>
      <c r="AM300" s="337">
        <f>AL300/VPI!R300</f>
        <v>-1.0655507090286296</v>
      </c>
      <c r="AN300" s="519">
        <v>-25017</v>
      </c>
      <c r="AO300" s="595"/>
      <c r="AP300" s="532">
        <v>13.409926884569668</v>
      </c>
      <c r="AR300" s="591">
        <v>0</v>
      </c>
    </row>
    <row r="301" spans="1:44" x14ac:dyDescent="0.25">
      <c r="A301" s="586">
        <v>5934</v>
      </c>
      <c r="B301" s="587" t="s">
        <v>326</v>
      </c>
      <c r="C301" s="505">
        <f>1135253.89-760000</f>
        <v>375253.8899999999</v>
      </c>
      <c r="D301" s="505">
        <v>111660.06</v>
      </c>
      <c r="E301" s="505"/>
      <c r="F301" s="506">
        <v>1520</v>
      </c>
      <c r="G301" s="505">
        <v>-55.05</v>
      </c>
      <c r="H301" s="505">
        <v>-18.05</v>
      </c>
      <c r="I301" s="505"/>
      <c r="J301" s="505">
        <v>16298.23</v>
      </c>
      <c r="K301" s="505">
        <v>34.700000000000003</v>
      </c>
      <c r="L301" s="505">
        <v>29927.4</v>
      </c>
      <c r="M301" s="384">
        <f t="shared" si="16"/>
        <v>534621.17999999993</v>
      </c>
      <c r="N301" s="510">
        <v>7121.8</v>
      </c>
      <c r="O301" s="510">
        <v>36038.199999999997</v>
      </c>
      <c r="P301" s="510">
        <v>20020</v>
      </c>
      <c r="Q301" s="510"/>
      <c r="R301" s="510"/>
      <c r="S301" s="505">
        <v>0</v>
      </c>
      <c r="T301" s="384">
        <f t="shared" si="17"/>
        <v>597801.17999999993</v>
      </c>
      <c r="U301" s="507">
        <v>-1969.43</v>
      </c>
      <c r="V301" s="510"/>
      <c r="W301" s="510">
        <v>0</v>
      </c>
      <c r="X301" s="515">
        <v>77</v>
      </c>
      <c r="Y301" s="518">
        <v>1</v>
      </c>
      <c r="Z301" s="519">
        <v>241</v>
      </c>
      <c r="AA301" s="588"/>
      <c r="AB301" s="524">
        <v>3553</v>
      </c>
      <c r="AC301" s="337">
        <f>AB301/VPI!R301</f>
        <v>0.51362076628866804</v>
      </c>
      <c r="AD301" s="339">
        <f t="shared" si="18"/>
        <v>12253</v>
      </c>
      <c r="AE301" s="337">
        <f>AD301/VPI!R301</f>
        <v>1.7712905289431606</v>
      </c>
      <c r="AF301" s="524">
        <v>15806</v>
      </c>
      <c r="AG301" s="524">
        <v>11804</v>
      </c>
      <c r="AH301" s="524">
        <v>6824</v>
      </c>
      <c r="AI301" s="595"/>
      <c r="AJ301" s="519">
        <v>0</v>
      </c>
      <c r="AK301" s="337">
        <f>AJ301/VPI!R301</f>
        <v>0</v>
      </c>
      <c r="AL301" s="339">
        <f t="shared" si="19"/>
        <v>12495</v>
      </c>
      <c r="AM301" s="337">
        <f>AL301/VPI!R301</f>
        <v>1.8062739867089523</v>
      </c>
      <c r="AN301" s="519">
        <v>12495</v>
      </c>
      <c r="AO301" s="595"/>
      <c r="AP301" s="532">
        <v>11.163284867869308</v>
      </c>
      <c r="AR301" s="591">
        <v>0</v>
      </c>
    </row>
    <row r="302" spans="1:44" x14ac:dyDescent="0.25">
      <c r="A302" s="586">
        <v>5935</v>
      </c>
      <c r="B302" s="587" t="s">
        <v>255</v>
      </c>
      <c r="C302" s="505">
        <v>236148.89</v>
      </c>
      <c r="D302" s="505">
        <v>196068.77</v>
      </c>
      <c r="E302" s="505"/>
      <c r="F302" s="506"/>
      <c r="G302" s="505">
        <v>1900.45</v>
      </c>
      <c r="H302" s="505">
        <v>421.5</v>
      </c>
      <c r="I302" s="505"/>
      <c r="J302" s="505">
        <v>1751.41</v>
      </c>
      <c r="K302" s="505"/>
      <c r="L302" s="505">
        <v>20862.05</v>
      </c>
      <c r="M302" s="384">
        <f t="shared" si="16"/>
        <v>457153.07</v>
      </c>
      <c r="N302" s="510">
        <v>0</v>
      </c>
      <c r="O302" s="510"/>
      <c r="P302" s="510">
        <v>32010</v>
      </c>
      <c r="Q302" s="510"/>
      <c r="R302" s="510">
        <v>25852.7</v>
      </c>
      <c r="S302" s="505">
        <v>240.61</v>
      </c>
      <c r="T302" s="384">
        <f t="shared" si="17"/>
        <v>515256.38</v>
      </c>
      <c r="U302" s="507">
        <v>-14.49</v>
      </c>
      <c r="V302" s="510"/>
      <c r="W302" s="510">
        <v>-121.1</v>
      </c>
      <c r="X302" s="515">
        <v>68</v>
      </c>
      <c r="Y302" s="518">
        <v>1</v>
      </c>
      <c r="Z302" s="519">
        <v>92</v>
      </c>
      <c r="AA302" s="588"/>
      <c r="AB302" s="524">
        <v>0</v>
      </c>
      <c r="AC302" s="337">
        <f>AB302/VPI!R302</f>
        <v>0</v>
      </c>
      <c r="AD302" s="339">
        <f t="shared" si="18"/>
        <v>10297</v>
      </c>
      <c r="AE302" s="337">
        <f>AD302/VPI!R302</f>
        <v>1.5312927541642838</v>
      </c>
      <c r="AF302" s="524">
        <v>10297</v>
      </c>
      <c r="AG302" s="524">
        <v>4540</v>
      </c>
      <c r="AH302" s="524">
        <v>8380</v>
      </c>
      <c r="AI302" s="595"/>
      <c r="AJ302" s="519">
        <v>0</v>
      </c>
      <c r="AK302" s="337">
        <f>AJ302/VPI!R302</f>
        <v>0</v>
      </c>
      <c r="AL302" s="339">
        <f t="shared" si="19"/>
        <v>11116</v>
      </c>
      <c r="AM302" s="337">
        <f>AL302/VPI!R302</f>
        <v>1.6530883029319394</v>
      </c>
      <c r="AN302" s="519">
        <v>11116</v>
      </c>
      <c r="AO302" s="595"/>
      <c r="AP302" s="532">
        <v>23.809739836492223</v>
      </c>
      <c r="AR302" s="591">
        <v>0</v>
      </c>
    </row>
    <row r="303" spans="1:44" x14ac:dyDescent="0.25">
      <c r="A303" s="586">
        <v>5937</v>
      </c>
      <c r="B303" s="587" t="s">
        <v>239</v>
      </c>
      <c r="C303" s="505">
        <v>195941.17</v>
      </c>
      <c r="D303" s="505">
        <v>19337.2</v>
      </c>
      <c r="E303" s="505"/>
      <c r="F303" s="506"/>
      <c r="G303" s="505">
        <v>1177.8499999999999</v>
      </c>
      <c r="H303" s="505">
        <v>106.5</v>
      </c>
      <c r="I303" s="505"/>
      <c r="J303" s="505">
        <v>2117.29</v>
      </c>
      <c r="K303" s="505"/>
      <c r="L303" s="505">
        <v>12533.57</v>
      </c>
      <c r="M303" s="384">
        <f t="shared" si="16"/>
        <v>231213.58000000005</v>
      </c>
      <c r="N303" s="510">
        <v>2274.35</v>
      </c>
      <c r="O303" s="510"/>
      <c r="P303" s="510">
        <v>13090</v>
      </c>
      <c r="Q303" s="510">
        <v>52.83</v>
      </c>
      <c r="R303" s="510">
        <v>3499.4</v>
      </c>
      <c r="S303" s="505">
        <v>133.09</v>
      </c>
      <c r="T303" s="384">
        <f t="shared" si="17"/>
        <v>250263.25000000003</v>
      </c>
      <c r="U303" s="507">
        <v>-2699.57</v>
      </c>
      <c r="V303" s="510"/>
      <c r="W303" s="510">
        <v>0</v>
      </c>
      <c r="X303" s="515">
        <v>70</v>
      </c>
      <c r="Y303" s="518">
        <v>0.7</v>
      </c>
      <c r="Z303" s="519">
        <v>137</v>
      </c>
      <c r="AA303" s="588"/>
      <c r="AB303" s="524">
        <v>15560</v>
      </c>
      <c r="AC303" s="337">
        <f>AB303/VPI!R303</f>
        <v>4.6532798146343852</v>
      </c>
      <c r="AD303" s="339">
        <f t="shared" si="18"/>
        <v>8599</v>
      </c>
      <c r="AE303" s="337">
        <f>AD303/VPI!R303</f>
        <v>2.5715651109280899</v>
      </c>
      <c r="AF303" s="524">
        <v>24159</v>
      </c>
      <c r="AG303" s="524">
        <v>6690</v>
      </c>
      <c r="AH303" s="524">
        <v>18641</v>
      </c>
      <c r="AI303" s="595"/>
      <c r="AJ303" s="519">
        <v>0</v>
      </c>
      <c r="AK303" s="337">
        <f>AJ303/VPI!R303</f>
        <v>0</v>
      </c>
      <c r="AL303" s="339">
        <f t="shared" si="19"/>
        <v>11587</v>
      </c>
      <c r="AM303" s="337">
        <f>AL303/VPI!R303</f>
        <v>3.46513838124477</v>
      </c>
      <c r="AN303" s="519">
        <v>11587</v>
      </c>
      <c r="AO303" s="595"/>
      <c r="AP303" s="532">
        <v>8.6058530046831514</v>
      </c>
      <c r="AR303" s="591">
        <v>0</v>
      </c>
    </row>
    <row r="304" spans="1:44" x14ac:dyDescent="0.25">
      <c r="A304" s="586">
        <v>5938</v>
      </c>
      <c r="B304" s="587" t="s">
        <v>133</v>
      </c>
      <c r="C304" s="505">
        <v>42326469.560000002</v>
      </c>
      <c r="D304" s="505">
        <v>5051938.8</v>
      </c>
      <c r="E304" s="505"/>
      <c r="F304" s="506"/>
      <c r="G304" s="505">
        <v>3785833.65</v>
      </c>
      <c r="H304" s="505">
        <v>379814.40000000002</v>
      </c>
      <c r="I304" s="505"/>
      <c r="J304" s="505">
        <v>2035405.47</v>
      </c>
      <c r="K304" s="505">
        <v>733178.2</v>
      </c>
      <c r="L304" s="505">
        <v>4698262.95</v>
      </c>
      <c r="M304" s="384">
        <f t="shared" si="16"/>
        <v>59010903.030000001</v>
      </c>
      <c r="N304" s="510">
        <v>5431399.5</v>
      </c>
      <c r="O304" s="510">
        <v>882538.35</v>
      </c>
      <c r="P304" s="510">
        <v>2802146.2</v>
      </c>
      <c r="Q304" s="510">
        <v>309378.27</v>
      </c>
      <c r="R304" s="510">
        <v>1585332.9</v>
      </c>
      <c r="S304" s="505">
        <v>431656.27</v>
      </c>
      <c r="T304" s="384">
        <f t="shared" si="17"/>
        <v>70453354.519999996</v>
      </c>
      <c r="U304" s="507">
        <v>-1193782.54</v>
      </c>
      <c r="V304" s="510"/>
      <c r="W304" s="510">
        <v>-17227.91</v>
      </c>
      <c r="X304" s="515">
        <v>75</v>
      </c>
      <c r="Y304" s="518">
        <v>1</v>
      </c>
      <c r="Z304" s="519">
        <v>29877</v>
      </c>
      <c r="AA304" s="588"/>
      <c r="AB304" s="524">
        <v>3982512</v>
      </c>
      <c r="AC304" s="337">
        <f>AB304/VPI!R304</f>
        <v>5.1022150603753529</v>
      </c>
      <c r="AD304" s="339">
        <f t="shared" si="18"/>
        <v>7268394</v>
      </c>
      <c r="AE304" s="337">
        <f>AD304/VPI!R304</f>
        <v>9.3119391307651682</v>
      </c>
      <c r="AF304" s="524">
        <v>11250906</v>
      </c>
      <c r="AG304" s="524">
        <v>7918498</v>
      </c>
      <c r="AH304" s="524">
        <v>593950</v>
      </c>
      <c r="AI304" s="595"/>
      <c r="AJ304" s="519">
        <v>0</v>
      </c>
      <c r="AK304" s="337">
        <f>AJ304/VPI!R304</f>
        <v>0</v>
      </c>
      <c r="AL304" s="339">
        <f t="shared" si="19"/>
        <v>210577</v>
      </c>
      <c r="AM304" s="337">
        <f>AL304/VPI!R304</f>
        <v>0.2697817710953942</v>
      </c>
      <c r="AN304" s="519">
        <v>210577</v>
      </c>
      <c r="AO304" s="595"/>
      <c r="AP304" s="532">
        <v>-21.653944514880806</v>
      </c>
      <c r="AR304" s="591">
        <v>1</v>
      </c>
    </row>
    <row r="305" spans="1:44" x14ac:dyDescent="0.25">
      <c r="A305" s="586">
        <v>5939</v>
      </c>
      <c r="B305" s="587" t="s">
        <v>132</v>
      </c>
      <c r="C305" s="505">
        <v>5276349.25</v>
      </c>
      <c r="D305" s="505">
        <v>646041.44999999995</v>
      </c>
      <c r="E305" s="505"/>
      <c r="F305" s="506"/>
      <c r="G305" s="505">
        <v>365310.25</v>
      </c>
      <c r="H305" s="505">
        <v>10483.65</v>
      </c>
      <c r="I305" s="505"/>
      <c r="J305" s="505">
        <v>64905.83</v>
      </c>
      <c r="K305" s="505">
        <v>53322.6</v>
      </c>
      <c r="L305" s="505">
        <v>597639.35</v>
      </c>
      <c r="M305" s="384">
        <f t="shared" si="16"/>
        <v>7014052.3799999999</v>
      </c>
      <c r="N305" s="510">
        <v>174288.8</v>
      </c>
      <c r="O305" s="510">
        <v>777441.9</v>
      </c>
      <c r="P305" s="510">
        <v>341945.05</v>
      </c>
      <c r="Q305" s="510">
        <v>34210.68</v>
      </c>
      <c r="R305" s="510">
        <v>263684.5</v>
      </c>
      <c r="S305" s="505">
        <v>38940.83</v>
      </c>
      <c r="T305" s="384">
        <f t="shared" si="17"/>
        <v>8644564.1399999987</v>
      </c>
      <c r="U305" s="507">
        <v>-123423.25</v>
      </c>
      <c r="V305" s="510"/>
      <c r="W305" s="521">
        <v>-416.3</v>
      </c>
      <c r="X305" s="522">
        <v>71.5</v>
      </c>
      <c r="Y305" s="523">
        <v>1</v>
      </c>
      <c r="Z305" s="519">
        <v>3531</v>
      </c>
      <c r="AA305" s="588"/>
      <c r="AB305" s="524">
        <v>144351</v>
      </c>
      <c r="AC305" s="337">
        <f>AB305/VPI!R305</f>
        <v>1.4821996948676104</v>
      </c>
      <c r="AD305" s="339">
        <f t="shared" si="18"/>
        <v>600093</v>
      </c>
      <c r="AE305" s="337">
        <f>AD305/VPI!R305</f>
        <v>6.1617700015392272</v>
      </c>
      <c r="AF305" s="527">
        <v>744444</v>
      </c>
      <c r="AG305" s="524">
        <v>419586</v>
      </c>
      <c r="AH305" s="527">
        <v>337965</v>
      </c>
      <c r="AI305" s="595"/>
      <c r="AJ305" s="519">
        <v>0</v>
      </c>
      <c r="AK305" s="337">
        <f>AJ305/VPI!R305</f>
        <v>0</v>
      </c>
      <c r="AL305" s="339">
        <f t="shared" si="19"/>
        <v>112832</v>
      </c>
      <c r="AM305" s="337">
        <f>AL305/VPI!R305</f>
        <v>1.1585618109420941</v>
      </c>
      <c r="AN305" s="530">
        <v>112832</v>
      </c>
      <c r="AO305" s="595"/>
      <c r="AP305" s="532">
        <v>9.1621430878082464</v>
      </c>
      <c r="AR305" s="591">
        <v>0</v>
      </c>
    </row>
    <row r="306" spans="1:44" x14ac:dyDescent="0.25">
      <c r="A306" s="596"/>
      <c r="B306" s="597">
        <f>COUNTA(B6:B305)</f>
        <v>300</v>
      </c>
      <c r="C306" s="335">
        <f t="shared" ref="C306:S306" si="20">SUM(C6:C305)</f>
        <v>1702992392.7199996</v>
      </c>
      <c r="D306" s="335">
        <f t="shared" si="20"/>
        <v>336910192.03000033</v>
      </c>
      <c r="E306" s="335">
        <f t="shared" si="20"/>
        <v>0</v>
      </c>
      <c r="F306" s="335">
        <f t="shared" si="20"/>
        <v>120898.59999999999</v>
      </c>
      <c r="G306" s="335">
        <f t="shared" si="20"/>
        <v>274949059.3499999</v>
      </c>
      <c r="H306" s="335">
        <f t="shared" si="20"/>
        <v>35928555.449999981</v>
      </c>
      <c r="I306" s="335">
        <f t="shared" si="20"/>
        <v>40975270.140000008</v>
      </c>
      <c r="J306" s="335">
        <f t="shared" si="20"/>
        <v>80353589.530000046</v>
      </c>
      <c r="K306" s="335">
        <f t="shared" si="20"/>
        <v>21427695.000000004</v>
      </c>
      <c r="L306" s="335">
        <f t="shared" si="20"/>
        <v>232116977.22000006</v>
      </c>
      <c r="M306" s="385">
        <f t="shared" si="20"/>
        <v>2725774630.0400028</v>
      </c>
      <c r="N306" s="335">
        <f t="shared" si="20"/>
        <v>86039533.399999931</v>
      </c>
      <c r="O306" s="335">
        <f t="shared" si="20"/>
        <v>81386177.850000024</v>
      </c>
      <c r="P306" s="335">
        <f t="shared" si="20"/>
        <v>113573479.40000004</v>
      </c>
      <c r="Q306" s="335">
        <f t="shared" si="20"/>
        <v>9674237.9099999946</v>
      </c>
      <c r="R306" s="335">
        <f t="shared" si="20"/>
        <v>88567415.000000045</v>
      </c>
      <c r="S306" s="335">
        <f t="shared" si="20"/>
        <v>34125814.180000015</v>
      </c>
      <c r="T306" s="385">
        <f t="shared" ref="T306" si="21">SUM(M306:S306)</f>
        <v>3139141287.7800026</v>
      </c>
      <c r="U306" s="335">
        <f>SUM(U6:U305)</f>
        <v>-31681422.970000003</v>
      </c>
      <c r="V306" s="335">
        <f>SUM(V6:V305)</f>
        <v>-35431.199999999997</v>
      </c>
      <c r="W306" s="335">
        <f>SUM(W6:W305)</f>
        <v>-5868235.3999999985</v>
      </c>
      <c r="X306" s="336"/>
      <c r="Y306" s="336"/>
      <c r="Z306" s="335">
        <f>SUM(Z6:Z305)</f>
        <v>830791</v>
      </c>
      <c r="AA306" s="598"/>
      <c r="AB306" s="335">
        <f>SUM(AB6:AB305)</f>
        <v>54848969.359999999</v>
      </c>
      <c r="AC306" s="338">
        <f>AB306/VPI!R306</f>
        <v>1.3780335015296035</v>
      </c>
      <c r="AD306" s="340">
        <f>SUM(AD6:AD305)</f>
        <v>192379416.30000001</v>
      </c>
      <c r="AE306" s="338">
        <f>AD306/VPI!R306</f>
        <v>4.8333684982501248</v>
      </c>
      <c r="AF306" s="335">
        <f>SUM(AF6:AF305)</f>
        <v>247228385.66</v>
      </c>
      <c r="AG306" s="335">
        <f>SUM(AG6:AG305)</f>
        <v>210221660.65000001</v>
      </c>
      <c r="AH306" s="335">
        <f>SUM(AH6:AH305)</f>
        <v>40123998</v>
      </c>
      <c r="AJ306" s="335">
        <f>SUM(AJ6:AJ305)</f>
        <v>602221</v>
      </c>
      <c r="AK306" s="338">
        <f>AJ306/VPI!R306</f>
        <v>1.5130288189696977E-2</v>
      </c>
      <c r="AL306" s="340">
        <f>SUM(AL6:AL305)</f>
        <v>19716726.509999998</v>
      </c>
      <c r="AM306" s="338">
        <f>AL306/VPI!R306</f>
        <v>0.49536591094255811</v>
      </c>
      <c r="AN306" s="335">
        <f>SUM(AN6:AN305)</f>
        <v>20318947.509999998</v>
      </c>
      <c r="AP306" s="599"/>
      <c r="AR306" s="600">
        <f>SUM(AR6:AR305)</f>
        <v>49</v>
      </c>
    </row>
    <row r="307" spans="1:44" s="562" customFormat="1" x14ac:dyDescent="0.25">
      <c r="A307" s="563"/>
      <c r="C307" s="601"/>
      <c r="AC307" s="507"/>
    </row>
    <row r="308" spans="1:44" x14ac:dyDescent="0.25">
      <c r="C308" s="507"/>
      <c r="N308" s="507"/>
      <c r="O308" s="507"/>
      <c r="P308" s="507"/>
      <c r="Q308" s="507"/>
      <c r="R308" s="507"/>
      <c r="S308" s="507"/>
      <c r="Z308" s="507"/>
    </row>
    <row r="311" spans="1:44" x14ac:dyDescent="0.25">
      <c r="D311" s="598"/>
      <c r="E311" s="598"/>
      <c r="F311" s="598"/>
      <c r="G311" s="598"/>
      <c r="H311" s="598"/>
      <c r="I311" s="598"/>
      <c r="J311" s="598"/>
      <c r="K311" s="598"/>
      <c r="L311" s="598"/>
      <c r="M311" s="598"/>
      <c r="N311" s="598"/>
      <c r="O311" s="598"/>
      <c r="P311" s="598"/>
      <c r="Q311" s="598"/>
      <c r="R311" s="598"/>
      <c r="S311" s="598"/>
      <c r="T311" s="598"/>
      <c r="U311" s="598"/>
      <c r="V311" s="598"/>
      <c r="W311" s="598"/>
      <c r="X311" s="598"/>
      <c r="Y311" s="598"/>
      <c r="Z311" s="598"/>
      <c r="AA311" s="598"/>
      <c r="AB311" s="598"/>
      <c r="AC311" s="598"/>
      <c r="AD311" s="598"/>
      <c r="AE311" s="598"/>
      <c r="AF311" s="598"/>
      <c r="AG311" s="598"/>
      <c r="AH311" s="598"/>
      <c r="AI311" s="598"/>
      <c r="AJ311" s="598"/>
      <c r="AK311" s="598"/>
      <c r="AL311" s="598"/>
      <c r="AM311" s="598"/>
      <c r="AN311" s="598"/>
      <c r="AO311" s="598"/>
      <c r="AP311" s="598"/>
      <c r="AQ311" s="598"/>
      <c r="AR311" s="598"/>
    </row>
    <row r="320" spans="1:44" x14ac:dyDescent="0.25">
      <c r="D320" s="598"/>
      <c r="E320" s="598"/>
      <c r="F320" s="598"/>
      <c r="G320" s="598"/>
      <c r="H320" s="598"/>
      <c r="I320" s="598"/>
      <c r="J320" s="598"/>
      <c r="K320" s="598"/>
      <c r="L320" s="598"/>
      <c r="M320" s="598"/>
      <c r="N320" s="598"/>
      <c r="O320" s="598"/>
      <c r="P320" s="598"/>
      <c r="Q320" s="598"/>
      <c r="R320" s="598"/>
      <c r="S320" s="598"/>
      <c r="T320" s="598"/>
      <c r="U320" s="598"/>
      <c r="V320" s="598"/>
      <c r="W320" s="598"/>
      <c r="X320" s="598"/>
      <c r="Y320" s="598"/>
      <c r="Z320" s="598"/>
      <c r="AA320" s="598"/>
      <c r="AB320" s="598"/>
      <c r="AC320" s="598"/>
      <c r="AD320" s="598"/>
      <c r="AE320" s="598"/>
      <c r="AF320" s="598"/>
      <c r="AG320" s="598"/>
      <c r="AH320" s="598"/>
      <c r="AI320" s="598"/>
      <c r="AJ320" s="598"/>
      <c r="AK320" s="598"/>
      <c r="AL320" s="598"/>
      <c r="AM320" s="598"/>
      <c r="AN320" s="598"/>
      <c r="AO320" s="598"/>
      <c r="AP320" s="598"/>
      <c r="AQ320" s="598"/>
      <c r="AR320" s="598"/>
    </row>
    <row r="324" spans="1:44" x14ac:dyDescent="0.25">
      <c r="D324" s="598"/>
      <c r="E324" s="598"/>
      <c r="F324" s="598"/>
      <c r="G324" s="598"/>
      <c r="H324" s="598"/>
      <c r="I324" s="598"/>
      <c r="J324" s="598"/>
      <c r="K324" s="598"/>
      <c r="L324" s="598"/>
      <c r="M324" s="598"/>
      <c r="N324" s="598"/>
      <c r="O324" s="598"/>
      <c r="P324" s="598"/>
      <c r="Q324" s="598"/>
      <c r="R324" s="598"/>
      <c r="S324" s="598"/>
      <c r="T324" s="598"/>
      <c r="U324" s="598"/>
      <c r="V324" s="598"/>
      <c r="W324" s="598"/>
      <c r="X324" s="598"/>
      <c r="Y324" s="598"/>
      <c r="Z324" s="598"/>
      <c r="AA324" s="598"/>
      <c r="AB324" s="598"/>
      <c r="AC324" s="598"/>
      <c r="AD324" s="598"/>
      <c r="AE324" s="598"/>
      <c r="AF324" s="598"/>
      <c r="AG324" s="598"/>
      <c r="AH324" s="598"/>
      <c r="AI324" s="598"/>
      <c r="AJ324" s="598"/>
      <c r="AK324" s="598"/>
      <c r="AL324" s="598"/>
      <c r="AM324" s="598"/>
      <c r="AN324" s="598"/>
      <c r="AO324" s="598"/>
      <c r="AP324" s="598"/>
      <c r="AQ324" s="598"/>
      <c r="AR324" s="598"/>
    </row>
    <row r="328" spans="1:44" x14ac:dyDescent="0.25">
      <c r="D328" s="598"/>
      <c r="E328" s="598"/>
      <c r="F328" s="598"/>
      <c r="G328" s="598"/>
      <c r="H328" s="598"/>
      <c r="I328" s="598"/>
      <c r="J328" s="598"/>
      <c r="K328" s="598"/>
      <c r="L328" s="598"/>
      <c r="M328" s="598"/>
      <c r="N328" s="598"/>
      <c r="O328" s="598"/>
      <c r="P328" s="598"/>
      <c r="Q328" s="598"/>
      <c r="R328" s="598"/>
      <c r="S328" s="598"/>
      <c r="T328" s="598"/>
      <c r="U328" s="598"/>
      <c r="V328" s="598"/>
      <c r="W328" s="598"/>
      <c r="X328" s="598"/>
      <c r="Y328" s="598"/>
      <c r="Z328" s="598"/>
      <c r="AA328" s="598"/>
      <c r="AB328" s="598"/>
      <c r="AC328" s="598"/>
      <c r="AD328" s="598"/>
      <c r="AE328" s="598"/>
      <c r="AF328" s="598"/>
      <c r="AG328" s="598"/>
      <c r="AH328" s="598"/>
      <c r="AI328" s="598"/>
      <c r="AJ328" s="598"/>
      <c r="AK328" s="598"/>
      <c r="AL328" s="598"/>
      <c r="AM328" s="598"/>
      <c r="AN328" s="598"/>
      <c r="AO328" s="598"/>
      <c r="AP328" s="598"/>
      <c r="AQ328" s="598"/>
      <c r="AR328" s="598"/>
    </row>
    <row r="331" spans="1:44" s="562" customFormat="1" x14ac:dyDescent="0.25">
      <c r="A331" s="563"/>
      <c r="C331" s="601"/>
    </row>
    <row r="332" spans="1:44" s="562" customFormat="1" x14ac:dyDescent="0.25">
      <c r="A332" s="563"/>
      <c r="C332" s="601"/>
      <c r="D332" s="601"/>
      <c r="E332" s="601"/>
      <c r="F332" s="601"/>
      <c r="G332" s="601"/>
      <c r="H332" s="601"/>
      <c r="I332" s="601"/>
      <c r="J332" s="601"/>
      <c r="K332" s="601"/>
      <c r="L332" s="601"/>
      <c r="M332" s="601"/>
      <c r="N332" s="601"/>
      <c r="O332" s="601"/>
      <c r="P332" s="601"/>
      <c r="Q332" s="601"/>
      <c r="R332" s="601"/>
      <c r="S332" s="601"/>
      <c r="T332" s="601"/>
      <c r="U332" s="601"/>
      <c r="V332" s="601"/>
      <c r="W332" s="601"/>
      <c r="X332" s="601"/>
      <c r="Y332" s="601"/>
      <c r="Z332" s="601"/>
      <c r="AA332" s="601"/>
      <c r="AB332" s="601"/>
      <c r="AC332" s="601"/>
      <c r="AD332" s="601"/>
      <c r="AE332" s="601"/>
      <c r="AF332" s="601"/>
      <c r="AG332" s="601"/>
      <c r="AH332" s="601"/>
      <c r="AI332" s="601"/>
      <c r="AJ332" s="601"/>
      <c r="AK332" s="601"/>
      <c r="AL332" s="601"/>
      <c r="AM332" s="601"/>
      <c r="AN332" s="601"/>
      <c r="AO332" s="601"/>
      <c r="AP332" s="601"/>
      <c r="AQ332" s="601"/>
      <c r="AR332" s="601"/>
    </row>
    <row r="333" spans="1:44" s="562" customFormat="1" x14ac:dyDescent="0.25">
      <c r="A333" s="563"/>
      <c r="C333" s="601"/>
      <c r="D333" s="601"/>
      <c r="E333" s="601"/>
      <c r="F333" s="601"/>
      <c r="G333" s="601"/>
      <c r="H333" s="601"/>
      <c r="I333" s="601"/>
      <c r="J333" s="601"/>
      <c r="K333" s="601"/>
      <c r="L333" s="601"/>
      <c r="M333" s="601"/>
      <c r="N333" s="601"/>
      <c r="O333" s="601"/>
      <c r="P333" s="601"/>
      <c r="Q333" s="601"/>
      <c r="R333" s="601"/>
      <c r="S333" s="601"/>
      <c r="T333" s="601"/>
      <c r="U333" s="601"/>
      <c r="V333" s="601"/>
      <c r="W333" s="601"/>
      <c r="X333" s="601"/>
      <c r="Y333" s="601"/>
      <c r="Z333" s="601"/>
      <c r="AA333" s="601"/>
      <c r="AB333" s="601"/>
      <c r="AC333" s="601"/>
      <c r="AD333" s="601"/>
      <c r="AE333" s="601"/>
      <c r="AF333" s="601"/>
      <c r="AG333" s="601"/>
      <c r="AH333" s="601"/>
      <c r="AI333" s="601"/>
      <c r="AJ333" s="601"/>
      <c r="AK333" s="601"/>
      <c r="AL333" s="601"/>
      <c r="AM333" s="601"/>
      <c r="AN333" s="601"/>
      <c r="AO333" s="601"/>
      <c r="AP333" s="601"/>
      <c r="AQ333" s="601"/>
      <c r="AR333" s="601"/>
    </row>
    <row r="335" spans="1:44" x14ac:dyDescent="0.25">
      <c r="C335" s="603"/>
      <c r="D335" s="603"/>
    </row>
    <row r="336" spans="1:44" x14ac:dyDescent="0.25">
      <c r="C336" s="603"/>
      <c r="D336" s="603"/>
    </row>
    <row r="337" spans="3:4" x14ac:dyDescent="0.25">
      <c r="C337" s="603"/>
      <c r="D337" s="603"/>
    </row>
    <row r="338" spans="3:4" x14ac:dyDescent="0.25">
      <c r="C338" s="603"/>
      <c r="D338" s="603"/>
    </row>
  </sheetData>
  <sheetProtection sheet="1" objects="1" scenarios="1"/>
  <mergeCells count="19">
    <mergeCell ref="A4:A5"/>
    <mergeCell ref="B4:B5"/>
    <mergeCell ref="Q4:Q5"/>
    <mergeCell ref="Y4:Y5"/>
    <mergeCell ref="U4:U5"/>
    <mergeCell ref="W4:W5"/>
    <mergeCell ref="V4:V5"/>
    <mergeCell ref="S4:S5"/>
    <mergeCell ref="AR4:AR5"/>
    <mergeCell ref="AN4:AN5"/>
    <mergeCell ref="AB3:AF3"/>
    <mergeCell ref="AB4:AC4"/>
    <mergeCell ref="AJ4:AK4"/>
    <mergeCell ref="AL4:AM4"/>
    <mergeCell ref="AJ3:AN3"/>
    <mergeCell ref="AD4:AE4"/>
    <mergeCell ref="AF4:AF5"/>
    <mergeCell ref="AG4:AG5"/>
    <mergeCell ref="AH4:AH5"/>
  </mergeCells>
  <phoneticPr fontId="21" type="noConversion"/>
  <hyperlinks>
    <hyperlink ref="C1" location="Recherche!A1" display="← Précédent" xr:uid="{9DFAD010-0C97-42DF-A3FC-76FBADDC6AFF}"/>
    <hyperlink ref="D1" location="'Table des matières'!A1" display="Table des matières" xr:uid="{DD040F16-3F41-415E-ABBC-CF6EBDE17DB0}"/>
    <hyperlink ref="E1" location="VPI!A1" display="Suivant →" xr:uid="{0BFBE454-28CA-492D-AAD2-6B120C6EA93F}"/>
  </hyperlinks>
  <pageMargins left="0.19685039370078741" right="0.3937007874015748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3" tint="0.59999389629810485"/>
  </sheetPr>
  <dimension ref="A1:R317"/>
  <sheetViews>
    <sheetView zoomScaleNormal="100" workbookViewId="0">
      <pane ySplit="5" topLeftCell="A6" activePane="bottomLeft" state="frozen"/>
      <selection activeCell="X73" sqref="X73"/>
      <selection pane="bottomLeft" activeCell="A6" sqref="A6"/>
    </sheetView>
  </sheetViews>
  <sheetFormatPr baseColWidth="10" defaultColWidth="8.625" defaultRowHeight="15" x14ac:dyDescent="0.25"/>
  <cols>
    <col min="1" max="1" width="7.625" style="3" customWidth="1"/>
    <col min="2" max="2" width="21.625" style="11" customWidth="1"/>
    <col min="3" max="3" width="12" style="11" customWidth="1"/>
    <col min="4" max="4" width="20.625" style="5" customWidth="1"/>
    <col min="5" max="5" width="12" style="11" bestFit="1" customWidth="1"/>
    <col min="6" max="6" width="9.875" style="5" bestFit="1" customWidth="1"/>
    <col min="7" max="7" width="10.25" style="11" bestFit="1" customWidth="1"/>
    <col min="8" max="8" width="9.875" style="11" bestFit="1" customWidth="1"/>
    <col min="9" max="9" width="12.875" style="11" customWidth="1"/>
    <col min="10" max="10" width="10.25" style="11" customWidth="1"/>
    <col min="11" max="11" width="15.75" style="11" customWidth="1"/>
    <col min="12" max="12" width="13" style="158" customWidth="1"/>
    <col min="13" max="13" width="10" style="11" bestFit="1" customWidth="1"/>
    <col min="14" max="14" width="13.375" style="11" customWidth="1"/>
    <col min="15" max="15" width="12.875" style="13" customWidth="1"/>
    <col min="16" max="16" width="14.25" style="11" bestFit="1" customWidth="1"/>
    <col min="17" max="17" width="11.25" style="11" customWidth="1"/>
    <col min="18" max="18" width="14.25" style="11" customWidth="1"/>
    <col min="19" max="19" width="9.875" style="11" bestFit="1" customWidth="1"/>
    <col min="20" max="16384" width="8.625" style="11"/>
  </cols>
  <sheetData>
    <row r="1" spans="1:18" ht="26.25" customHeight="1" x14ac:dyDescent="0.4">
      <c r="A1" s="206" t="s">
        <v>408</v>
      </c>
      <c r="B1" s="21"/>
      <c r="C1" s="21"/>
      <c r="E1" s="229" t="s">
        <v>403</v>
      </c>
      <c r="F1" s="230" t="s">
        <v>395</v>
      </c>
      <c r="G1" s="389" t="s">
        <v>404</v>
      </c>
      <c r="H1" s="3"/>
      <c r="I1" s="284"/>
      <c r="J1" s="284"/>
      <c r="K1" s="284"/>
      <c r="L1" s="284"/>
      <c r="M1" s="284"/>
      <c r="N1" s="284"/>
      <c r="O1" s="284"/>
      <c r="P1" s="284"/>
      <c r="Q1" s="284"/>
      <c r="R1" s="284"/>
    </row>
    <row r="2" spans="1:18" ht="15.75" customHeight="1" x14ac:dyDescent="0.35">
      <c r="A2" s="280" t="str">
        <f>Paramètres!B4</f>
        <v>Acomptes 2024</v>
      </c>
      <c r="C2" s="20"/>
      <c r="E2" s="23"/>
      <c r="G2" s="24"/>
      <c r="H2" s="3"/>
      <c r="I2" s="284"/>
      <c r="J2" s="284"/>
      <c r="K2" s="284"/>
      <c r="L2" s="284"/>
      <c r="M2" s="284"/>
      <c r="N2" s="284"/>
      <c r="O2" s="284"/>
      <c r="P2" s="284"/>
      <c r="Q2" s="284"/>
      <c r="R2" s="284"/>
    </row>
    <row r="3" spans="1:18" x14ac:dyDescent="0.25">
      <c r="A3" s="2"/>
      <c r="B3" s="281"/>
      <c r="C3" s="3"/>
      <c r="E3" s="23"/>
      <c r="G3" s="3"/>
      <c r="H3" s="3"/>
      <c r="I3" s="3"/>
      <c r="J3" s="3"/>
      <c r="K3" s="3"/>
    </row>
    <row r="4" spans="1:18" s="14" customFormat="1" ht="45" x14ac:dyDescent="0.2">
      <c r="A4" s="667" t="s">
        <v>44</v>
      </c>
      <c r="B4" s="663" t="s">
        <v>84</v>
      </c>
      <c r="C4" s="341" t="s">
        <v>512</v>
      </c>
      <c r="D4" s="341" t="s">
        <v>513</v>
      </c>
      <c r="E4" s="342" t="s">
        <v>416</v>
      </c>
      <c r="F4" s="341" t="s">
        <v>527</v>
      </c>
      <c r="G4" s="341" t="s">
        <v>312</v>
      </c>
      <c r="H4" s="669" t="s">
        <v>219</v>
      </c>
      <c r="I4" s="671" t="s">
        <v>526</v>
      </c>
      <c r="J4" s="669" t="s">
        <v>220</v>
      </c>
      <c r="K4" s="669" t="s">
        <v>337</v>
      </c>
      <c r="L4" s="665" t="s">
        <v>289</v>
      </c>
      <c r="M4" s="341" t="s">
        <v>224</v>
      </c>
      <c r="N4" s="341" t="s">
        <v>446</v>
      </c>
      <c r="O4" s="663" t="s">
        <v>417</v>
      </c>
      <c r="P4" s="665" t="s">
        <v>362</v>
      </c>
      <c r="Q4" s="343" t="s">
        <v>71</v>
      </c>
      <c r="R4" s="348" t="s">
        <v>410</v>
      </c>
    </row>
    <row r="5" spans="1:18" ht="14.25" customHeight="1" x14ac:dyDescent="0.25">
      <c r="A5" s="668"/>
      <c r="B5" s="664"/>
      <c r="C5" s="344" t="s">
        <v>528</v>
      </c>
      <c r="D5" s="345" t="s">
        <v>529</v>
      </c>
      <c r="E5" s="346" t="s">
        <v>72</v>
      </c>
      <c r="F5" s="344" t="s">
        <v>74</v>
      </c>
      <c r="G5" s="345" t="s">
        <v>75</v>
      </c>
      <c r="H5" s="670"/>
      <c r="I5" s="672"/>
      <c r="J5" s="670"/>
      <c r="K5" s="670"/>
      <c r="L5" s="666"/>
      <c r="M5" s="345" t="s">
        <v>73</v>
      </c>
      <c r="N5" s="345" t="s">
        <v>76</v>
      </c>
      <c r="O5" s="664"/>
      <c r="P5" s="666"/>
      <c r="Q5" s="347">
        <f>Paramètres!B5</f>
        <v>2022</v>
      </c>
      <c r="R5" s="349">
        <f>Paramètres!B5</f>
        <v>2022</v>
      </c>
    </row>
    <row r="6" spans="1:18" x14ac:dyDescent="0.25">
      <c r="A6" s="7">
        <f>Données!A6</f>
        <v>5401</v>
      </c>
      <c r="B6" s="27" t="str">
        <f>Données!B6</f>
        <v>Aigle</v>
      </c>
      <c r="C6" s="8">
        <f>Données!C6+Données!D6</f>
        <v>15269577.16</v>
      </c>
      <c r="D6" s="8">
        <f>+Données!G6+Données!H6+Données!S6</f>
        <v>1401316.37</v>
      </c>
      <c r="E6" s="8">
        <f>+Données!E6</f>
        <v>0</v>
      </c>
      <c r="F6" s="8">
        <f>+Données!I6</f>
        <v>46694.29</v>
      </c>
      <c r="G6" s="8">
        <f>+Données!J6</f>
        <v>732596.5</v>
      </c>
      <c r="H6" s="8">
        <f>Données!U6</f>
        <v>-379686.17</v>
      </c>
      <c r="I6" s="26">
        <f>Données!V6</f>
        <v>0</v>
      </c>
      <c r="J6" s="26">
        <f>Données!W6</f>
        <v>-10950.15</v>
      </c>
      <c r="K6" s="8">
        <f>+Données!Q6</f>
        <v>67721.289999999994</v>
      </c>
      <c r="L6" s="350">
        <f>SUM(C6:K6)</f>
        <v>17127269.289999999</v>
      </c>
      <c r="M6" s="8">
        <f>+Données!F6</f>
        <v>0</v>
      </c>
      <c r="N6" s="8">
        <f>+Données!K6</f>
        <v>228798.45</v>
      </c>
      <c r="O6" s="8">
        <f>(Données!L6/Données!Y6)*1</f>
        <v>2088690</v>
      </c>
      <c r="P6" s="350">
        <f>SUM(L6:O6)</f>
        <v>19444757.739999998</v>
      </c>
      <c r="Q6" s="28">
        <f>+Données!X6</f>
        <v>66</v>
      </c>
      <c r="R6" s="350">
        <f t="shared" ref="R6" si="0">P6/Q6</f>
        <v>294617.5415151515</v>
      </c>
    </row>
    <row r="7" spans="1:18" x14ac:dyDescent="0.25">
      <c r="A7" s="7">
        <f>Données!A7</f>
        <v>5402</v>
      </c>
      <c r="B7" s="27" t="str">
        <f>Données!B7</f>
        <v>Bex</v>
      </c>
      <c r="C7" s="8">
        <f>Données!C7+Données!D7</f>
        <v>11038183.720000001</v>
      </c>
      <c r="D7" s="8">
        <f>+Données!G7+Données!H7+Données!S7</f>
        <v>799921.66999999993</v>
      </c>
      <c r="E7" s="8">
        <f>+Données!E7</f>
        <v>0</v>
      </c>
      <c r="F7" s="8">
        <f>+Données!I7</f>
        <v>27379.55</v>
      </c>
      <c r="G7" s="8">
        <f>+Données!J7</f>
        <v>377996.02</v>
      </c>
      <c r="H7" s="8">
        <f>Données!U7</f>
        <v>-258933.35</v>
      </c>
      <c r="I7" s="154">
        <f>Données!V7</f>
        <v>0</v>
      </c>
      <c r="J7" s="154">
        <f>Données!W7</f>
        <v>-1175.92</v>
      </c>
      <c r="K7" s="8">
        <f>+Données!Q7</f>
        <v>106337.92</v>
      </c>
      <c r="L7" s="350">
        <f t="shared" ref="L7:L70" si="1">SUM(C7:K7)</f>
        <v>12089709.610000001</v>
      </c>
      <c r="M7" s="8">
        <f>+Données!F7</f>
        <v>0</v>
      </c>
      <c r="N7" s="8">
        <f>+Données!K7</f>
        <v>133607.20000000001</v>
      </c>
      <c r="O7" s="8">
        <f>(Données!L7/Données!Y7)*1</f>
        <v>1405288</v>
      </c>
      <c r="P7" s="350">
        <f t="shared" ref="P7:P70" si="2">SUM(L7:O7)</f>
        <v>13628604.810000001</v>
      </c>
      <c r="Q7" s="176">
        <f>+Données!X7</f>
        <v>71</v>
      </c>
      <c r="R7" s="350">
        <f t="shared" ref="R7:R70" si="3">P7/Q7</f>
        <v>191952.18042253522</v>
      </c>
    </row>
    <row r="8" spans="1:18" x14ac:dyDescent="0.25">
      <c r="A8" s="7">
        <f>Données!A8</f>
        <v>5403</v>
      </c>
      <c r="B8" s="27" t="str">
        <f>Données!B8</f>
        <v>Chessel</v>
      </c>
      <c r="C8" s="8">
        <f>Données!C8+Données!D8</f>
        <v>697507.13</v>
      </c>
      <c r="D8" s="8">
        <f>+Données!G8+Données!H8+Données!S8</f>
        <v>69354.75</v>
      </c>
      <c r="E8" s="8">
        <f>+Données!E8</f>
        <v>0</v>
      </c>
      <c r="F8" s="8">
        <f>+Données!I8</f>
        <v>0</v>
      </c>
      <c r="G8" s="8">
        <f>+Données!J8</f>
        <v>41708.410000000003</v>
      </c>
      <c r="H8" s="8">
        <f>Données!U8</f>
        <v>-27602.83</v>
      </c>
      <c r="I8" s="154">
        <f>Données!V8</f>
        <v>0</v>
      </c>
      <c r="J8" s="154">
        <f>Données!W8</f>
        <v>0.59</v>
      </c>
      <c r="K8" s="8">
        <f>+Données!Q8</f>
        <v>1744.89</v>
      </c>
      <c r="L8" s="350">
        <f t="shared" si="1"/>
        <v>782712.94000000006</v>
      </c>
      <c r="M8" s="8">
        <f>+Données!F8</f>
        <v>0</v>
      </c>
      <c r="N8" s="8">
        <f>+Données!K8</f>
        <v>6861.1</v>
      </c>
      <c r="O8" s="8">
        <f>(Données!L8/Données!Y8)*1</f>
        <v>89263.5</v>
      </c>
      <c r="P8" s="350">
        <f t="shared" si="2"/>
        <v>878837.54</v>
      </c>
      <c r="Q8" s="176">
        <f>+Données!X8</f>
        <v>65</v>
      </c>
      <c r="R8" s="350">
        <f t="shared" si="3"/>
        <v>13520.577538461539</v>
      </c>
    </row>
    <row r="9" spans="1:18" x14ac:dyDescent="0.25">
      <c r="A9" s="7">
        <f>Données!A9</f>
        <v>5404</v>
      </c>
      <c r="B9" s="27" t="str">
        <f>Données!B9</f>
        <v>Corbeyrier</v>
      </c>
      <c r="C9" s="8">
        <f>Données!C9+Données!D9</f>
        <v>769815.99</v>
      </c>
      <c r="D9" s="8">
        <f>+Données!G9+Données!H9+Données!S9</f>
        <v>6632.83</v>
      </c>
      <c r="E9" s="8">
        <f>+Données!E9</f>
        <v>0</v>
      </c>
      <c r="F9" s="8">
        <f>+Données!I9</f>
        <v>0</v>
      </c>
      <c r="G9" s="8">
        <f>+Données!J9</f>
        <v>8970.39</v>
      </c>
      <c r="H9" s="8">
        <f>Données!U9</f>
        <v>-12569.58</v>
      </c>
      <c r="I9" s="154">
        <f>Données!V9</f>
        <v>0</v>
      </c>
      <c r="J9" s="154">
        <f>Données!W9</f>
        <v>-1764.13</v>
      </c>
      <c r="K9" s="8">
        <f>+Données!Q9</f>
        <v>553.05999999999995</v>
      </c>
      <c r="L9" s="350">
        <f t="shared" si="1"/>
        <v>771638.56</v>
      </c>
      <c r="M9" s="8">
        <f>+Données!F9</f>
        <v>0</v>
      </c>
      <c r="N9" s="8">
        <f>+Données!K9</f>
        <v>1763.05</v>
      </c>
      <c r="O9" s="8">
        <f>(Données!L9/Données!Y9)*1</f>
        <v>89673.433333333334</v>
      </c>
      <c r="P9" s="350">
        <f t="shared" si="2"/>
        <v>863075.04333333345</v>
      </c>
      <c r="Q9" s="176">
        <f>+Données!X9</f>
        <v>74</v>
      </c>
      <c r="R9" s="350">
        <f t="shared" si="3"/>
        <v>11663.176261261262</v>
      </c>
    </row>
    <row r="10" spans="1:18" x14ac:dyDescent="0.25">
      <c r="A10" s="7">
        <f>Données!A10</f>
        <v>5405</v>
      </c>
      <c r="B10" s="27" t="str">
        <f>Données!B10</f>
        <v>Gryon</v>
      </c>
      <c r="C10" s="8">
        <f>Données!C10+Données!D10</f>
        <v>4342407.32</v>
      </c>
      <c r="D10" s="8">
        <f>+Données!G10+Données!H10+Données!S10</f>
        <v>139722.18</v>
      </c>
      <c r="E10" s="8">
        <f>+Données!E10</f>
        <v>0</v>
      </c>
      <c r="F10" s="8">
        <f>+Données!I10</f>
        <v>84568.01</v>
      </c>
      <c r="G10" s="8">
        <f>+Données!J10</f>
        <v>155104.95000000001</v>
      </c>
      <c r="H10" s="8">
        <f>Données!U10</f>
        <v>-276779.18</v>
      </c>
      <c r="I10" s="154">
        <f>Données!V10</f>
        <v>0</v>
      </c>
      <c r="J10" s="154">
        <f>Données!W10</f>
        <v>-6866.63</v>
      </c>
      <c r="K10" s="8">
        <f>+Données!Q10</f>
        <v>101969.08</v>
      </c>
      <c r="L10" s="350">
        <f t="shared" si="1"/>
        <v>4540125.7300000004</v>
      </c>
      <c r="M10" s="8">
        <f>+Données!F10</f>
        <v>0</v>
      </c>
      <c r="N10" s="8">
        <f>+Données!K10</f>
        <v>21060.9</v>
      </c>
      <c r="O10" s="8">
        <f>(Données!L10/Données!Y10)*1</f>
        <v>825238.43333333323</v>
      </c>
      <c r="P10" s="350">
        <f t="shared" si="2"/>
        <v>5386425.0633333344</v>
      </c>
      <c r="Q10" s="176">
        <f>+Données!X10</f>
        <v>73.5</v>
      </c>
      <c r="R10" s="350">
        <f t="shared" si="3"/>
        <v>73284.694739229046</v>
      </c>
    </row>
    <row r="11" spans="1:18" x14ac:dyDescent="0.25">
      <c r="A11" s="7">
        <f>Données!A11</f>
        <v>5406</v>
      </c>
      <c r="B11" s="27" t="str">
        <f>Données!B11</f>
        <v>Lavey-Morcles</v>
      </c>
      <c r="C11" s="8">
        <f>Données!C11+Données!D11</f>
        <v>1324702.21</v>
      </c>
      <c r="D11" s="8">
        <f>+Données!G11+Données!H11+Données!S11</f>
        <v>48216.399999999994</v>
      </c>
      <c r="E11" s="8">
        <f>+Données!E11</f>
        <v>0</v>
      </c>
      <c r="F11" s="8">
        <f>+Données!I11</f>
        <v>0</v>
      </c>
      <c r="G11" s="8">
        <f>+Données!J11</f>
        <v>43829.760000000002</v>
      </c>
      <c r="H11" s="8">
        <f>Données!U11</f>
        <v>-19647.5</v>
      </c>
      <c r="I11" s="154">
        <f>Données!V11</f>
        <v>0</v>
      </c>
      <c r="J11" s="154">
        <f>Données!W11</f>
        <v>0</v>
      </c>
      <c r="K11" s="8">
        <f>+Données!Q11</f>
        <v>16420.2</v>
      </c>
      <c r="L11" s="350">
        <f t="shared" si="1"/>
        <v>1413521.0699999998</v>
      </c>
      <c r="M11" s="8">
        <f>+Données!F11</f>
        <v>0</v>
      </c>
      <c r="N11" s="8">
        <f>+Données!K11</f>
        <v>6049.5</v>
      </c>
      <c r="O11" s="8">
        <f>(Données!L11/Données!Y11)*1</f>
        <v>161365.23076923075</v>
      </c>
      <c r="P11" s="350">
        <f t="shared" si="2"/>
        <v>1580935.8007692306</v>
      </c>
      <c r="Q11" s="176">
        <f>+Données!X11</f>
        <v>71.5</v>
      </c>
      <c r="R11" s="350">
        <f t="shared" si="3"/>
        <v>22110.99022054868</v>
      </c>
    </row>
    <row r="12" spans="1:18" x14ac:dyDescent="0.25">
      <c r="A12" s="7">
        <f>Données!A12</f>
        <v>5407</v>
      </c>
      <c r="B12" s="27" t="str">
        <f>Données!B12</f>
        <v>Leysin</v>
      </c>
      <c r="C12" s="8">
        <f>Données!C12+Données!D12</f>
        <v>5457733.4499999993</v>
      </c>
      <c r="D12" s="8">
        <f>+Données!G12+Données!H12+Données!S12</f>
        <v>97033.12000000001</v>
      </c>
      <c r="E12" s="8">
        <f>+Données!E12</f>
        <v>0</v>
      </c>
      <c r="F12" s="8">
        <f>+Données!I12</f>
        <v>79181.899999999994</v>
      </c>
      <c r="G12" s="8">
        <f>+Données!J12</f>
        <v>524661.31999999995</v>
      </c>
      <c r="H12" s="8">
        <f>Données!U12</f>
        <v>-79299.17</v>
      </c>
      <c r="I12" s="154">
        <f>Données!V12</f>
        <v>0</v>
      </c>
      <c r="J12" s="154">
        <f>Données!W12</f>
        <v>-4314.79</v>
      </c>
      <c r="K12" s="8">
        <f>+Données!Q12</f>
        <v>7665.81</v>
      </c>
      <c r="L12" s="350">
        <f t="shared" si="1"/>
        <v>6082661.6399999997</v>
      </c>
      <c r="M12" s="8">
        <f>+Données!F12</f>
        <v>0</v>
      </c>
      <c r="N12" s="8">
        <f>+Données!K12</f>
        <v>66066.5</v>
      </c>
      <c r="O12" s="8">
        <f>(Données!L12/Données!Y12)*1</f>
        <v>858824.46666666667</v>
      </c>
      <c r="P12" s="350">
        <f t="shared" si="2"/>
        <v>7007552.6066666665</v>
      </c>
      <c r="Q12" s="176">
        <f>+Données!X12</f>
        <v>78</v>
      </c>
      <c r="R12" s="350">
        <f t="shared" si="3"/>
        <v>89840.418034188027</v>
      </c>
    </row>
    <row r="13" spans="1:18" x14ac:dyDescent="0.25">
      <c r="A13" s="7">
        <f>Données!A13</f>
        <v>5408</v>
      </c>
      <c r="B13" s="27" t="str">
        <f>Données!B13</f>
        <v>Noville</v>
      </c>
      <c r="C13" s="8">
        <f>Données!C13+Données!D13</f>
        <v>2495077.4800000004</v>
      </c>
      <c r="D13" s="8">
        <f>+Données!G13+Données!H13+Données!S13</f>
        <v>240913.75</v>
      </c>
      <c r="E13" s="8">
        <f>+Données!E13</f>
        <v>0</v>
      </c>
      <c r="F13" s="8">
        <f>+Données!I13</f>
        <v>0</v>
      </c>
      <c r="G13" s="8">
        <f>+Données!J13</f>
        <v>45375.89</v>
      </c>
      <c r="H13" s="8">
        <f>Données!U13</f>
        <v>-12136.44</v>
      </c>
      <c r="I13" s="154">
        <f>Données!V13</f>
        <v>0</v>
      </c>
      <c r="J13" s="154">
        <f>Données!W13</f>
        <v>-315.11</v>
      </c>
      <c r="K13" s="8">
        <f>+Données!Q13</f>
        <v>10805.47</v>
      </c>
      <c r="L13" s="350">
        <f t="shared" si="1"/>
        <v>2779721.040000001</v>
      </c>
      <c r="M13" s="8">
        <f>+Données!F13</f>
        <v>0</v>
      </c>
      <c r="N13" s="8">
        <f>+Données!K13</f>
        <v>13990.5</v>
      </c>
      <c r="O13" s="8">
        <f>(Données!L13/Données!Y13)*1</f>
        <v>354099.3666666667</v>
      </c>
      <c r="P13" s="350">
        <f t="shared" si="2"/>
        <v>3147810.9066666677</v>
      </c>
      <c r="Q13" s="176">
        <f>+Données!X13</f>
        <v>75</v>
      </c>
      <c r="R13" s="350">
        <f t="shared" si="3"/>
        <v>41970.812088888903</v>
      </c>
    </row>
    <row r="14" spans="1:18" x14ac:dyDescent="0.25">
      <c r="A14" s="7">
        <f>Données!A14</f>
        <v>5409</v>
      </c>
      <c r="B14" s="27" t="str">
        <f>Données!B14</f>
        <v>Ollon</v>
      </c>
      <c r="C14" s="8">
        <f>Données!C14+Données!D14</f>
        <v>20677183.739999998</v>
      </c>
      <c r="D14" s="8">
        <f>+Données!G14+Données!H14+Données!S14</f>
        <v>732079.54</v>
      </c>
      <c r="E14" s="8">
        <f>+Données!E14</f>
        <v>0</v>
      </c>
      <c r="F14" s="8">
        <f>+Données!I14</f>
        <v>2125016.7000000002</v>
      </c>
      <c r="G14" s="8">
        <f>+Données!J14</f>
        <v>750992.26</v>
      </c>
      <c r="H14" s="8">
        <f>Données!U14</f>
        <v>-188383.66</v>
      </c>
      <c r="I14" s="154">
        <f>Données!V14</f>
        <v>0</v>
      </c>
      <c r="J14" s="154">
        <f>Données!W14</f>
        <v>-34093.519999999997</v>
      </c>
      <c r="K14" s="8">
        <f>+Données!Q14</f>
        <v>154857.75</v>
      </c>
      <c r="L14" s="350">
        <f t="shared" si="1"/>
        <v>24217652.809999999</v>
      </c>
      <c r="M14" s="8">
        <f>+Données!F14</f>
        <v>0</v>
      </c>
      <c r="N14" s="8">
        <f>+Données!K14</f>
        <v>32427.4</v>
      </c>
      <c r="O14" s="8">
        <f>(Données!L14/Données!Y14)*1</f>
        <v>3353138.7307692305</v>
      </c>
      <c r="P14" s="350">
        <f t="shared" si="2"/>
        <v>27603218.940769229</v>
      </c>
      <c r="Q14" s="176">
        <f>+Données!X14</f>
        <v>68</v>
      </c>
      <c r="R14" s="350">
        <f t="shared" si="3"/>
        <v>405929.69030542986</v>
      </c>
    </row>
    <row r="15" spans="1:18" x14ac:dyDescent="0.25">
      <c r="A15" s="7">
        <f>Données!A15</f>
        <v>5410</v>
      </c>
      <c r="B15" s="27" t="str">
        <f>Données!B15</f>
        <v>Ormont-Dessous</v>
      </c>
      <c r="C15" s="8">
        <f>Données!C15+Données!D15</f>
        <v>2516741.98</v>
      </c>
      <c r="D15" s="8">
        <f>+Données!G15+Données!H15+Données!S15</f>
        <v>41195.81</v>
      </c>
      <c r="E15" s="8">
        <f>+Données!E15</f>
        <v>0</v>
      </c>
      <c r="F15" s="8">
        <f>+Données!I15</f>
        <v>0</v>
      </c>
      <c r="G15" s="8">
        <f>+Données!J15</f>
        <v>69775.56</v>
      </c>
      <c r="H15" s="8">
        <f>Données!U15</f>
        <v>-98476.02</v>
      </c>
      <c r="I15" s="154">
        <f>Données!V15</f>
        <v>0</v>
      </c>
      <c r="J15" s="154">
        <f>Données!W15</f>
        <v>-234.34</v>
      </c>
      <c r="K15" s="8">
        <f>+Données!Q15</f>
        <v>19210.84</v>
      </c>
      <c r="L15" s="350">
        <f t="shared" si="1"/>
        <v>2548213.83</v>
      </c>
      <c r="M15" s="8">
        <f>+Données!F15</f>
        <v>0</v>
      </c>
      <c r="N15" s="8">
        <f>+Données!K15</f>
        <v>11208</v>
      </c>
      <c r="O15" s="8">
        <f>(Données!L15/Données!Y15)*1</f>
        <v>398373.66666666669</v>
      </c>
      <c r="P15" s="350">
        <f t="shared" si="2"/>
        <v>2957795.4966666666</v>
      </c>
      <c r="Q15" s="176">
        <f>+Données!X15</f>
        <v>77</v>
      </c>
      <c r="R15" s="350">
        <f t="shared" si="3"/>
        <v>38412.928528138524</v>
      </c>
    </row>
    <row r="16" spans="1:18" x14ac:dyDescent="0.25">
      <c r="A16" s="7">
        <f>Données!A16</f>
        <v>5411</v>
      </c>
      <c r="B16" s="27" t="str">
        <f>Données!B16</f>
        <v>Ormont-Dessus</v>
      </c>
      <c r="C16" s="8">
        <f>Données!C16+Données!D16</f>
        <v>4514308.95</v>
      </c>
      <c r="D16" s="8">
        <f>+Données!G16+Données!H16+Données!S16</f>
        <v>144302.99</v>
      </c>
      <c r="E16" s="8">
        <f>+Données!E16</f>
        <v>0</v>
      </c>
      <c r="F16" s="8">
        <f>+Données!I16</f>
        <v>97632</v>
      </c>
      <c r="G16" s="8">
        <f>+Données!J16</f>
        <v>192715.39</v>
      </c>
      <c r="H16" s="8">
        <f>Données!U16</f>
        <v>-28821.02</v>
      </c>
      <c r="I16" s="154">
        <f>Données!V16</f>
        <v>0</v>
      </c>
      <c r="J16" s="154">
        <f>Données!W16</f>
        <v>-1094.0899999999999</v>
      </c>
      <c r="K16" s="8">
        <f>+Données!Q16</f>
        <v>-9292.84</v>
      </c>
      <c r="L16" s="350">
        <f t="shared" si="1"/>
        <v>4909751.3800000008</v>
      </c>
      <c r="M16" s="8">
        <f>+Données!F16</f>
        <v>0</v>
      </c>
      <c r="N16" s="8">
        <f>+Données!K16</f>
        <v>6193.95</v>
      </c>
      <c r="O16" s="8">
        <f>(Données!L16/Données!Y16)*1</f>
        <v>872210.70000000007</v>
      </c>
      <c r="P16" s="350">
        <f t="shared" si="2"/>
        <v>5788156.0300000012</v>
      </c>
      <c r="Q16" s="176">
        <f>+Données!X16</f>
        <v>76</v>
      </c>
      <c r="R16" s="350">
        <f t="shared" si="3"/>
        <v>76159.947763157907</v>
      </c>
    </row>
    <row r="17" spans="1:18" x14ac:dyDescent="0.25">
      <c r="A17" s="7">
        <f>Données!A17</f>
        <v>5412</v>
      </c>
      <c r="B17" s="27" t="str">
        <f>Données!B17</f>
        <v>Rennaz</v>
      </c>
      <c r="C17" s="8">
        <f>Données!C17+Données!D17</f>
        <v>1486104.04</v>
      </c>
      <c r="D17" s="8">
        <f>+Données!G17+Données!H17+Données!S17</f>
        <v>339203.72</v>
      </c>
      <c r="E17" s="8">
        <f>+Données!E17</f>
        <v>0</v>
      </c>
      <c r="F17" s="8">
        <f>+Données!I17</f>
        <v>37.049999999999301</v>
      </c>
      <c r="G17" s="8">
        <f>+Données!J17</f>
        <v>109928.61</v>
      </c>
      <c r="H17" s="8">
        <f>Données!U17</f>
        <v>-68314.45</v>
      </c>
      <c r="I17" s="154">
        <f>Données!V17</f>
        <v>0</v>
      </c>
      <c r="J17" s="154">
        <f>Données!W17</f>
        <v>-288.02999999999997</v>
      </c>
      <c r="K17" s="8">
        <f>+Données!Q17</f>
        <v>19765.23</v>
      </c>
      <c r="L17" s="350">
        <f t="shared" si="1"/>
        <v>1886436.1700000002</v>
      </c>
      <c r="M17" s="8">
        <f>+Données!F17</f>
        <v>0</v>
      </c>
      <c r="N17" s="8">
        <f>+Données!K17</f>
        <v>49964.95</v>
      </c>
      <c r="O17" s="8">
        <f>(Données!L17/Données!Y17)*1</f>
        <v>287918.09999999998</v>
      </c>
      <c r="P17" s="350">
        <f t="shared" si="2"/>
        <v>2224319.2200000002</v>
      </c>
      <c r="Q17" s="176">
        <f>+Données!X17</f>
        <v>69</v>
      </c>
      <c r="R17" s="350">
        <f t="shared" si="3"/>
        <v>32236.510434782613</v>
      </c>
    </row>
    <row r="18" spans="1:18" x14ac:dyDescent="0.25">
      <c r="A18" s="7">
        <f>Données!A18</f>
        <v>5413</v>
      </c>
      <c r="B18" s="27" t="str">
        <f>Données!B18</f>
        <v>Roche</v>
      </c>
      <c r="C18" s="8">
        <f>Données!C18+Données!D18</f>
        <v>2115413.0499999998</v>
      </c>
      <c r="D18" s="8">
        <f>+Données!G18+Données!H18+Données!S18</f>
        <v>429877.32</v>
      </c>
      <c r="E18" s="8">
        <f>+Données!E18</f>
        <v>0</v>
      </c>
      <c r="F18" s="8">
        <f>+Données!I18</f>
        <v>0</v>
      </c>
      <c r="G18" s="8">
        <f>+Données!J18</f>
        <v>68420.490000000005</v>
      </c>
      <c r="H18" s="8">
        <f>Données!U18</f>
        <v>-92620.88</v>
      </c>
      <c r="I18" s="154">
        <f>Données!V18</f>
        <v>0</v>
      </c>
      <c r="J18" s="154">
        <f>Données!W18</f>
        <v>-751.62</v>
      </c>
      <c r="K18" s="8">
        <f>+Données!Q18</f>
        <v>42942.97</v>
      </c>
      <c r="L18" s="350">
        <f t="shared" si="1"/>
        <v>2563281.33</v>
      </c>
      <c r="M18" s="8">
        <f>+Données!F18</f>
        <v>0</v>
      </c>
      <c r="N18" s="8">
        <f>+Données!K18</f>
        <v>35152.550000000003</v>
      </c>
      <c r="O18" s="8">
        <f>(Données!L18/Données!Y18)*1</f>
        <v>297794.20833333331</v>
      </c>
      <c r="P18" s="350">
        <f t="shared" si="2"/>
        <v>2896228.0883333334</v>
      </c>
      <c r="Q18" s="176">
        <f>+Données!X18</f>
        <v>68</v>
      </c>
      <c r="R18" s="350">
        <f t="shared" si="3"/>
        <v>42591.589534313724</v>
      </c>
    </row>
    <row r="19" spans="1:18" x14ac:dyDescent="0.25">
      <c r="A19" s="7">
        <f>Données!A19</f>
        <v>5414</v>
      </c>
      <c r="B19" s="27" t="str">
        <f>Données!B19</f>
        <v>Villeneuve</v>
      </c>
      <c r="C19" s="8">
        <f>Données!C19+Données!D19</f>
        <v>8438474.3900000006</v>
      </c>
      <c r="D19" s="8">
        <f>+Données!G19+Données!H19+Données!S19</f>
        <v>997823.08999999985</v>
      </c>
      <c r="E19" s="8">
        <f>+Données!E19</f>
        <v>0</v>
      </c>
      <c r="F19" s="8">
        <f>+Données!I19</f>
        <v>72086.37</v>
      </c>
      <c r="G19" s="8">
        <f>+Données!J19</f>
        <v>361921.52</v>
      </c>
      <c r="H19" s="8">
        <f>Données!U19</f>
        <v>-300306.08</v>
      </c>
      <c r="I19" s="154">
        <f>Données!V19</f>
        <v>0</v>
      </c>
      <c r="J19" s="154">
        <f>Données!W19</f>
        <v>-2070.16</v>
      </c>
      <c r="K19" s="8">
        <f>+Données!Q19</f>
        <v>134096.78</v>
      </c>
      <c r="L19" s="350">
        <f t="shared" si="1"/>
        <v>9702025.9099999983</v>
      </c>
      <c r="M19" s="8">
        <f>+Données!F19</f>
        <v>0</v>
      </c>
      <c r="N19" s="8">
        <f>+Données!K19</f>
        <v>194451.05</v>
      </c>
      <c r="O19" s="8">
        <f>(Données!L19/Données!Y19)*1</f>
        <v>1299724.3500000001</v>
      </c>
      <c r="P19" s="350">
        <f t="shared" si="2"/>
        <v>11196201.309999999</v>
      </c>
      <c r="Q19" s="176">
        <f>+Données!X19</f>
        <v>67.5</v>
      </c>
      <c r="R19" s="350">
        <f t="shared" si="3"/>
        <v>165869.64903703702</v>
      </c>
    </row>
    <row r="20" spans="1:18" x14ac:dyDescent="0.25">
      <c r="A20" s="7">
        <f>Données!A20</f>
        <v>5415</v>
      </c>
      <c r="B20" s="27" t="str">
        <f>Données!B20</f>
        <v>Yvorne</v>
      </c>
      <c r="C20" s="8">
        <f>Données!C20+Données!D20</f>
        <v>1991651.78</v>
      </c>
      <c r="D20" s="8">
        <f>+Données!G20+Données!H20+Données!S20</f>
        <v>171377.22999999998</v>
      </c>
      <c r="E20" s="8">
        <f>+Données!E20</f>
        <v>0</v>
      </c>
      <c r="F20" s="8">
        <f>+Données!I20</f>
        <v>461.9</v>
      </c>
      <c r="G20" s="8">
        <f>+Données!J20</f>
        <v>39610.120000000003</v>
      </c>
      <c r="H20" s="8">
        <f>Données!U20</f>
        <v>-38678.86</v>
      </c>
      <c r="I20" s="154">
        <f>Données!V20</f>
        <v>0</v>
      </c>
      <c r="J20" s="154">
        <f>Données!W20</f>
        <v>-2359.54</v>
      </c>
      <c r="K20" s="8">
        <f>+Données!Q20</f>
        <v>5102.67</v>
      </c>
      <c r="L20" s="350">
        <f t="shared" si="1"/>
        <v>2167165.2999999998</v>
      </c>
      <c r="M20" s="8">
        <f>+Données!F20</f>
        <v>0</v>
      </c>
      <c r="N20" s="8">
        <f>+Données!K20</f>
        <v>3493.65</v>
      </c>
      <c r="O20" s="8">
        <f>(Données!L20/Données!Y20)*1</f>
        <v>237003.43333333335</v>
      </c>
      <c r="P20" s="350">
        <f t="shared" si="2"/>
        <v>2407662.3833333328</v>
      </c>
      <c r="Q20" s="176">
        <f>+Données!X20</f>
        <v>71.5</v>
      </c>
      <c r="R20" s="350">
        <f t="shared" si="3"/>
        <v>33673.599766899759</v>
      </c>
    </row>
    <row r="21" spans="1:18" x14ac:dyDescent="0.25">
      <c r="A21" s="7">
        <f>Données!A21</f>
        <v>5422</v>
      </c>
      <c r="B21" s="27" t="str">
        <f>Données!B21</f>
        <v>Aubonne</v>
      </c>
      <c r="C21" s="8">
        <f>Données!C21+Données!D21</f>
        <v>12504628.6</v>
      </c>
      <c r="D21" s="8">
        <f>+Données!G21+Données!H21+Données!S21</f>
        <v>6988188.9100000001</v>
      </c>
      <c r="E21" s="8">
        <f>+Données!E21</f>
        <v>0</v>
      </c>
      <c r="F21" s="8">
        <f>+Données!I21</f>
        <v>193473.85</v>
      </c>
      <c r="G21" s="8">
        <f>+Données!J21</f>
        <v>318744.96999999997</v>
      </c>
      <c r="H21" s="8">
        <f>Données!U21</f>
        <v>-166116.07</v>
      </c>
      <c r="I21" s="154">
        <f>Données!V21</f>
        <v>-1249.2</v>
      </c>
      <c r="J21" s="154">
        <f>Données!W21</f>
        <v>-4446.88</v>
      </c>
      <c r="K21" s="8">
        <f>+Données!Q21</f>
        <v>11207.14</v>
      </c>
      <c r="L21" s="350">
        <f t="shared" si="1"/>
        <v>19844431.32</v>
      </c>
      <c r="M21" s="8">
        <f>+Données!F21</f>
        <v>0</v>
      </c>
      <c r="N21" s="8">
        <f>+Données!K21</f>
        <v>-164194.9</v>
      </c>
      <c r="O21" s="8">
        <f>(Données!L21/Données!Y21)*1</f>
        <v>1146763.26</v>
      </c>
      <c r="P21" s="350">
        <f t="shared" si="2"/>
        <v>20826999.680000003</v>
      </c>
      <c r="Q21" s="176">
        <f>+Données!X21</f>
        <v>70</v>
      </c>
      <c r="R21" s="350">
        <f t="shared" si="3"/>
        <v>297528.5668571429</v>
      </c>
    </row>
    <row r="22" spans="1:18" x14ac:dyDescent="0.25">
      <c r="A22" s="7">
        <f>Données!A22</f>
        <v>5423</v>
      </c>
      <c r="B22" s="27" t="str">
        <f>Données!B22</f>
        <v>Ballens</v>
      </c>
      <c r="C22" s="8">
        <f>Données!C22+Données!D22</f>
        <v>1143242.23</v>
      </c>
      <c r="D22" s="8">
        <f>+Données!G22+Données!H22+Données!S22</f>
        <v>29943.159999999996</v>
      </c>
      <c r="E22" s="8">
        <f>+Données!E22</f>
        <v>0</v>
      </c>
      <c r="F22" s="8">
        <f>+Données!I22</f>
        <v>0</v>
      </c>
      <c r="G22" s="8">
        <f>+Données!J22</f>
        <v>32880.81</v>
      </c>
      <c r="H22" s="8">
        <f>Données!U22</f>
        <v>-25849.9</v>
      </c>
      <c r="I22" s="154">
        <f>Données!V22</f>
        <v>0</v>
      </c>
      <c r="J22" s="154">
        <f>Données!W22</f>
        <v>-0.02</v>
      </c>
      <c r="K22" s="8">
        <f>+Données!Q22</f>
        <v>16.34</v>
      </c>
      <c r="L22" s="350">
        <f t="shared" si="1"/>
        <v>1180232.6200000001</v>
      </c>
      <c r="M22" s="8">
        <f>+Données!F22</f>
        <v>0</v>
      </c>
      <c r="N22" s="8">
        <f>+Données!K22</f>
        <v>2460.35</v>
      </c>
      <c r="O22" s="8">
        <f>(Données!L22/Données!Y22)*1</f>
        <v>83533.100000000006</v>
      </c>
      <c r="P22" s="350">
        <f t="shared" si="2"/>
        <v>1266226.0700000003</v>
      </c>
      <c r="Q22" s="176">
        <f>+Données!X22</f>
        <v>73</v>
      </c>
      <c r="R22" s="350">
        <f t="shared" si="3"/>
        <v>17345.56260273973</v>
      </c>
    </row>
    <row r="23" spans="1:18" x14ac:dyDescent="0.25">
      <c r="A23" s="7">
        <f>Données!A23</f>
        <v>5424</v>
      </c>
      <c r="B23" s="27" t="str">
        <f>Données!B23</f>
        <v>Berolle</v>
      </c>
      <c r="C23" s="8">
        <f>Données!C23+Données!D23</f>
        <v>675214.17</v>
      </c>
      <c r="D23" s="8">
        <f>+Données!G23+Données!H23+Données!S23</f>
        <v>1942.71</v>
      </c>
      <c r="E23" s="8">
        <f>+Données!E23</f>
        <v>0</v>
      </c>
      <c r="F23" s="8">
        <f>+Données!I23</f>
        <v>38264.25</v>
      </c>
      <c r="G23" s="8">
        <f>+Données!J23</f>
        <v>-1499</v>
      </c>
      <c r="H23" s="8">
        <f>Données!U23</f>
        <v>-111.48</v>
      </c>
      <c r="I23" s="154">
        <f>Données!V23</f>
        <v>0</v>
      </c>
      <c r="J23" s="154">
        <f>Données!W23</f>
        <v>0</v>
      </c>
      <c r="K23" s="8">
        <f>+Données!Q23</f>
        <v>6810</v>
      </c>
      <c r="L23" s="350">
        <f t="shared" si="1"/>
        <v>720620.65</v>
      </c>
      <c r="M23" s="8">
        <f>+Données!F23</f>
        <v>0</v>
      </c>
      <c r="N23" s="8">
        <f>+Données!K23</f>
        <v>766</v>
      </c>
      <c r="O23" s="8">
        <f>(Données!L23/Données!Y23)*1</f>
        <v>53487.5</v>
      </c>
      <c r="P23" s="350">
        <f t="shared" si="2"/>
        <v>774874.15</v>
      </c>
      <c r="Q23" s="176">
        <f>+Données!X23</f>
        <v>75.5</v>
      </c>
      <c r="R23" s="350">
        <f t="shared" si="3"/>
        <v>10263.233774834438</v>
      </c>
    </row>
    <row r="24" spans="1:18" x14ac:dyDescent="0.25">
      <c r="A24" s="7">
        <f>Données!A24</f>
        <v>5425</v>
      </c>
      <c r="B24" s="27" t="str">
        <f>Données!B24</f>
        <v>Bière</v>
      </c>
      <c r="C24" s="8">
        <f>Données!C24+Données!D24</f>
        <v>2432600.54</v>
      </c>
      <c r="D24" s="8">
        <f>+Données!G24+Données!H24+Données!S24</f>
        <v>118789.87999999999</v>
      </c>
      <c r="E24" s="8">
        <f>+Données!E24</f>
        <v>0</v>
      </c>
      <c r="F24" s="8">
        <f>+Données!I24</f>
        <v>0</v>
      </c>
      <c r="G24" s="8">
        <f>+Données!J24</f>
        <v>173871.27</v>
      </c>
      <c r="H24" s="8">
        <f>Données!U24</f>
        <v>-56647.21</v>
      </c>
      <c r="I24" s="154">
        <f>Données!V24</f>
        <v>0</v>
      </c>
      <c r="J24" s="154">
        <f>Données!W24</f>
        <v>-61.34</v>
      </c>
      <c r="K24" s="8">
        <f>+Données!Q24</f>
        <v>6954.73</v>
      </c>
      <c r="L24" s="350">
        <f t="shared" si="1"/>
        <v>2675507.87</v>
      </c>
      <c r="M24" s="8">
        <f>+Données!F24</f>
        <v>0</v>
      </c>
      <c r="N24" s="8">
        <f>+Données!K24</f>
        <v>19403.400000000001</v>
      </c>
      <c r="O24" s="8">
        <f>(Données!L24/Données!Y24)*1</f>
        <v>220102.67241379313</v>
      </c>
      <c r="P24" s="350">
        <f t="shared" si="2"/>
        <v>2915013.9424137929</v>
      </c>
      <c r="Q24" s="176">
        <f>+Données!X24</f>
        <v>69</v>
      </c>
      <c r="R24" s="350">
        <f t="shared" si="3"/>
        <v>42246.57887556222</v>
      </c>
    </row>
    <row r="25" spans="1:18" x14ac:dyDescent="0.25">
      <c r="A25" s="7">
        <f>Données!A25</f>
        <v>5426</v>
      </c>
      <c r="B25" s="27" t="str">
        <f>Données!B25</f>
        <v>Bougy-Villars</v>
      </c>
      <c r="C25" s="8">
        <f>Données!C25+Données!D25</f>
        <v>2602211.0499999998</v>
      </c>
      <c r="D25" s="8">
        <f>+Données!G25+Données!H25+Données!S25</f>
        <v>27554.309999999998</v>
      </c>
      <c r="E25" s="8">
        <f>+Données!E25</f>
        <v>0</v>
      </c>
      <c r="F25" s="8">
        <f>+Données!I25</f>
        <v>1066523.6599999999</v>
      </c>
      <c r="G25" s="8">
        <f>+Données!J25</f>
        <v>35545.279999999999</v>
      </c>
      <c r="H25" s="8">
        <f>Données!U25</f>
        <v>-10082.870000000001</v>
      </c>
      <c r="I25" s="154">
        <f>Données!V25</f>
        <v>0</v>
      </c>
      <c r="J25" s="154">
        <f>Données!W25</f>
        <v>-3803.7</v>
      </c>
      <c r="K25" s="8">
        <f>+Données!Q25</f>
        <v>0</v>
      </c>
      <c r="L25" s="350">
        <f t="shared" si="1"/>
        <v>3717947.7299999991</v>
      </c>
      <c r="M25" s="8">
        <f>+Données!F25</f>
        <v>0</v>
      </c>
      <c r="N25" s="8">
        <f>+Données!K25</f>
        <v>2681.7</v>
      </c>
      <c r="O25" s="8">
        <f>(Données!L25/Données!Y25)*1</f>
        <v>274806.33333333331</v>
      </c>
      <c r="P25" s="350">
        <f t="shared" si="2"/>
        <v>3995435.7633333327</v>
      </c>
      <c r="Q25" s="176">
        <f>+Données!X25</f>
        <v>64.5</v>
      </c>
      <c r="R25" s="350">
        <f t="shared" si="3"/>
        <v>61944.740516795857</v>
      </c>
    </row>
    <row r="26" spans="1:18" x14ac:dyDescent="0.25">
      <c r="A26" s="7">
        <f>Données!A26</f>
        <v>5427</v>
      </c>
      <c r="B26" s="27" t="str">
        <f>Données!B26</f>
        <v>Féchy</v>
      </c>
      <c r="C26" s="8">
        <f>Données!C26+Données!D26</f>
        <v>4392516.05</v>
      </c>
      <c r="D26" s="8">
        <f>+Données!G26+Données!H26+Données!S26</f>
        <v>57472.43</v>
      </c>
      <c r="E26" s="8">
        <f>+Données!E26</f>
        <v>0</v>
      </c>
      <c r="F26" s="8">
        <f>+Données!I26</f>
        <v>744144.35</v>
      </c>
      <c r="G26" s="8">
        <f>+Données!J26</f>
        <v>13997.29</v>
      </c>
      <c r="H26" s="8">
        <f>Données!U26</f>
        <v>-19.190000000000001</v>
      </c>
      <c r="I26" s="154">
        <f>Données!V26</f>
        <v>0</v>
      </c>
      <c r="J26" s="154">
        <f>Données!W26</f>
        <v>-20051.25</v>
      </c>
      <c r="K26" s="8">
        <f>+Données!Q26</f>
        <v>0</v>
      </c>
      <c r="L26" s="350">
        <f t="shared" si="1"/>
        <v>5188059.6799999988</v>
      </c>
      <c r="M26" s="8">
        <f>+Données!F26</f>
        <v>0</v>
      </c>
      <c r="N26" s="8">
        <f>+Données!K26</f>
        <v>5658.95</v>
      </c>
      <c r="O26" s="8">
        <f>(Données!L26/Données!Y26)*1</f>
        <v>369250.23076923075</v>
      </c>
      <c r="P26" s="350">
        <f t="shared" si="2"/>
        <v>5562968.8607692299</v>
      </c>
      <c r="Q26" s="176">
        <f>+Données!X26</f>
        <v>64</v>
      </c>
      <c r="R26" s="350">
        <f t="shared" si="3"/>
        <v>86921.388449519218</v>
      </c>
    </row>
    <row r="27" spans="1:18" x14ac:dyDescent="0.25">
      <c r="A27" s="7">
        <f>Données!A27</f>
        <v>5428</v>
      </c>
      <c r="B27" s="27" t="str">
        <f>Données!B27</f>
        <v>Gimel</v>
      </c>
      <c r="C27" s="8">
        <f>Données!C27+Données!D27</f>
        <v>4742176.1099999994</v>
      </c>
      <c r="D27" s="8">
        <f>+Données!G27+Données!H27+Données!S27</f>
        <v>48193.440000000002</v>
      </c>
      <c r="E27" s="8">
        <f>+Données!E27</f>
        <v>0</v>
      </c>
      <c r="F27" s="8">
        <f>+Données!I27</f>
        <v>0</v>
      </c>
      <c r="G27" s="8">
        <f>+Données!J27</f>
        <v>161676.75</v>
      </c>
      <c r="H27" s="8">
        <f>Données!U27</f>
        <v>-113343</v>
      </c>
      <c r="I27" s="154">
        <f>Données!V27</f>
        <v>0</v>
      </c>
      <c r="J27" s="154">
        <f>Données!W27</f>
        <v>-85.84</v>
      </c>
      <c r="K27" s="8">
        <f>+Données!Q27</f>
        <v>26663.84</v>
      </c>
      <c r="L27" s="350">
        <f t="shared" si="1"/>
        <v>4865281.3</v>
      </c>
      <c r="M27" s="8">
        <f>+Données!F27</f>
        <v>0</v>
      </c>
      <c r="N27" s="8">
        <f>+Données!K27</f>
        <v>23087.1</v>
      </c>
      <c r="O27" s="8">
        <f>(Données!L27/Données!Y27)*1</f>
        <v>427733.375</v>
      </c>
      <c r="P27" s="350">
        <f t="shared" si="2"/>
        <v>5316101.7749999994</v>
      </c>
      <c r="Q27" s="176">
        <f>+Données!X27</f>
        <v>74.5</v>
      </c>
      <c r="R27" s="350">
        <f t="shared" si="3"/>
        <v>71357.07080536912</v>
      </c>
    </row>
    <row r="28" spans="1:18" x14ac:dyDescent="0.25">
      <c r="A28" s="7">
        <f>Données!A28</f>
        <v>5429</v>
      </c>
      <c r="B28" s="27" t="str">
        <f>Données!B28</f>
        <v>Longirod</v>
      </c>
      <c r="C28" s="8">
        <f>Données!C28+Données!D28</f>
        <v>1208320.01</v>
      </c>
      <c r="D28" s="8">
        <f>+Données!G28+Données!H28+Données!S28</f>
        <v>41384.26</v>
      </c>
      <c r="E28" s="8">
        <f>+Données!E28</f>
        <v>0</v>
      </c>
      <c r="F28" s="8">
        <f>+Données!I28</f>
        <v>0</v>
      </c>
      <c r="G28" s="8">
        <f>+Données!J28</f>
        <v>-731.21</v>
      </c>
      <c r="H28" s="8">
        <f>Données!U28</f>
        <v>-32963.19</v>
      </c>
      <c r="I28" s="154">
        <f>Données!V28</f>
        <v>0</v>
      </c>
      <c r="J28" s="154">
        <f>Données!W28</f>
        <v>0</v>
      </c>
      <c r="K28" s="8">
        <f>+Données!Q28</f>
        <v>0</v>
      </c>
      <c r="L28" s="350">
        <f t="shared" si="1"/>
        <v>1216009.8700000001</v>
      </c>
      <c r="M28" s="8">
        <f>+Données!F28</f>
        <v>0</v>
      </c>
      <c r="N28" s="8">
        <f>+Données!K28</f>
        <v>752.55</v>
      </c>
      <c r="O28" s="8">
        <f>(Données!L28/Données!Y28)*1</f>
        <v>111739.05</v>
      </c>
      <c r="P28" s="350">
        <f t="shared" si="2"/>
        <v>1328501.4700000002</v>
      </c>
      <c r="Q28" s="176">
        <f>+Données!X28</f>
        <v>77.5</v>
      </c>
      <c r="R28" s="350">
        <f t="shared" si="3"/>
        <v>17141.954451612906</v>
      </c>
    </row>
    <row r="29" spans="1:18" x14ac:dyDescent="0.25">
      <c r="A29" s="7">
        <f>Données!A29</f>
        <v>5430</v>
      </c>
      <c r="B29" s="27" t="str">
        <f>Données!B29</f>
        <v>Marchissy</v>
      </c>
      <c r="C29" s="8">
        <f>Données!C29+Données!D29</f>
        <v>1227453.3</v>
      </c>
      <c r="D29" s="8">
        <f>+Données!G29+Données!H29+Données!S29</f>
        <v>1299.02</v>
      </c>
      <c r="E29" s="8">
        <f>+Données!E29</f>
        <v>0</v>
      </c>
      <c r="F29" s="8">
        <f>+Données!I29</f>
        <v>0</v>
      </c>
      <c r="G29" s="8">
        <f>+Données!J29</f>
        <v>7017.17</v>
      </c>
      <c r="H29" s="8">
        <f>Données!U29</f>
        <v>-2398.1999999999998</v>
      </c>
      <c r="I29" s="154">
        <f>Données!V29</f>
        <v>0</v>
      </c>
      <c r="J29" s="154">
        <f>Données!W29</f>
        <v>-91.38</v>
      </c>
      <c r="K29" s="8">
        <f>+Données!Q29</f>
        <v>0</v>
      </c>
      <c r="L29" s="350">
        <f t="shared" si="1"/>
        <v>1233279.9100000001</v>
      </c>
      <c r="M29" s="8">
        <f>+Données!F29</f>
        <v>0</v>
      </c>
      <c r="N29" s="8">
        <f>+Données!K29</f>
        <v>-1384.5</v>
      </c>
      <c r="O29" s="8">
        <f>(Données!L29/Données!Y29)*1</f>
        <v>95036.5</v>
      </c>
      <c r="P29" s="350">
        <f t="shared" si="2"/>
        <v>1326931.9100000001</v>
      </c>
      <c r="Q29" s="176">
        <f>+Données!X29</f>
        <v>77.5</v>
      </c>
      <c r="R29" s="350">
        <f t="shared" si="3"/>
        <v>17121.702064516132</v>
      </c>
    </row>
    <row r="30" spans="1:18" x14ac:dyDescent="0.25">
      <c r="A30" s="7">
        <f>Données!A30</f>
        <v>5431</v>
      </c>
      <c r="B30" s="27" t="str">
        <f>Données!B30</f>
        <v>Mollens</v>
      </c>
      <c r="C30" s="8">
        <f>Données!C30+Données!D30</f>
        <v>611024.87</v>
      </c>
      <c r="D30" s="8">
        <f>+Données!G30+Données!H30+Données!S30</f>
        <v>-120.85000000000002</v>
      </c>
      <c r="E30" s="8">
        <f>+Données!E30</f>
        <v>0</v>
      </c>
      <c r="F30" s="8">
        <f>+Données!I30</f>
        <v>0</v>
      </c>
      <c r="G30" s="8">
        <f>+Données!J30</f>
        <v>38582.04</v>
      </c>
      <c r="H30" s="8">
        <f>Données!U30</f>
        <v>-762.06</v>
      </c>
      <c r="I30" s="154">
        <f>Données!V30</f>
        <v>0</v>
      </c>
      <c r="J30" s="154">
        <f>Données!W30</f>
        <v>-2835.6</v>
      </c>
      <c r="K30" s="8">
        <f>+Données!Q30</f>
        <v>0</v>
      </c>
      <c r="L30" s="350">
        <f t="shared" si="1"/>
        <v>645888.4</v>
      </c>
      <c r="M30" s="8">
        <f>+Données!F30</f>
        <v>0</v>
      </c>
      <c r="N30" s="8">
        <f>+Données!K30</f>
        <v>799.5</v>
      </c>
      <c r="O30" s="8">
        <f>(Données!L30/Données!Y30)*1</f>
        <v>54478.400000000001</v>
      </c>
      <c r="P30" s="350">
        <f t="shared" si="2"/>
        <v>701166.3</v>
      </c>
      <c r="Q30" s="176">
        <f>+Données!X30</f>
        <v>74</v>
      </c>
      <c r="R30" s="350">
        <f t="shared" si="3"/>
        <v>9475.2202702702707</v>
      </c>
    </row>
    <row r="31" spans="1:18" x14ac:dyDescent="0.25">
      <c r="A31" s="7">
        <f>Données!A31</f>
        <v>5434</v>
      </c>
      <c r="B31" s="27" t="str">
        <f>Données!B31</f>
        <v>Saint-George</v>
      </c>
      <c r="C31" s="8">
        <f>Données!C31+Données!D31</f>
        <v>2578778.56</v>
      </c>
      <c r="D31" s="8">
        <f>+Données!G31+Données!H31+Données!S31</f>
        <v>2461.1900000000005</v>
      </c>
      <c r="E31" s="8">
        <f>+Données!E31</f>
        <v>0</v>
      </c>
      <c r="F31" s="8">
        <f>+Données!I31</f>
        <v>0</v>
      </c>
      <c r="G31" s="8">
        <f>+Données!J31</f>
        <v>36211.4</v>
      </c>
      <c r="H31" s="8">
        <f>Données!U31</f>
        <v>-22698.36</v>
      </c>
      <c r="I31" s="154">
        <f>Données!V31</f>
        <v>0</v>
      </c>
      <c r="J31" s="154">
        <f>Données!W31</f>
        <v>-3042.95</v>
      </c>
      <c r="K31" s="8">
        <f>+Données!Q31</f>
        <v>862.13</v>
      </c>
      <c r="L31" s="350">
        <f t="shared" si="1"/>
        <v>2592571.9699999997</v>
      </c>
      <c r="M31" s="8">
        <f>+Données!F31</f>
        <v>0</v>
      </c>
      <c r="N31" s="8">
        <f>+Données!K31</f>
        <v>4647.2</v>
      </c>
      <c r="O31" s="8">
        <f>(Données!L31/Données!Y31)*1</f>
        <v>246055.04166666666</v>
      </c>
      <c r="P31" s="350">
        <f t="shared" si="2"/>
        <v>2843274.2116666664</v>
      </c>
      <c r="Q31" s="176">
        <f>+Données!X31</f>
        <v>69.5</v>
      </c>
      <c r="R31" s="350">
        <f t="shared" si="3"/>
        <v>40910.420311750597</v>
      </c>
    </row>
    <row r="32" spans="1:18" x14ac:dyDescent="0.25">
      <c r="A32" s="7">
        <f>Données!A32</f>
        <v>5435</v>
      </c>
      <c r="B32" s="27" t="str">
        <f>Données!B32</f>
        <v>Saint-Livres</v>
      </c>
      <c r="C32" s="8">
        <f>Données!C32+Données!D32</f>
        <v>1594572.26</v>
      </c>
      <c r="D32" s="8">
        <f>+Données!G32+Données!H32+Données!S32</f>
        <v>19795.13</v>
      </c>
      <c r="E32" s="8">
        <f>+Données!E32</f>
        <v>0</v>
      </c>
      <c r="F32" s="8">
        <f>+Données!I32</f>
        <v>0</v>
      </c>
      <c r="G32" s="8">
        <f>+Données!J32</f>
        <v>15499.66</v>
      </c>
      <c r="H32" s="8">
        <f>Données!U32</f>
        <v>-7116.05</v>
      </c>
      <c r="I32" s="154">
        <f>Données!V32</f>
        <v>0</v>
      </c>
      <c r="J32" s="154">
        <f>Données!W32</f>
        <v>-114.89</v>
      </c>
      <c r="K32" s="8">
        <f>+Données!Q32</f>
        <v>309.2</v>
      </c>
      <c r="L32" s="350">
        <f t="shared" si="1"/>
        <v>1622945.3099999998</v>
      </c>
      <c r="M32" s="8">
        <f>+Données!F32</f>
        <v>0</v>
      </c>
      <c r="N32" s="8">
        <f>+Données!K32</f>
        <v>0</v>
      </c>
      <c r="O32" s="8">
        <f>(Données!L32/Données!Y32)*1</f>
        <v>133937</v>
      </c>
      <c r="P32" s="350">
        <f t="shared" si="2"/>
        <v>1756882.3099999998</v>
      </c>
      <c r="Q32" s="176">
        <f>+Données!X32</f>
        <v>69</v>
      </c>
      <c r="R32" s="350">
        <f t="shared" si="3"/>
        <v>25462.062463768114</v>
      </c>
    </row>
    <row r="33" spans="1:18" x14ac:dyDescent="0.25">
      <c r="A33" s="7">
        <f>Données!A33</f>
        <v>5436</v>
      </c>
      <c r="B33" s="27" t="str">
        <f>Données!B33</f>
        <v>Saint-Oyens</v>
      </c>
      <c r="C33" s="8">
        <f>Données!C33+Données!D33</f>
        <v>1228151.8599999999</v>
      </c>
      <c r="D33" s="8">
        <f>+Données!G33+Données!H33+Données!S33</f>
        <v>6874.24</v>
      </c>
      <c r="E33" s="8">
        <f>+Données!E33</f>
        <v>0</v>
      </c>
      <c r="F33" s="8">
        <f>+Données!I33</f>
        <v>0</v>
      </c>
      <c r="G33" s="8">
        <f>+Données!J33</f>
        <v>-7518.66</v>
      </c>
      <c r="H33" s="8">
        <f>Données!U33</f>
        <v>-21037.62</v>
      </c>
      <c r="I33" s="154">
        <f>Données!V33</f>
        <v>0</v>
      </c>
      <c r="J33" s="154">
        <f>Données!W33</f>
        <v>-1090.45</v>
      </c>
      <c r="K33" s="8">
        <f>+Données!Q33</f>
        <v>0</v>
      </c>
      <c r="L33" s="350">
        <f t="shared" si="1"/>
        <v>1205379.3699999999</v>
      </c>
      <c r="M33" s="8">
        <f>+Données!F33</f>
        <v>0</v>
      </c>
      <c r="N33" s="8">
        <f>+Données!K33</f>
        <v>0</v>
      </c>
      <c r="O33" s="8">
        <f>(Données!L33/Données!Y33)*1</f>
        <v>92219.5</v>
      </c>
      <c r="P33" s="350">
        <f t="shared" si="2"/>
        <v>1297598.8699999999</v>
      </c>
      <c r="Q33" s="176">
        <f>+Données!X33</f>
        <v>79</v>
      </c>
      <c r="R33" s="350">
        <f t="shared" si="3"/>
        <v>16425.302151898733</v>
      </c>
    </row>
    <row r="34" spans="1:18" x14ac:dyDescent="0.25">
      <c r="A34" s="7">
        <f>Données!A34</f>
        <v>5437</v>
      </c>
      <c r="B34" s="27" t="str">
        <f>Données!B34</f>
        <v>Saubraz</v>
      </c>
      <c r="C34" s="8">
        <f>Données!C34+Données!D34</f>
        <v>932036.41999999993</v>
      </c>
      <c r="D34" s="8">
        <f>+Données!G34+Données!H34+Données!S34</f>
        <v>-2486.5999999999995</v>
      </c>
      <c r="E34" s="8">
        <f>+Données!E34</f>
        <v>0</v>
      </c>
      <c r="F34" s="8">
        <f>+Données!I34</f>
        <v>0</v>
      </c>
      <c r="G34" s="8">
        <f>+Données!J34</f>
        <v>14839.82</v>
      </c>
      <c r="H34" s="8">
        <f>Données!U34</f>
        <v>-57716.35</v>
      </c>
      <c r="I34" s="154">
        <f>Données!V34</f>
        <v>0</v>
      </c>
      <c r="J34" s="154">
        <f>Données!W34</f>
        <v>0</v>
      </c>
      <c r="K34" s="8">
        <f>+Données!Q34</f>
        <v>4123.3</v>
      </c>
      <c r="L34" s="350">
        <f t="shared" si="1"/>
        <v>890796.59</v>
      </c>
      <c r="M34" s="8">
        <f>+Données!F34</f>
        <v>0</v>
      </c>
      <c r="N34" s="8">
        <f>+Données!K34</f>
        <v>3141.85</v>
      </c>
      <c r="O34" s="8">
        <f>(Données!L34/Données!Y34)*1</f>
        <v>76554.8</v>
      </c>
      <c r="P34" s="350">
        <f t="shared" si="2"/>
        <v>970493.24</v>
      </c>
      <c r="Q34" s="176">
        <f>+Données!X34</f>
        <v>80</v>
      </c>
      <c r="R34" s="350">
        <f t="shared" si="3"/>
        <v>12131.165499999999</v>
      </c>
    </row>
    <row r="35" spans="1:18" x14ac:dyDescent="0.25">
      <c r="A35" s="7">
        <f>Données!A35</f>
        <v>5451</v>
      </c>
      <c r="B35" s="27" t="str">
        <f>Données!B35</f>
        <v>Avenches</v>
      </c>
      <c r="C35" s="8">
        <f>Données!C35+Données!D35</f>
        <v>5698265.7699999996</v>
      </c>
      <c r="D35" s="8">
        <f>+Données!G35+Données!H35+Données!S35</f>
        <v>2451664.8599999994</v>
      </c>
      <c r="E35" s="8">
        <f>+Données!E35</f>
        <v>0</v>
      </c>
      <c r="F35" s="8">
        <f>+Données!I35</f>
        <v>0</v>
      </c>
      <c r="G35" s="8">
        <f>+Données!J35</f>
        <v>429329.45</v>
      </c>
      <c r="H35" s="8">
        <f>Données!U35</f>
        <v>-361384.15</v>
      </c>
      <c r="I35" s="154">
        <f>Données!V35</f>
        <v>0</v>
      </c>
      <c r="J35" s="154">
        <f>Données!W35</f>
        <v>-562.54</v>
      </c>
      <c r="K35" s="8">
        <f>+Données!Q35</f>
        <v>136481.04999999999</v>
      </c>
      <c r="L35" s="350">
        <f t="shared" si="1"/>
        <v>8353794.4399999976</v>
      </c>
      <c r="M35" s="8">
        <f>+Données!F35</f>
        <v>0</v>
      </c>
      <c r="N35" s="8">
        <f>+Données!K35</f>
        <v>122620.35</v>
      </c>
      <c r="O35" s="8">
        <f>(Données!L35/Données!Y35)*1</f>
        <v>1006727.4666666667</v>
      </c>
      <c r="P35" s="350">
        <f t="shared" si="2"/>
        <v>9483142.256666664</v>
      </c>
      <c r="Q35" s="176">
        <f>+Données!X35</f>
        <v>66.5</v>
      </c>
      <c r="R35" s="350">
        <f t="shared" si="3"/>
        <v>142603.64295739346</v>
      </c>
    </row>
    <row r="36" spans="1:18" x14ac:dyDescent="0.25">
      <c r="A36" s="7">
        <f>Données!A36</f>
        <v>5456</v>
      </c>
      <c r="B36" s="27" t="str">
        <f>Données!B36</f>
        <v>Cudrefin</v>
      </c>
      <c r="C36" s="8">
        <f>Données!C36+Données!D36</f>
        <v>3326344.2800000003</v>
      </c>
      <c r="D36" s="8">
        <f>+Données!G36+Données!H36+Données!S36</f>
        <v>70609.679999999993</v>
      </c>
      <c r="E36" s="8">
        <f>+Données!E36</f>
        <v>0</v>
      </c>
      <c r="F36" s="8">
        <f>+Données!I36</f>
        <v>0</v>
      </c>
      <c r="G36" s="8">
        <f>+Données!J36</f>
        <v>28027.279999999999</v>
      </c>
      <c r="H36" s="8">
        <f>Données!U36</f>
        <v>-13342.6</v>
      </c>
      <c r="I36" s="154">
        <f>Données!V36</f>
        <v>0</v>
      </c>
      <c r="J36" s="154">
        <f>Données!W36</f>
        <v>-138.75</v>
      </c>
      <c r="K36" s="8">
        <f>+Données!Q36</f>
        <v>-11425.02</v>
      </c>
      <c r="L36" s="350">
        <f t="shared" si="1"/>
        <v>3400074.87</v>
      </c>
      <c r="M36" s="8">
        <f>+Données!F36</f>
        <v>0</v>
      </c>
      <c r="N36" s="8">
        <f>+Données!K36</f>
        <v>11289.55</v>
      </c>
      <c r="O36" s="8">
        <f>(Données!L36/Données!Y36)*1</f>
        <v>368141.89999999997</v>
      </c>
      <c r="P36" s="350">
        <f t="shared" si="2"/>
        <v>3779506.32</v>
      </c>
      <c r="Q36" s="176">
        <f>+Données!X36</f>
        <v>59</v>
      </c>
      <c r="R36" s="350">
        <f t="shared" si="3"/>
        <v>64059.429152542369</v>
      </c>
    </row>
    <row r="37" spans="1:18" x14ac:dyDescent="0.25">
      <c r="A37" s="7">
        <f>Données!A37</f>
        <v>5458</v>
      </c>
      <c r="B37" s="27" t="str">
        <f>Données!B37</f>
        <v>Faoug</v>
      </c>
      <c r="C37" s="8">
        <f>Données!C37+Données!D37</f>
        <v>1860561.93</v>
      </c>
      <c r="D37" s="8">
        <f>+Données!G37+Données!H37+Données!S37</f>
        <v>25342.489999999998</v>
      </c>
      <c r="E37" s="8">
        <f>+Données!E37</f>
        <v>0</v>
      </c>
      <c r="F37" s="8">
        <f>+Données!I37</f>
        <v>0</v>
      </c>
      <c r="G37" s="8">
        <f>+Données!J37</f>
        <v>55674.5</v>
      </c>
      <c r="H37" s="8">
        <f>Données!U37</f>
        <v>-26814.48</v>
      </c>
      <c r="I37" s="154">
        <f>Données!V37</f>
        <v>0</v>
      </c>
      <c r="J37" s="154">
        <f>Données!W37</f>
        <v>-236.55</v>
      </c>
      <c r="K37" s="8">
        <f>+Données!Q37</f>
        <v>0</v>
      </c>
      <c r="L37" s="350">
        <f t="shared" si="1"/>
        <v>1914527.89</v>
      </c>
      <c r="M37" s="8">
        <f>+Données!F37</f>
        <v>0</v>
      </c>
      <c r="N37" s="8">
        <f>+Données!K37</f>
        <v>13000.75</v>
      </c>
      <c r="O37" s="8">
        <f>(Données!L37/Données!Y37)*1</f>
        <v>193460.93333333335</v>
      </c>
      <c r="P37" s="350">
        <f t="shared" si="2"/>
        <v>2120989.5733333332</v>
      </c>
      <c r="Q37" s="176">
        <f>+Données!X37</f>
        <v>65</v>
      </c>
      <c r="R37" s="350">
        <f t="shared" si="3"/>
        <v>32630.608820512818</v>
      </c>
    </row>
    <row r="38" spans="1:18" x14ac:dyDescent="0.25">
      <c r="A38" s="7">
        <f>Données!A38</f>
        <v>5464</v>
      </c>
      <c r="B38" s="27" t="str">
        <f>Données!B38</f>
        <v>Vully-les-Lacs</v>
      </c>
      <c r="C38" s="8">
        <f>Données!C38+Données!D38</f>
        <v>6868343.5800000001</v>
      </c>
      <c r="D38" s="8">
        <f>+Données!G38+Données!H38+Données!S38</f>
        <v>97726.080000000002</v>
      </c>
      <c r="E38" s="8">
        <f>+Données!E38</f>
        <v>0</v>
      </c>
      <c r="F38" s="8">
        <f>+Données!I38</f>
        <v>66178.7</v>
      </c>
      <c r="G38" s="8">
        <f>+Données!J38</f>
        <v>156752.70000000001</v>
      </c>
      <c r="H38" s="8">
        <f>Données!U38</f>
        <v>-78050.41</v>
      </c>
      <c r="I38" s="154">
        <f>Données!V38</f>
        <v>0</v>
      </c>
      <c r="J38" s="154">
        <f>Données!W38</f>
        <v>-898.05</v>
      </c>
      <c r="K38" s="8">
        <f>+Données!Q38</f>
        <v>34715.74</v>
      </c>
      <c r="L38" s="350">
        <f t="shared" si="1"/>
        <v>7144768.3400000008</v>
      </c>
      <c r="M38" s="8">
        <f>+Données!F38</f>
        <v>0</v>
      </c>
      <c r="N38" s="8">
        <f>+Données!K38</f>
        <v>10687.4</v>
      </c>
      <c r="O38" s="8">
        <f>(Données!L38/Données!Y38)*1</f>
        <v>746007.1</v>
      </c>
      <c r="P38" s="350">
        <f t="shared" si="2"/>
        <v>7901462.8400000008</v>
      </c>
      <c r="Q38" s="176">
        <f>+Données!X38</f>
        <v>67</v>
      </c>
      <c r="R38" s="350">
        <f t="shared" si="3"/>
        <v>117932.28119402986</v>
      </c>
    </row>
    <row r="39" spans="1:18" x14ac:dyDescent="0.25">
      <c r="A39" s="7">
        <f>Données!A39</f>
        <v>5471</v>
      </c>
      <c r="B39" s="27" t="str">
        <f>Données!B39</f>
        <v>Bettens</v>
      </c>
      <c r="C39" s="8">
        <f>Données!C39+Données!D39</f>
        <v>1403380.04</v>
      </c>
      <c r="D39" s="8">
        <f>+Données!G39+Données!H39+Données!S39</f>
        <v>24429.52</v>
      </c>
      <c r="E39" s="8">
        <f>+Données!E39</f>
        <v>0</v>
      </c>
      <c r="F39" s="8">
        <f>+Données!I39</f>
        <v>0</v>
      </c>
      <c r="G39" s="8">
        <f>+Données!J39</f>
        <v>23462.41</v>
      </c>
      <c r="H39" s="8">
        <f>Données!U39</f>
        <v>-5274.52</v>
      </c>
      <c r="I39" s="154">
        <f>Données!V39</f>
        <v>0</v>
      </c>
      <c r="J39" s="154">
        <f>Données!W39</f>
        <v>-192.96</v>
      </c>
      <c r="K39" s="8">
        <f>+Données!Q39</f>
        <v>1223.46</v>
      </c>
      <c r="L39" s="350">
        <f t="shared" si="1"/>
        <v>1447027.95</v>
      </c>
      <c r="M39" s="8">
        <f>+Données!F39</f>
        <v>0</v>
      </c>
      <c r="N39" s="8">
        <f>+Données!K39</f>
        <v>4233.25</v>
      </c>
      <c r="O39" s="8">
        <f>(Données!L39/Données!Y39)*1</f>
        <v>137179.38888888888</v>
      </c>
      <c r="P39" s="350">
        <f t="shared" si="2"/>
        <v>1588440.5888888887</v>
      </c>
      <c r="Q39" s="176">
        <f>+Données!X39</f>
        <v>70</v>
      </c>
      <c r="R39" s="350">
        <f t="shared" si="3"/>
        <v>22692.008412698411</v>
      </c>
    </row>
    <row r="40" spans="1:18" x14ac:dyDescent="0.25">
      <c r="A40" s="7">
        <f>Données!A40</f>
        <v>5472</v>
      </c>
      <c r="B40" s="27" t="str">
        <f>Données!B40</f>
        <v>Bournens</v>
      </c>
      <c r="C40" s="8">
        <f>Données!C40+Données!D40</f>
        <v>1250993.31</v>
      </c>
      <c r="D40" s="8">
        <f>+Données!G40+Données!H40+Données!S40</f>
        <v>1831.74</v>
      </c>
      <c r="E40" s="8">
        <f>+Données!E40</f>
        <v>0</v>
      </c>
      <c r="F40" s="8">
        <f>+Données!I40</f>
        <v>0</v>
      </c>
      <c r="G40" s="8">
        <f>+Données!J40</f>
        <v>-2898.71</v>
      </c>
      <c r="H40" s="8">
        <f>Données!U40</f>
        <v>-7354</v>
      </c>
      <c r="I40" s="154">
        <f>Données!V40</f>
        <v>0</v>
      </c>
      <c r="J40" s="154">
        <f>Données!W40</f>
        <v>-713.76</v>
      </c>
      <c r="K40" s="8">
        <f>+Données!Q40</f>
        <v>0</v>
      </c>
      <c r="L40" s="350">
        <f t="shared" si="1"/>
        <v>1241858.58</v>
      </c>
      <c r="M40" s="8">
        <f>+Données!F40</f>
        <v>0</v>
      </c>
      <c r="N40" s="8">
        <f>+Données!K40</f>
        <v>516.5</v>
      </c>
      <c r="O40" s="8">
        <f>(Données!L40/Données!Y40)*1</f>
        <v>115912.35</v>
      </c>
      <c r="P40" s="350">
        <f t="shared" si="2"/>
        <v>1358287.4300000002</v>
      </c>
      <c r="Q40" s="176">
        <f>+Données!X40</f>
        <v>68</v>
      </c>
      <c r="R40" s="350">
        <f t="shared" si="3"/>
        <v>19974.815147058827</v>
      </c>
    </row>
    <row r="41" spans="1:18" x14ac:dyDescent="0.25">
      <c r="A41" s="7">
        <f>Données!A41</f>
        <v>5473</v>
      </c>
      <c r="B41" s="27" t="str">
        <f>Données!B41</f>
        <v>Boussens</v>
      </c>
      <c r="C41" s="8">
        <f>Données!C41+Données!D41</f>
        <v>2385942.61</v>
      </c>
      <c r="D41" s="8">
        <f>+Données!G41+Données!H41+Données!S41</f>
        <v>41306.559999999998</v>
      </c>
      <c r="E41" s="8">
        <f>+Données!E41</f>
        <v>0</v>
      </c>
      <c r="F41" s="8">
        <f>+Données!I41</f>
        <v>0</v>
      </c>
      <c r="G41" s="8">
        <f>+Données!J41</f>
        <v>19304.5</v>
      </c>
      <c r="H41" s="8">
        <f>Données!U41</f>
        <v>-7258.88</v>
      </c>
      <c r="I41" s="154">
        <f>Données!V41</f>
        <v>0</v>
      </c>
      <c r="J41" s="154">
        <f>Données!W41</f>
        <v>-316.5</v>
      </c>
      <c r="K41" s="8">
        <f>+Données!Q41</f>
        <v>1344.55</v>
      </c>
      <c r="L41" s="350">
        <f t="shared" si="1"/>
        <v>2440322.84</v>
      </c>
      <c r="M41" s="8">
        <f>+Données!F41</f>
        <v>0</v>
      </c>
      <c r="N41" s="8">
        <f>+Données!K41</f>
        <v>6131.35</v>
      </c>
      <c r="O41" s="8">
        <f>(Données!L41/Données!Y41)*1</f>
        <v>196363</v>
      </c>
      <c r="P41" s="350">
        <f t="shared" si="2"/>
        <v>2642817.19</v>
      </c>
      <c r="Q41" s="176">
        <f>+Données!X41</f>
        <v>66</v>
      </c>
      <c r="R41" s="350">
        <f t="shared" si="3"/>
        <v>40042.684696969693</v>
      </c>
    </row>
    <row r="42" spans="1:18" x14ac:dyDescent="0.25">
      <c r="A42" s="7">
        <f>Données!A42</f>
        <v>5474</v>
      </c>
      <c r="B42" s="27" t="str">
        <f>Données!B42</f>
        <v>La Chaux (Cossonay)</v>
      </c>
      <c r="C42" s="8">
        <f>Données!C42+Données!D42</f>
        <v>998785.14</v>
      </c>
      <c r="D42" s="8">
        <f>+Données!G42+Données!H42+Données!S42</f>
        <v>13729.51</v>
      </c>
      <c r="E42" s="8">
        <f>+Données!E42</f>
        <v>0</v>
      </c>
      <c r="F42" s="8">
        <f>+Données!I42</f>
        <v>-37654</v>
      </c>
      <c r="G42" s="8">
        <f>+Données!J42</f>
        <v>5133.25</v>
      </c>
      <c r="H42" s="8">
        <f>Données!U42</f>
        <v>-750.54</v>
      </c>
      <c r="I42" s="154">
        <f>Données!V42</f>
        <v>0</v>
      </c>
      <c r="J42" s="154">
        <f>Données!W42</f>
        <v>-304.55</v>
      </c>
      <c r="K42" s="8">
        <f>+Données!Q42</f>
        <v>0</v>
      </c>
      <c r="L42" s="350">
        <f t="shared" si="1"/>
        <v>978938.80999999994</v>
      </c>
      <c r="M42" s="8">
        <f>+Données!F42</f>
        <v>0</v>
      </c>
      <c r="N42" s="8">
        <f>+Données!K42</f>
        <v>-725.5</v>
      </c>
      <c r="O42" s="8">
        <f>(Données!L42/Données!Y42)*1</f>
        <v>75326.958333333343</v>
      </c>
      <c r="P42" s="350">
        <f t="shared" si="2"/>
        <v>1053540.2683333333</v>
      </c>
      <c r="Q42" s="176">
        <f>+Données!X42</f>
        <v>76</v>
      </c>
      <c r="R42" s="350">
        <f t="shared" si="3"/>
        <v>13862.371951754385</v>
      </c>
    </row>
    <row r="43" spans="1:18" x14ac:dyDescent="0.25">
      <c r="A43" s="7">
        <f>Données!A43</f>
        <v>5475</v>
      </c>
      <c r="B43" s="27" t="str">
        <f>Données!B43</f>
        <v>Chavannes-le-Veyron</v>
      </c>
      <c r="C43" s="8">
        <f>Données!C43+Données!D43</f>
        <v>282390</v>
      </c>
      <c r="D43" s="8">
        <f>+Données!G43+Données!H43+Données!S43</f>
        <v>5247.5599999999995</v>
      </c>
      <c r="E43" s="8">
        <f>+Données!E43</f>
        <v>0</v>
      </c>
      <c r="F43" s="8">
        <f>+Données!I43</f>
        <v>0</v>
      </c>
      <c r="G43" s="8">
        <f>+Données!J43</f>
        <v>8839.4500000000007</v>
      </c>
      <c r="H43" s="8">
        <f>Données!U43</f>
        <v>208.89</v>
      </c>
      <c r="I43" s="154">
        <f>Données!V43</f>
        <v>0</v>
      </c>
      <c r="J43" s="154">
        <f>Données!W43</f>
        <v>0</v>
      </c>
      <c r="K43" s="8">
        <f>+Données!Q43</f>
        <v>-25.04</v>
      </c>
      <c r="L43" s="350">
        <f t="shared" si="1"/>
        <v>296660.86000000004</v>
      </c>
      <c r="M43" s="8">
        <f>+Données!F43</f>
        <v>0</v>
      </c>
      <c r="N43" s="8">
        <f>+Données!K43</f>
        <v>0</v>
      </c>
      <c r="O43" s="8">
        <f>(Données!L43/Données!Y43)*1</f>
        <v>25625.3</v>
      </c>
      <c r="P43" s="350">
        <f t="shared" si="2"/>
        <v>322286.16000000003</v>
      </c>
      <c r="Q43" s="176">
        <f>+Données!X43</f>
        <v>75</v>
      </c>
      <c r="R43" s="350">
        <f t="shared" si="3"/>
        <v>4297.1488000000008</v>
      </c>
    </row>
    <row r="44" spans="1:18" x14ac:dyDescent="0.25">
      <c r="A44" s="7">
        <f>Données!A44</f>
        <v>5476</v>
      </c>
      <c r="B44" s="27" t="str">
        <f>Données!B44</f>
        <v>Chevilly</v>
      </c>
      <c r="C44" s="8">
        <f>Données!C44+Données!D44</f>
        <v>922085.03</v>
      </c>
      <c r="D44" s="8">
        <f>+Données!G44+Données!H44+Données!S44</f>
        <v>436.91999999999996</v>
      </c>
      <c r="E44" s="8">
        <f>+Données!E44</f>
        <v>0</v>
      </c>
      <c r="F44" s="8">
        <f>+Données!I44</f>
        <v>0</v>
      </c>
      <c r="G44" s="8">
        <f>+Données!J44</f>
        <v>4675.37</v>
      </c>
      <c r="H44" s="8">
        <f>Données!U44</f>
        <v>-6447.63</v>
      </c>
      <c r="I44" s="154">
        <f>Données!V44</f>
        <v>0</v>
      </c>
      <c r="J44" s="154">
        <f>Données!W44</f>
        <v>0</v>
      </c>
      <c r="K44" s="8">
        <f>+Données!Q44</f>
        <v>0</v>
      </c>
      <c r="L44" s="350">
        <f t="shared" si="1"/>
        <v>920749.69000000006</v>
      </c>
      <c r="M44" s="8">
        <f>+Données!F44</f>
        <v>0</v>
      </c>
      <c r="N44" s="8">
        <f>+Données!K44</f>
        <v>0</v>
      </c>
      <c r="O44" s="8">
        <f>(Données!L44/Données!Y44)*1</f>
        <v>62237.8</v>
      </c>
      <c r="P44" s="350">
        <f t="shared" si="2"/>
        <v>982987.49000000011</v>
      </c>
      <c r="Q44" s="176">
        <f>+Données!X44</f>
        <v>72.5</v>
      </c>
      <c r="R44" s="350">
        <f t="shared" si="3"/>
        <v>13558.448137931036</v>
      </c>
    </row>
    <row r="45" spans="1:18" x14ac:dyDescent="0.25">
      <c r="A45" s="7">
        <f>Données!A45</f>
        <v>5477</v>
      </c>
      <c r="B45" s="27" t="str">
        <f>Données!B45</f>
        <v>Cossonay</v>
      </c>
      <c r="C45" s="8">
        <f>Données!C45+Données!D45</f>
        <v>8902983.75</v>
      </c>
      <c r="D45" s="8">
        <f>+Données!G45+Données!H45+Données!S45</f>
        <v>488898.83999999997</v>
      </c>
      <c r="E45" s="8">
        <f>+Données!E45</f>
        <v>0</v>
      </c>
      <c r="F45" s="8">
        <f>+Données!I45</f>
        <v>0</v>
      </c>
      <c r="G45" s="8">
        <f>+Données!J45</f>
        <v>177524.42</v>
      </c>
      <c r="H45" s="8">
        <f>Données!U45</f>
        <v>-78338.600000000006</v>
      </c>
      <c r="I45" s="154">
        <f>Données!V45</f>
        <v>0</v>
      </c>
      <c r="J45" s="154">
        <f>Données!W45</f>
        <v>-986.22</v>
      </c>
      <c r="K45" s="8">
        <f>+Données!Q45</f>
        <v>7693.11</v>
      </c>
      <c r="L45" s="350">
        <f t="shared" si="1"/>
        <v>9497775.2999999989</v>
      </c>
      <c r="M45" s="8">
        <f>+Données!F45</f>
        <v>0</v>
      </c>
      <c r="N45" s="8">
        <f>+Données!K45</f>
        <v>48032.55</v>
      </c>
      <c r="O45" s="8">
        <f>(Données!L45/Données!Y45)*1</f>
        <v>755157.25</v>
      </c>
      <c r="P45" s="350">
        <f t="shared" si="2"/>
        <v>10300965.1</v>
      </c>
      <c r="Q45" s="176">
        <f>+Données!X45</f>
        <v>68</v>
      </c>
      <c r="R45" s="350">
        <f t="shared" si="3"/>
        <v>151484.78088235293</v>
      </c>
    </row>
    <row r="46" spans="1:18" x14ac:dyDescent="0.25">
      <c r="A46" s="7">
        <f>Données!A46</f>
        <v>5479</v>
      </c>
      <c r="B46" s="27" t="str">
        <f>Données!B46</f>
        <v>Cuarnens</v>
      </c>
      <c r="C46" s="8">
        <f>Données!C46+Données!D46</f>
        <v>988864.46</v>
      </c>
      <c r="D46" s="8">
        <f>+Données!G46+Données!H46+Données!S46</f>
        <v>29578.420000000002</v>
      </c>
      <c r="E46" s="8">
        <f>+Données!E46</f>
        <v>0</v>
      </c>
      <c r="F46" s="8">
        <f>+Données!I46</f>
        <v>0</v>
      </c>
      <c r="G46" s="8">
        <f>+Données!J46</f>
        <v>20361.759999999998</v>
      </c>
      <c r="H46" s="8">
        <f>Données!U46</f>
        <v>-34030.400000000001</v>
      </c>
      <c r="I46" s="154">
        <f>Données!V46</f>
        <v>0</v>
      </c>
      <c r="J46" s="154">
        <f>Données!W46</f>
        <v>-484.05</v>
      </c>
      <c r="K46" s="8">
        <f>+Données!Q46</f>
        <v>1193.68</v>
      </c>
      <c r="L46" s="350">
        <f t="shared" si="1"/>
        <v>1005483.87</v>
      </c>
      <c r="M46" s="8">
        <f>+Données!F46</f>
        <v>0</v>
      </c>
      <c r="N46" s="8">
        <f>+Données!K46</f>
        <v>1640.55</v>
      </c>
      <c r="O46" s="8">
        <f>(Données!L46/Données!Y46)*1</f>
        <v>96364.95</v>
      </c>
      <c r="P46" s="350">
        <f t="shared" si="2"/>
        <v>1103489.3700000001</v>
      </c>
      <c r="Q46" s="176">
        <f>+Données!X46</f>
        <v>77</v>
      </c>
      <c r="R46" s="350">
        <f t="shared" si="3"/>
        <v>14331.03077922078</v>
      </c>
    </row>
    <row r="47" spans="1:18" x14ac:dyDescent="0.25">
      <c r="A47" s="7">
        <f>Données!A47</f>
        <v>5480</v>
      </c>
      <c r="B47" s="27" t="str">
        <f>Données!B47</f>
        <v>Daillens</v>
      </c>
      <c r="C47" s="8">
        <f>Données!C47+Données!D47</f>
        <v>2475084.34</v>
      </c>
      <c r="D47" s="8">
        <f>+Données!G47+Données!H47+Données!S47</f>
        <v>-13144.8</v>
      </c>
      <c r="E47" s="8">
        <f>+Données!E47</f>
        <v>0</v>
      </c>
      <c r="F47" s="8">
        <f>+Données!I47</f>
        <v>0</v>
      </c>
      <c r="G47" s="8">
        <f>+Données!J47</f>
        <v>42307.86</v>
      </c>
      <c r="H47" s="8">
        <f>Données!U47</f>
        <v>-37786.35</v>
      </c>
      <c r="I47" s="154">
        <f>Données!V47</f>
        <v>0</v>
      </c>
      <c r="J47" s="154">
        <f>Données!W47</f>
        <v>-803.63</v>
      </c>
      <c r="K47" s="8">
        <f>+Données!Q47</f>
        <v>10741.02</v>
      </c>
      <c r="L47" s="350">
        <f t="shared" si="1"/>
        <v>2476398.44</v>
      </c>
      <c r="M47" s="8">
        <f>+Données!F47</f>
        <v>0</v>
      </c>
      <c r="N47" s="8">
        <f>+Données!K47</f>
        <v>13103.7</v>
      </c>
      <c r="O47" s="8">
        <f>(Données!L47/Données!Y47)*1</f>
        <v>331409.08333333337</v>
      </c>
      <c r="P47" s="350">
        <f t="shared" si="2"/>
        <v>2820911.2233333336</v>
      </c>
      <c r="Q47" s="176">
        <f>+Données!X47</f>
        <v>66</v>
      </c>
      <c r="R47" s="350">
        <f t="shared" si="3"/>
        <v>42741.079141414142</v>
      </c>
    </row>
    <row r="48" spans="1:18" x14ac:dyDescent="0.25">
      <c r="A48" s="7">
        <f>Données!A48</f>
        <v>5481</v>
      </c>
      <c r="B48" s="27" t="str">
        <f>Données!B48</f>
        <v>Dizy</v>
      </c>
      <c r="C48" s="8">
        <f>Données!C48+Données!D48</f>
        <v>527323.42000000004</v>
      </c>
      <c r="D48" s="8">
        <f>+Données!G48+Données!H48+Données!S48</f>
        <v>68149.2</v>
      </c>
      <c r="E48" s="8">
        <f>+Données!E48</f>
        <v>0</v>
      </c>
      <c r="F48" s="8">
        <f>+Données!I48</f>
        <v>0</v>
      </c>
      <c r="G48" s="8">
        <f>+Données!J48</f>
        <v>3040.76</v>
      </c>
      <c r="H48" s="8">
        <f>Données!U48</f>
        <v>-1595.93</v>
      </c>
      <c r="I48" s="154">
        <f>Données!V48</f>
        <v>0</v>
      </c>
      <c r="J48" s="154">
        <f>Données!W48</f>
        <v>0</v>
      </c>
      <c r="K48" s="8">
        <f>+Données!Q48</f>
        <v>5315.58</v>
      </c>
      <c r="L48" s="350">
        <f t="shared" si="1"/>
        <v>602233.02999999991</v>
      </c>
      <c r="M48" s="8">
        <f>+Données!F48</f>
        <v>0</v>
      </c>
      <c r="N48" s="8">
        <f>+Données!K48</f>
        <v>0</v>
      </c>
      <c r="O48" s="8">
        <f>(Données!L48/Données!Y48)*1</f>
        <v>39166.15</v>
      </c>
      <c r="P48" s="350">
        <f t="shared" si="2"/>
        <v>641399.17999999993</v>
      </c>
      <c r="Q48" s="176">
        <f>+Données!X48</f>
        <v>75</v>
      </c>
      <c r="R48" s="350">
        <f t="shared" si="3"/>
        <v>8551.9890666666652</v>
      </c>
    </row>
    <row r="49" spans="1:18" x14ac:dyDescent="0.25">
      <c r="A49" s="7">
        <f>Données!A49</f>
        <v>5482</v>
      </c>
      <c r="B49" s="27" t="str">
        <f>Données!B49</f>
        <v>Eclépens</v>
      </c>
      <c r="C49" s="8">
        <f>Données!C49+Données!D49</f>
        <v>1529910.81</v>
      </c>
      <c r="D49" s="8">
        <f>+Données!G49+Données!H49+Données!S49</f>
        <v>171637.63</v>
      </c>
      <c r="E49" s="8">
        <f>+Données!E49</f>
        <v>0</v>
      </c>
      <c r="F49" s="8">
        <f>+Données!I49</f>
        <v>0</v>
      </c>
      <c r="G49" s="8">
        <f>+Données!J49</f>
        <v>77595.570000000007</v>
      </c>
      <c r="H49" s="8">
        <f>Données!U49</f>
        <v>-24600.62</v>
      </c>
      <c r="I49" s="154">
        <f>Données!V49</f>
        <v>0</v>
      </c>
      <c r="J49" s="154">
        <f>Données!W49</f>
        <v>-982.8</v>
      </c>
      <c r="K49" s="8">
        <f>+Données!Q49</f>
        <v>5995.82</v>
      </c>
      <c r="L49" s="350">
        <f t="shared" si="1"/>
        <v>1759556.41</v>
      </c>
      <c r="M49" s="8">
        <f>+Données!F49</f>
        <v>0</v>
      </c>
      <c r="N49" s="8">
        <f>+Données!K49</f>
        <v>20132.7</v>
      </c>
      <c r="O49" s="8">
        <f>(Données!L49/Données!Y49)*1</f>
        <v>442642.7</v>
      </c>
      <c r="P49" s="350">
        <f t="shared" si="2"/>
        <v>2222331.81</v>
      </c>
      <c r="Q49" s="176">
        <f>+Données!X49</f>
        <v>46</v>
      </c>
      <c r="R49" s="350">
        <f t="shared" si="3"/>
        <v>48311.561086956521</v>
      </c>
    </row>
    <row r="50" spans="1:18" x14ac:dyDescent="0.25">
      <c r="A50" s="7">
        <f>Données!A50</f>
        <v>5483</v>
      </c>
      <c r="B50" s="27" t="str">
        <f>Données!B50</f>
        <v>Ferreyres</v>
      </c>
      <c r="C50" s="8">
        <f>Données!C50+Données!D50</f>
        <v>714611.29</v>
      </c>
      <c r="D50" s="8">
        <f>+Données!G50+Données!H50+Données!S50</f>
        <v>8746.869999999999</v>
      </c>
      <c r="E50" s="8">
        <f>+Données!E50</f>
        <v>0</v>
      </c>
      <c r="F50" s="8">
        <f>+Données!I50</f>
        <v>0</v>
      </c>
      <c r="G50" s="8">
        <f>+Données!J50</f>
        <v>2104.39</v>
      </c>
      <c r="H50" s="8">
        <f>Données!U50</f>
        <v>-3086.18</v>
      </c>
      <c r="I50" s="154">
        <f>Données!V50</f>
        <v>0</v>
      </c>
      <c r="J50" s="154">
        <f>Données!W50</f>
        <v>-1013.74</v>
      </c>
      <c r="K50" s="8">
        <f>+Données!Q50</f>
        <v>0</v>
      </c>
      <c r="L50" s="350">
        <f t="shared" si="1"/>
        <v>721362.63</v>
      </c>
      <c r="M50" s="8">
        <f>+Données!F50</f>
        <v>0</v>
      </c>
      <c r="N50" s="8">
        <f>+Données!K50</f>
        <v>175.5</v>
      </c>
      <c r="O50" s="8">
        <f>(Données!L50/Données!Y50)*1</f>
        <v>60060.4</v>
      </c>
      <c r="P50" s="350">
        <f t="shared" si="2"/>
        <v>781598.53</v>
      </c>
      <c r="Q50" s="176">
        <f>+Données!X50</f>
        <v>76</v>
      </c>
      <c r="R50" s="350">
        <f t="shared" si="3"/>
        <v>10284.191184210527</v>
      </c>
    </row>
    <row r="51" spans="1:18" x14ac:dyDescent="0.25">
      <c r="A51" s="7">
        <f>Données!A51</f>
        <v>5484</v>
      </c>
      <c r="B51" s="27" t="str">
        <f>Données!B51</f>
        <v>Gollion</v>
      </c>
      <c r="C51" s="8">
        <f>Données!C51+Données!D51</f>
        <v>2156897.1799999997</v>
      </c>
      <c r="D51" s="8">
        <f>+Données!G51+Données!H51+Données!S51</f>
        <v>53502.86</v>
      </c>
      <c r="E51" s="8">
        <f>+Données!E51</f>
        <v>0</v>
      </c>
      <c r="F51" s="8">
        <f>+Données!I51</f>
        <v>0</v>
      </c>
      <c r="G51" s="8">
        <f>+Données!J51</f>
        <v>19714.080000000002</v>
      </c>
      <c r="H51" s="8">
        <f>Données!U51</f>
        <v>-21376.39</v>
      </c>
      <c r="I51" s="154">
        <f>Données!V51</f>
        <v>0</v>
      </c>
      <c r="J51" s="154">
        <f>Données!W51</f>
        <v>-112.8</v>
      </c>
      <c r="K51" s="8">
        <f>+Données!Q51</f>
        <v>766.99</v>
      </c>
      <c r="L51" s="350">
        <f t="shared" si="1"/>
        <v>2209391.92</v>
      </c>
      <c r="M51" s="8">
        <f>+Données!F51</f>
        <v>0</v>
      </c>
      <c r="N51" s="8">
        <f>+Données!K51</f>
        <v>6304.65</v>
      </c>
      <c r="O51" s="8">
        <f>(Données!L51/Données!Y51)*1</f>
        <v>196784.3</v>
      </c>
      <c r="P51" s="350">
        <f t="shared" si="2"/>
        <v>2412480.8699999996</v>
      </c>
      <c r="Q51" s="176">
        <f>+Données!X51</f>
        <v>74</v>
      </c>
      <c r="R51" s="350">
        <f t="shared" si="3"/>
        <v>32601.092837837834</v>
      </c>
    </row>
    <row r="52" spans="1:18" x14ac:dyDescent="0.25">
      <c r="A52" s="7">
        <f>Données!A52</f>
        <v>5485</v>
      </c>
      <c r="B52" s="27" t="str">
        <f>Données!B52</f>
        <v>Grancy</v>
      </c>
      <c r="C52" s="8">
        <f>Données!C52+Données!D52</f>
        <v>1202643.47</v>
      </c>
      <c r="D52" s="8">
        <f>+Données!G52+Données!H52+Données!S52</f>
        <v>29647.45</v>
      </c>
      <c r="E52" s="8">
        <f>+Données!E52</f>
        <v>0</v>
      </c>
      <c r="F52" s="8">
        <f>+Données!I52</f>
        <v>0</v>
      </c>
      <c r="G52" s="8">
        <f>+Données!J52</f>
        <v>7958.97</v>
      </c>
      <c r="H52" s="8">
        <f>Données!U52</f>
        <v>-4270.97</v>
      </c>
      <c r="I52" s="154">
        <f>Données!V52</f>
        <v>0</v>
      </c>
      <c r="J52" s="154">
        <f>Données!W52</f>
        <v>-200.13</v>
      </c>
      <c r="K52" s="8">
        <f>+Données!Q52</f>
        <v>150.24</v>
      </c>
      <c r="L52" s="350">
        <f t="shared" si="1"/>
        <v>1235929.03</v>
      </c>
      <c r="M52" s="8">
        <f>+Données!F52</f>
        <v>0</v>
      </c>
      <c r="N52" s="8">
        <f>+Données!K52</f>
        <v>74.8</v>
      </c>
      <c r="O52" s="8">
        <f>(Données!L52/Données!Y52)*1</f>
        <v>91269.1</v>
      </c>
      <c r="P52" s="350">
        <f t="shared" si="2"/>
        <v>1327272.9300000002</v>
      </c>
      <c r="Q52" s="176">
        <f>+Données!X52</f>
        <v>70</v>
      </c>
      <c r="R52" s="350">
        <f t="shared" si="3"/>
        <v>18961.04185714286</v>
      </c>
    </row>
    <row r="53" spans="1:18" x14ac:dyDescent="0.25">
      <c r="A53" s="7">
        <f>Données!A53</f>
        <v>5486</v>
      </c>
      <c r="B53" s="27" t="str">
        <f>Données!B53</f>
        <v>L'Isle</v>
      </c>
      <c r="C53" s="8">
        <f>Données!C53+Données!D53</f>
        <v>2304364.89</v>
      </c>
      <c r="D53" s="8">
        <f>+Données!G53+Données!H53+Données!S53</f>
        <v>70612.209999999992</v>
      </c>
      <c r="E53" s="8">
        <f>+Données!E53</f>
        <v>0</v>
      </c>
      <c r="F53" s="8">
        <f>+Données!I53</f>
        <v>0</v>
      </c>
      <c r="G53" s="8">
        <f>+Données!J53</f>
        <v>33904.49</v>
      </c>
      <c r="H53" s="8">
        <f>Données!U53</f>
        <v>-18000.98</v>
      </c>
      <c r="I53" s="154">
        <f>Données!V53</f>
        <v>0</v>
      </c>
      <c r="J53" s="154">
        <f>Données!W53</f>
        <v>0</v>
      </c>
      <c r="K53" s="8">
        <f>+Données!Q53</f>
        <v>424.79</v>
      </c>
      <c r="L53" s="350">
        <f t="shared" si="1"/>
        <v>2391305.4000000004</v>
      </c>
      <c r="M53" s="8">
        <f>+Données!F53</f>
        <v>0</v>
      </c>
      <c r="N53" s="8">
        <f>+Données!K53</f>
        <v>11661.2</v>
      </c>
      <c r="O53" s="8">
        <f>(Données!L53/Données!Y53)*1</f>
        <v>203693.1</v>
      </c>
      <c r="P53" s="350">
        <f t="shared" si="2"/>
        <v>2606659.7000000007</v>
      </c>
      <c r="Q53" s="176">
        <f>+Données!X53</f>
        <v>75</v>
      </c>
      <c r="R53" s="350">
        <f t="shared" si="3"/>
        <v>34755.462666666674</v>
      </c>
    </row>
    <row r="54" spans="1:18" x14ac:dyDescent="0.25">
      <c r="A54" s="7">
        <f>Données!A54</f>
        <v>5487</v>
      </c>
      <c r="B54" s="27" t="str">
        <f>Données!B54</f>
        <v>Lussery-Villars</v>
      </c>
      <c r="C54" s="8">
        <f>Données!C54+Données!D54</f>
        <v>813957.71</v>
      </c>
      <c r="D54" s="8">
        <f>+Données!G54+Données!H54+Données!S54</f>
        <v>3913.01</v>
      </c>
      <c r="E54" s="8">
        <f>+Données!E54</f>
        <v>0</v>
      </c>
      <c r="F54" s="8">
        <f>+Données!I54</f>
        <v>0</v>
      </c>
      <c r="G54" s="8">
        <f>+Données!J54</f>
        <v>3474.05</v>
      </c>
      <c r="H54" s="8">
        <f>Données!U54</f>
        <v>-15614.44</v>
      </c>
      <c r="I54" s="154">
        <f>Données!V54</f>
        <v>0</v>
      </c>
      <c r="J54" s="154">
        <f>Données!W54</f>
        <v>0</v>
      </c>
      <c r="K54" s="8">
        <f>+Données!Q54</f>
        <v>13814.44</v>
      </c>
      <c r="L54" s="350">
        <f t="shared" si="1"/>
        <v>819544.77</v>
      </c>
      <c r="M54" s="8">
        <f>+Données!F54</f>
        <v>0</v>
      </c>
      <c r="N54" s="8">
        <f>+Données!K54</f>
        <v>993.25</v>
      </c>
      <c r="O54" s="8">
        <f>(Données!L54/Données!Y54)*1</f>
        <v>82655.350000000006</v>
      </c>
      <c r="P54" s="350">
        <f t="shared" si="2"/>
        <v>903193.37</v>
      </c>
      <c r="Q54" s="176">
        <f>+Données!X54</f>
        <v>75</v>
      </c>
      <c r="R54" s="350">
        <f t="shared" si="3"/>
        <v>12042.578266666667</v>
      </c>
    </row>
    <row r="55" spans="1:18" x14ac:dyDescent="0.25">
      <c r="A55" s="7">
        <f>Données!A55</f>
        <v>5488</v>
      </c>
      <c r="B55" s="27" t="str">
        <f>Données!B55</f>
        <v>Mauraz</v>
      </c>
      <c r="C55" s="8">
        <f>Données!C55+Données!D55</f>
        <v>157010.99000000002</v>
      </c>
      <c r="D55" s="8">
        <f>+Données!G55+Données!H55+Données!S55</f>
        <v>109.43</v>
      </c>
      <c r="E55" s="8">
        <f>+Données!E55</f>
        <v>0</v>
      </c>
      <c r="F55" s="8">
        <f>+Données!I55</f>
        <v>0</v>
      </c>
      <c r="G55" s="8">
        <f>+Données!J55</f>
        <v>458</v>
      </c>
      <c r="H55" s="8">
        <f>Données!U55</f>
        <v>-2431.8200000000002</v>
      </c>
      <c r="I55" s="154">
        <f>Données!V55</f>
        <v>0</v>
      </c>
      <c r="J55" s="154">
        <f>Données!W55</f>
        <v>0</v>
      </c>
      <c r="K55" s="8">
        <f>+Données!Q55</f>
        <v>0</v>
      </c>
      <c r="L55" s="350">
        <f t="shared" si="1"/>
        <v>155146.6</v>
      </c>
      <c r="M55" s="8">
        <f>+Données!F55</f>
        <v>0</v>
      </c>
      <c r="N55" s="8">
        <f>+Données!K55</f>
        <v>0</v>
      </c>
      <c r="O55" s="8">
        <f>(Données!L55/Données!Y55)*1</f>
        <v>8987</v>
      </c>
      <c r="P55" s="350">
        <f t="shared" si="2"/>
        <v>164133.6</v>
      </c>
      <c r="Q55" s="176">
        <f>+Données!X55</f>
        <v>77</v>
      </c>
      <c r="R55" s="350">
        <f t="shared" si="3"/>
        <v>2131.605194805195</v>
      </c>
    </row>
    <row r="56" spans="1:18" x14ac:dyDescent="0.25">
      <c r="A56" s="7">
        <f>Données!A56</f>
        <v>5489</v>
      </c>
      <c r="B56" s="27" t="str">
        <f>Données!B56</f>
        <v>Mex</v>
      </c>
      <c r="C56" s="8">
        <f>Données!C56+Données!D56</f>
        <v>2716222.13</v>
      </c>
      <c r="D56" s="8">
        <f>+Données!G56+Données!H56+Données!S56</f>
        <v>522079.51</v>
      </c>
      <c r="E56" s="8">
        <f>+Données!E56</f>
        <v>0</v>
      </c>
      <c r="F56" s="8">
        <f>+Données!I56</f>
        <v>0</v>
      </c>
      <c r="G56" s="8">
        <f>+Données!J56</f>
        <v>55715.49</v>
      </c>
      <c r="H56" s="8">
        <f>Données!U56</f>
        <v>-15246.03</v>
      </c>
      <c r="I56" s="154">
        <f>Données!V56</f>
        <v>0</v>
      </c>
      <c r="J56" s="154">
        <f>Données!W56</f>
        <v>-3666.91</v>
      </c>
      <c r="K56" s="8">
        <f>+Données!Q56</f>
        <v>1794.24</v>
      </c>
      <c r="L56" s="350">
        <f t="shared" si="1"/>
        <v>3276898.43</v>
      </c>
      <c r="M56" s="8">
        <f>+Données!F56</f>
        <v>0</v>
      </c>
      <c r="N56" s="8">
        <f>+Données!K56</f>
        <v>6151.5</v>
      </c>
      <c r="O56" s="8">
        <f>(Données!L56/Données!Y56)*1</f>
        <v>304202.90000000002</v>
      </c>
      <c r="P56" s="350">
        <f t="shared" si="2"/>
        <v>3587252.83</v>
      </c>
      <c r="Q56" s="176">
        <f>+Données!X56</f>
        <v>59.5</v>
      </c>
      <c r="R56" s="350">
        <f t="shared" si="3"/>
        <v>60289.963529411769</v>
      </c>
    </row>
    <row r="57" spans="1:18" x14ac:dyDescent="0.25">
      <c r="A57" s="7">
        <f>Données!A57</f>
        <v>5490</v>
      </c>
      <c r="B57" s="27" t="str">
        <f>Données!B57</f>
        <v>Moiry</v>
      </c>
      <c r="C57" s="8">
        <f>Données!C57+Données!D57</f>
        <v>610042.6100000001</v>
      </c>
      <c r="D57" s="8">
        <f>+Données!G57+Données!H57+Données!S57</f>
        <v>1158.1400000000001</v>
      </c>
      <c r="E57" s="8">
        <f>+Données!E57</f>
        <v>0</v>
      </c>
      <c r="F57" s="8">
        <f>+Données!I57</f>
        <v>0</v>
      </c>
      <c r="G57" s="8">
        <f>+Données!J57</f>
        <v>1091.75</v>
      </c>
      <c r="H57" s="8">
        <f>Données!U57</f>
        <v>-8440.4</v>
      </c>
      <c r="I57" s="154">
        <f>Données!V57</f>
        <v>0</v>
      </c>
      <c r="J57" s="154">
        <f>Données!W57</f>
        <v>-315.7</v>
      </c>
      <c r="K57" s="8">
        <f>+Données!Q57</f>
        <v>0</v>
      </c>
      <c r="L57" s="350">
        <f t="shared" si="1"/>
        <v>603536.40000000014</v>
      </c>
      <c r="M57" s="8">
        <f>+Données!F57</f>
        <v>0</v>
      </c>
      <c r="N57" s="8">
        <f>+Données!K57</f>
        <v>0</v>
      </c>
      <c r="O57" s="8">
        <f>(Données!L57/Données!Y57)*1</f>
        <v>47956</v>
      </c>
      <c r="P57" s="350">
        <f t="shared" si="2"/>
        <v>651492.40000000014</v>
      </c>
      <c r="Q57" s="176">
        <f>+Données!X57</f>
        <v>77</v>
      </c>
      <c r="R57" s="350">
        <f t="shared" si="3"/>
        <v>8460.9402597402623</v>
      </c>
    </row>
    <row r="58" spans="1:18" x14ac:dyDescent="0.25">
      <c r="A58" s="7">
        <f>Données!A58</f>
        <v>5491</v>
      </c>
      <c r="B58" s="27" t="str">
        <f>Données!B58</f>
        <v>Mont-la-Ville</v>
      </c>
      <c r="C58" s="8">
        <f>Données!C58+Données!D58</f>
        <v>937563.74</v>
      </c>
      <c r="D58" s="8">
        <f>+Données!G58+Données!H58+Données!S58</f>
        <v>33108.910000000003</v>
      </c>
      <c r="E58" s="8">
        <f>+Données!E58</f>
        <v>0</v>
      </c>
      <c r="F58" s="8">
        <f>+Données!I58</f>
        <v>0</v>
      </c>
      <c r="G58" s="8">
        <f>+Données!J58</f>
        <v>5828.18</v>
      </c>
      <c r="H58" s="8">
        <f>Données!U58</f>
        <v>-20652.240000000002</v>
      </c>
      <c r="I58" s="154">
        <f>Données!V58</f>
        <v>0</v>
      </c>
      <c r="J58" s="154">
        <f>Données!W58</f>
        <v>-24.5</v>
      </c>
      <c r="K58" s="8">
        <f>+Données!Q58</f>
        <v>13.91</v>
      </c>
      <c r="L58" s="350">
        <f t="shared" si="1"/>
        <v>955838.00000000012</v>
      </c>
      <c r="M58" s="8">
        <f>+Données!F58</f>
        <v>2780</v>
      </c>
      <c r="N58" s="8">
        <f>+Données!K58</f>
        <v>425</v>
      </c>
      <c r="O58" s="8">
        <f>(Données!L58/Données!Y58)*1</f>
        <v>92939.05</v>
      </c>
      <c r="P58" s="350">
        <f t="shared" si="2"/>
        <v>1051982.05</v>
      </c>
      <c r="Q58" s="176">
        <f>+Données!X58</f>
        <v>76</v>
      </c>
      <c r="R58" s="350">
        <f t="shared" si="3"/>
        <v>13841.869078947369</v>
      </c>
    </row>
    <row r="59" spans="1:18" x14ac:dyDescent="0.25">
      <c r="A59" s="7">
        <f>Données!A59</f>
        <v>5492</v>
      </c>
      <c r="B59" s="27" t="str">
        <f>Données!B59</f>
        <v>Montricher</v>
      </c>
      <c r="C59" s="8">
        <f>Données!C59+Données!D59</f>
        <v>9269140.2199999988</v>
      </c>
      <c r="D59" s="8">
        <f>+Données!G59+Données!H59+Données!S59</f>
        <v>84105.39</v>
      </c>
      <c r="E59" s="8">
        <f>+Données!E59</f>
        <v>0</v>
      </c>
      <c r="F59" s="8">
        <f>+Données!I59</f>
        <v>0</v>
      </c>
      <c r="G59" s="8">
        <f>+Données!J59</f>
        <v>-7366.98</v>
      </c>
      <c r="H59" s="8">
        <f>Données!U59</f>
        <v>-20814.23</v>
      </c>
      <c r="I59" s="154">
        <f>Données!V59</f>
        <v>0</v>
      </c>
      <c r="J59" s="154">
        <f>Données!W59</f>
        <v>-3540.85</v>
      </c>
      <c r="K59" s="8">
        <f>+Données!Q59</f>
        <v>18028.43</v>
      </c>
      <c r="L59" s="350">
        <f t="shared" si="1"/>
        <v>9339551.9799999986</v>
      </c>
      <c r="M59" s="8">
        <f>+Données!F59</f>
        <v>0</v>
      </c>
      <c r="N59" s="8">
        <f>+Données!K59</f>
        <v>4857.45</v>
      </c>
      <c r="O59" s="8">
        <f>(Données!L59/Données!Y59)*1</f>
        <v>249608.50000000003</v>
      </c>
      <c r="P59" s="350">
        <f t="shared" si="2"/>
        <v>9594017.9299999978</v>
      </c>
      <c r="Q59" s="176">
        <f>+Données!X59</f>
        <v>64</v>
      </c>
      <c r="R59" s="350">
        <f t="shared" si="3"/>
        <v>149906.53015624997</v>
      </c>
    </row>
    <row r="60" spans="1:18" x14ac:dyDescent="0.25">
      <c r="A60" s="7">
        <f>Données!A60</f>
        <v>5493</v>
      </c>
      <c r="B60" s="27" t="str">
        <f>Données!B60</f>
        <v>Orny</v>
      </c>
      <c r="C60" s="8">
        <f>Données!C60+Données!D60</f>
        <v>965668.79</v>
      </c>
      <c r="D60" s="8">
        <f>+Données!G60+Données!H60+Données!S60</f>
        <v>10641.91</v>
      </c>
      <c r="E60" s="8">
        <f>+Données!E60</f>
        <v>0</v>
      </c>
      <c r="F60" s="8">
        <f>+Données!I60</f>
        <v>0</v>
      </c>
      <c r="G60" s="8">
        <f>+Données!J60</f>
        <v>17420.61</v>
      </c>
      <c r="H60" s="8">
        <f>Données!U60</f>
        <v>-8679.82</v>
      </c>
      <c r="I60" s="154">
        <f>Données!V60</f>
        <v>0</v>
      </c>
      <c r="J60" s="154">
        <f>Données!W60</f>
        <v>-156.4</v>
      </c>
      <c r="K60" s="8">
        <f>+Données!Q60</f>
        <v>0</v>
      </c>
      <c r="L60" s="350">
        <f t="shared" si="1"/>
        <v>984895.09000000008</v>
      </c>
      <c r="M60" s="8">
        <f>+Données!F60</f>
        <v>0</v>
      </c>
      <c r="N60" s="8">
        <f>+Données!K60</f>
        <v>3534.35</v>
      </c>
      <c r="O60" s="8">
        <f>(Données!L60/Données!Y60)*1</f>
        <v>79977.692307692312</v>
      </c>
      <c r="P60" s="350">
        <f t="shared" si="2"/>
        <v>1068407.1323076924</v>
      </c>
      <c r="Q60" s="176">
        <f>+Données!X60</f>
        <v>73</v>
      </c>
      <c r="R60" s="350">
        <f t="shared" si="3"/>
        <v>14635.714141201266</v>
      </c>
    </row>
    <row r="61" spans="1:18" x14ac:dyDescent="0.25">
      <c r="A61" s="7">
        <f>Données!A61</f>
        <v>5495</v>
      </c>
      <c r="B61" s="27" t="str">
        <f>Données!B61</f>
        <v>Penthalaz</v>
      </c>
      <c r="C61" s="8">
        <f>Données!C61+Données!D61</f>
        <v>6620017.9699999997</v>
      </c>
      <c r="D61" s="8">
        <f>+Données!G61+Données!H61+Données!S61</f>
        <v>274367.15000000002</v>
      </c>
      <c r="E61" s="8">
        <f>+Données!E61</f>
        <v>0</v>
      </c>
      <c r="F61" s="8">
        <f>+Données!I61</f>
        <v>76799.7</v>
      </c>
      <c r="G61" s="8">
        <f>+Données!J61</f>
        <v>211972.27</v>
      </c>
      <c r="H61" s="8">
        <f>Données!U61</f>
        <v>-171049.56</v>
      </c>
      <c r="I61" s="154">
        <f>Données!V61</f>
        <v>0</v>
      </c>
      <c r="J61" s="154">
        <f>Données!W61</f>
        <v>-685.49</v>
      </c>
      <c r="K61" s="8">
        <f>+Données!Q61</f>
        <v>23393.9</v>
      </c>
      <c r="L61" s="350">
        <f t="shared" si="1"/>
        <v>7034815.9400000004</v>
      </c>
      <c r="M61" s="8">
        <f>+Données!F61</f>
        <v>0</v>
      </c>
      <c r="N61" s="8">
        <f>+Données!K61</f>
        <v>77785.600000000006</v>
      </c>
      <c r="O61" s="8">
        <f>(Données!L61/Données!Y61)*1</f>
        <v>513365.45</v>
      </c>
      <c r="P61" s="350">
        <f t="shared" si="2"/>
        <v>7625966.9900000002</v>
      </c>
      <c r="Q61" s="176">
        <f>+Données!X61</f>
        <v>74</v>
      </c>
      <c r="R61" s="350">
        <f t="shared" si="3"/>
        <v>103053.60797297298</v>
      </c>
    </row>
    <row r="62" spans="1:18" x14ac:dyDescent="0.25">
      <c r="A62" s="7">
        <f>Données!A62</f>
        <v>5496</v>
      </c>
      <c r="B62" s="27" t="str">
        <f>Données!B62</f>
        <v>Penthaz</v>
      </c>
      <c r="C62" s="8">
        <f>Données!C62+Données!D62</f>
        <v>3697867.35</v>
      </c>
      <c r="D62" s="8">
        <f>+Données!G62+Données!H62+Données!S62</f>
        <v>172947.08</v>
      </c>
      <c r="E62" s="8">
        <f>+Données!E62</f>
        <v>0</v>
      </c>
      <c r="F62" s="8">
        <f>+Données!I62</f>
        <v>0</v>
      </c>
      <c r="G62" s="8">
        <f>+Données!J62</f>
        <v>89283.92</v>
      </c>
      <c r="H62" s="8">
        <f>Données!U62</f>
        <v>-79946.880000000005</v>
      </c>
      <c r="I62" s="154">
        <f>Données!V62</f>
        <v>0</v>
      </c>
      <c r="J62" s="154">
        <f>Données!W62</f>
        <v>-156.5</v>
      </c>
      <c r="K62" s="8">
        <f>+Données!Q62</f>
        <v>10397.52</v>
      </c>
      <c r="L62" s="350">
        <f t="shared" si="1"/>
        <v>3890392.49</v>
      </c>
      <c r="M62" s="8">
        <f>+Données!F62</f>
        <v>0</v>
      </c>
      <c r="N62" s="8">
        <f>+Données!K62</f>
        <v>25492.5</v>
      </c>
      <c r="O62" s="8">
        <f>(Données!L62/Données!Y62)*1</f>
        <v>368757.3</v>
      </c>
      <c r="P62" s="350">
        <f t="shared" si="2"/>
        <v>4284642.29</v>
      </c>
      <c r="Q62" s="176">
        <f>+Données!X62</f>
        <v>69.5</v>
      </c>
      <c r="R62" s="350">
        <f t="shared" si="3"/>
        <v>61649.529352517988</v>
      </c>
    </row>
    <row r="63" spans="1:18" x14ac:dyDescent="0.25">
      <c r="A63" s="7">
        <f>Données!A63</f>
        <v>5497</v>
      </c>
      <c r="B63" s="27" t="str">
        <f>Données!B63</f>
        <v>Pompaples</v>
      </c>
      <c r="C63" s="8">
        <f>Données!C63+Données!D63</f>
        <v>1298948.26</v>
      </c>
      <c r="D63" s="8">
        <f>+Données!G63+Données!H63+Données!S63</f>
        <v>22758.03</v>
      </c>
      <c r="E63" s="8">
        <f>+Données!E63</f>
        <v>0</v>
      </c>
      <c r="F63" s="8">
        <f>+Données!I63</f>
        <v>0</v>
      </c>
      <c r="G63" s="8">
        <f>+Données!J63</f>
        <v>69090.25</v>
      </c>
      <c r="H63" s="8">
        <f>Données!U63</f>
        <v>-27509.43</v>
      </c>
      <c r="I63" s="154">
        <f>Données!V63</f>
        <v>0</v>
      </c>
      <c r="J63" s="154">
        <f>Données!W63</f>
        <v>-150.80000000000001</v>
      </c>
      <c r="K63" s="8">
        <f>+Données!Q63</f>
        <v>8434.52</v>
      </c>
      <c r="L63" s="350">
        <f t="shared" si="1"/>
        <v>1371570.83</v>
      </c>
      <c r="M63" s="8">
        <f>+Données!F63</f>
        <v>0</v>
      </c>
      <c r="N63" s="8">
        <f>+Données!K63</f>
        <v>4013.6</v>
      </c>
      <c r="O63" s="8">
        <f>(Données!L63/Données!Y63)*1</f>
        <v>139086.20000000001</v>
      </c>
      <c r="P63" s="350">
        <f t="shared" si="2"/>
        <v>1514670.6300000001</v>
      </c>
      <c r="Q63" s="176">
        <f>+Données!X63</f>
        <v>66</v>
      </c>
      <c r="R63" s="350">
        <f t="shared" si="3"/>
        <v>22949.555</v>
      </c>
    </row>
    <row r="64" spans="1:18" x14ac:dyDescent="0.25">
      <c r="A64" s="7">
        <f>Données!A64</f>
        <v>5498</v>
      </c>
      <c r="B64" s="27" t="str">
        <f>Données!B64</f>
        <v>La Sarraz</v>
      </c>
      <c r="C64" s="8">
        <f>Données!C64+Données!D64</f>
        <v>4289797.03</v>
      </c>
      <c r="D64" s="8">
        <f>+Données!G64+Données!H64+Données!S64</f>
        <v>117431.82</v>
      </c>
      <c r="E64" s="8">
        <f>+Données!E64</f>
        <v>0</v>
      </c>
      <c r="F64" s="8">
        <f>+Données!I64</f>
        <v>0</v>
      </c>
      <c r="G64" s="8">
        <f>+Données!J64</f>
        <v>109228.63</v>
      </c>
      <c r="H64" s="8">
        <f>Données!U64</f>
        <v>-110216.03</v>
      </c>
      <c r="I64" s="154">
        <f>Données!V64</f>
        <v>0</v>
      </c>
      <c r="J64" s="154">
        <f>Données!W64</f>
        <v>-112.81</v>
      </c>
      <c r="K64" s="8">
        <f>+Données!Q64</f>
        <v>17261.95</v>
      </c>
      <c r="L64" s="350">
        <f t="shared" si="1"/>
        <v>4423390.5900000008</v>
      </c>
      <c r="M64" s="8">
        <f>+Données!F64</f>
        <v>0</v>
      </c>
      <c r="N64" s="8">
        <f>+Données!K64</f>
        <v>25711.1</v>
      </c>
      <c r="O64" s="8">
        <f>(Données!L64/Données!Y64)*1</f>
        <v>417885.7</v>
      </c>
      <c r="P64" s="350">
        <f t="shared" si="2"/>
        <v>4866987.3900000006</v>
      </c>
      <c r="Q64" s="176">
        <f>+Données!X64</f>
        <v>66</v>
      </c>
      <c r="R64" s="350">
        <f t="shared" si="3"/>
        <v>73742.233181818185</v>
      </c>
    </row>
    <row r="65" spans="1:18" x14ac:dyDescent="0.25">
      <c r="A65" s="7">
        <f>Données!A65</f>
        <v>5499</v>
      </c>
      <c r="B65" s="27" t="str">
        <f>Données!B65</f>
        <v>Senarclens</v>
      </c>
      <c r="C65" s="8">
        <f>Données!C65+Données!D65</f>
        <v>1266074.73</v>
      </c>
      <c r="D65" s="8">
        <f>+Données!G65+Données!H65+Données!S65</f>
        <v>19241.55</v>
      </c>
      <c r="E65" s="8">
        <f>+Données!E65</f>
        <v>0</v>
      </c>
      <c r="F65" s="8">
        <f>+Données!I65</f>
        <v>0</v>
      </c>
      <c r="G65" s="8">
        <f>+Données!J65</f>
        <v>29664.6</v>
      </c>
      <c r="H65" s="8">
        <f>Données!U65</f>
        <v>-14108.24</v>
      </c>
      <c r="I65" s="154">
        <f>Données!V65</f>
        <v>0</v>
      </c>
      <c r="J65" s="154">
        <f>Données!W65</f>
        <v>-683.05</v>
      </c>
      <c r="K65" s="8">
        <f>+Données!Q65</f>
        <v>49.13</v>
      </c>
      <c r="L65" s="350">
        <f t="shared" si="1"/>
        <v>1300238.72</v>
      </c>
      <c r="M65" s="8">
        <f>+Données!F65</f>
        <v>0</v>
      </c>
      <c r="N65" s="8">
        <f>+Données!K65</f>
        <v>0</v>
      </c>
      <c r="O65" s="8">
        <f>(Données!L65/Données!Y65)*1</f>
        <v>103386.45</v>
      </c>
      <c r="P65" s="350">
        <f t="shared" si="2"/>
        <v>1403625.17</v>
      </c>
      <c r="Q65" s="176">
        <f>+Données!X65</f>
        <v>68.5</v>
      </c>
      <c r="R65" s="350">
        <f t="shared" si="3"/>
        <v>20490.878394160583</v>
      </c>
    </row>
    <row r="66" spans="1:18" x14ac:dyDescent="0.25">
      <c r="A66" s="7">
        <f>Données!A66</f>
        <v>5501</v>
      </c>
      <c r="B66" s="27" t="str">
        <f>Données!B66</f>
        <v>Sullens</v>
      </c>
      <c r="C66" s="8">
        <f>Données!C66+Données!D66</f>
        <v>3059734.09</v>
      </c>
      <c r="D66" s="8">
        <f>+Données!G66+Données!H66+Données!S66</f>
        <v>133844.5</v>
      </c>
      <c r="E66" s="8">
        <f>+Données!E66</f>
        <v>0</v>
      </c>
      <c r="F66" s="8">
        <f>+Données!I66</f>
        <v>0</v>
      </c>
      <c r="G66" s="8">
        <f>+Données!J66</f>
        <v>30549.64</v>
      </c>
      <c r="H66" s="8">
        <f>Données!U66</f>
        <v>-30117.39</v>
      </c>
      <c r="I66" s="154">
        <f>Données!V66</f>
        <v>0</v>
      </c>
      <c r="J66" s="154">
        <f>Données!W66</f>
        <v>-1560.15</v>
      </c>
      <c r="K66" s="8">
        <f>+Données!Q66</f>
        <v>722.98</v>
      </c>
      <c r="L66" s="350">
        <f t="shared" si="1"/>
        <v>3193173.67</v>
      </c>
      <c r="M66" s="8">
        <f>+Données!F66</f>
        <v>0</v>
      </c>
      <c r="N66" s="8">
        <f>+Données!K66</f>
        <v>0</v>
      </c>
      <c r="O66" s="8">
        <f>(Données!L66/Données!Y66)*1</f>
        <v>252522.4</v>
      </c>
      <c r="P66" s="350">
        <f t="shared" si="2"/>
        <v>3445696.07</v>
      </c>
      <c r="Q66" s="176">
        <f>+Données!X66</f>
        <v>64</v>
      </c>
      <c r="R66" s="350">
        <f t="shared" si="3"/>
        <v>53839.001093749997</v>
      </c>
    </row>
    <row r="67" spans="1:18" x14ac:dyDescent="0.25">
      <c r="A67" s="7">
        <f>Données!A67</f>
        <v>5503</v>
      </c>
      <c r="B67" s="27" t="str">
        <f>Données!B67</f>
        <v>Vufflens-la-Ville</v>
      </c>
      <c r="C67" s="8">
        <f>Données!C67+Données!D67</f>
        <v>3923148.12</v>
      </c>
      <c r="D67" s="8">
        <f>+Données!G67+Données!H67+Données!S67</f>
        <v>574919.68000000005</v>
      </c>
      <c r="E67" s="8">
        <f>+Données!E67</f>
        <v>0</v>
      </c>
      <c r="F67" s="8">
        <f>+Données!I67</f>
        <v>0</v>
      </c>
      <c r="G67" s="8">
        <f>+Données!J67</f>
        <v>66955.03</v>
      </c>
      <c r="H67" s="8">
        <f>Données!U67</f>
        <v>-36616.33</v>
      </c>
      <c r="I67" s="154">
        <f>Données!V67</f>
        <v>0</v>
      </c>
      <c r="J67" s="154">
        <f>Données!W67</f>
        <v>-481.25</v>
      </c>
      <c r="K67" s="8">
        <f>+Données!Q67</f>
        <v>1904.54</v>
      </c>
      <c r="L67" s="350">
        <f t="shared" si="1"/>
        <v>4529829.79</v>
      </c>
      <c r="M67" s="8">
        <f>+Données!F67</f>
        <v>0</v>
      </c>
      <c r="N67" s="8">
        <f>+Données!K67</f>
        <v>60646.85</v>
      </c>
      <c r="O67" s="8">
        <f>(Données!L67/Données!Y67)*1</f>
        <v>489138.16666666674</v>
      </c>
      <c r="P67" s="350">
        <f t="shared" si="2"/>
        <v>5079614.8066666666</v>
      </c>
      <c r="Q67" s="176">
        <f>+Données!X67</f>
        <v>67</v>
      </c>
      <c r="R67" s="350">
        <f t="shared" si="3"/>
        <v>75815.146368159199</v>
      </c>
    </row>
    <row r="68" spans="1:18" x14ac:dyDescent="0.25">
      <c r="A68" s="7">
        <f>Données!A68</f>
        <v>5511</v>
      </c>
      <c r="B68" s="27" t="str">
        <f>Données!B68</f>
        <v>Assens</v>
      </c>
      <c r="C68" s="8">
        <f>Données!C68+Données!D68</f>
        <v>4077358.44</v>
      </c>
      <c r="D68" s="8">
        <f>+Données!G68+Données!H68+Données!S68</f>
        <v>584910.12000000011</v>
      </c>
      <c r="E68" s="8">
        <f>+Données!E68</f>
        <v>0</v>
      </c>
      <c r="F68" s="8">
        <f>+Données!I68</f>
        <v>0</v>
      </c>
      <c r="G68" s="8">
        <f>+Données!J68</f>
        <v>41847</v>
      </c>
      <c r="H68" s="8">
        <f>Données!U68</f>
        <v>-31403.13</v>
      </c>
      <c r="I68" s="154">
        <f>Données!V68</f>
        <v>0</v>
      </c>
      <c r="J68" s="154">
        <f>Données!W68</f>
        <v>-966.06</v>
      </c>
      <c r="K68" s="8">
        <f>+Données!Q68</f>
        <v>13607.29</v>
      </c>
      <c r="L68" s="350">
        <f t="shared" si="1"/>
        <v>4685353.6600000011</v>
      </c>
      <c r="M68" s="8">
        <f>+Données!F68</f>
        <v>0</v>
      </c>
      <c r="N68" s="8">
        <f>+Données!K68</f>
        <v>22019.8</v>
      </c>
      <c r="O68" s="8">
        <f>(Données!L68/Données!Y68)*1</f>
        <v>390663.45</v>
      </c>
      <c r="P68" s="350">
        <f t="shared" si="2"/>
        <v>5098036.9100000011</v>
      </c>
      <c r="Q68" s="176">
        <f>+Données!X68</f>
        <v>70</v>
      </c>
      <c r="R68" s="350">
        <f t="shared" si="3"/>
        <v>72829.098714285734</v>
      </c>
    </row>
    <row r="69" spans="1:18" x14ac:dyDescent="0.25">
      <c r="A69" s="7">
        <f>Données!A69</f>
        <v>5512</v>
      </c>
      <c r="B69" s="27" t="str">
        <f>Données!B69</f>
        <v>Bercher</v>
      </c>
      <c r="C69" s="8">
        <f>Données!C69+Données!D69</f>
        <v>2841055.04</v>
      </c>
      <c r="D69" s="8">
        <f>+Données!G69+Données!H69+Données!S69</f>
        <v>75663.659999999989</v>
      </c>
      <c r="E69" s="8">
        <f>+Données!E69</f>
        <v>0</v>
      </c>
      <c r="F69" s="8">
        <f>+Données!I69</f>
        <v>0</v>
      </c>
      <c r="G69" s="8">
        <f>+Données!J69</f>
        <v>63273.13</v>
      </c>
      <c r="H69" s="8">
        <f>Données!U69</f>
        <v>-26263.360000000001</v>
      </c>
      <c r="I69" s="154">
        <f>Données!V69</f>
        <v>0</v>
      </c>
      <c r="J69" s="154">
        <f>Données!W69</f>
        <v>-340.15</v>
      </c>
      <c r="K69" s="8">
        <f>+Données!Q69</f>
        <v>20830.82</v>
      </c>
      <c r="L69" s="350">
        <f t="shared" si="1"/>
        <v>2974219.14</v>
      </c>
      <c r="M69" s="8">
        <f>+Données!F69</f>
        <v>0</v>
      </c>
      <c r="N69" s="8">
        <f>+Données!K69</f>
        <v>7327.9</v>
      </c>
      <c r="O69" s="8">
        <f>(Données!L69/Données!Y69)*1</f>
        <v>273092</v>
      </c>
      <c r="P69" s="350">
        <f t="shared" si="2"/>
        <v>3254639.04</v>
      </c>
      <c r="Q69" s="176">
        <f>+Données!X69</f>
        <v>79</v>
      </c>
      <c r="R69" s="350">
        <f t="shared" si="3"/>
        <v>41197.962531645571</v>
      </c>
    </row>
    <row r="70" spans="1:18" x14ac:dyDescent="0.25">
      <c r="A70" s="7">
        <f>Données!A70</f>
        <v>5514</v>
      </c>
      <c r="B70" s="27" t="str">
        <f>Données!B70</f>
        <v>Bottens</v>
      </c>
      <c r="C70" s="8">
        <f>Données!C70+Données!D70</f>
        <v>2972158.01</v>
      </c>
      <c r="D70" s="8">
        <f>+Données!G70+Données!H70+Données!S70</f>
        <v>55361.81</v>
      </c>
      <c r="E70" s="8">
        <f>+Données!E70</f>
        <v>0</v>
      </c>
      <c r="F70" s="8">
        <f>+Données!I70</f>
        <v>39675.800000000003</v>
      </c>
      <c r="G70" s="8">
        <f>+Données!J70</f>
        <v>50641.21</v>
      </c>
      <c r="H70" s="8">
        <f>Données!U70</f>
        <v>-99760.77</v>
      </c>
      <c r="I70" s="154">
        <f>Données!V70</f>
        <v>0</v>
      </c>
      <c r="J70" s="154">
        <f>Données!W70</f>
        <v>-2592.8000000000002</v>
      </c>
      <c r="K70" s="8">
        <f>+Données!Q70</f>
        <v>44751.07</v>
      </c>
      <c r="L70" s="350">
        <f t="shared" si="1"/>
        <v>3060234.3299999996</v>
      </c>
      <c r="M70" s="8">
        <f>+Données!F70</f>
        <v>0</v>
      </c>
      <c r="N70" s="8">
        <f>+Données!K70</f>
        <v>10408</v>
      </c>
      <c r="O70" s="8">
        <f>(Données!L70/Données!Y70)*1</f>
        <v>243450.5</v>
      </c>
      <c r="P70" s="350">
        <f t="shared" si="2"/>
        <v>3314092.8299999996</v>
      </c>
      <c r="Q70" s="176">
        <f>+Données!X70</f>
        <v>72.5</v>
      </c>
      <c r="R70" s="350">
        <f t="shared" si="3"/>
        <v>45711.625241379304</v>
      </c>
    </row>
    <row r="71" spans="1:18" x14ac:dyDescent="0.25">
      <c r="A71" s="7">
        <f>Données!A71</f>
        <v>5515</v>
      </c>
      <c r="B71" s="27" t="str">
        <f>Données!B71</f>
        <v>Bretigny-sur-Morrens</v>
      </c>
      <c r="C71" s="8">
        <f>Données!C71+Données!D71</f>
        <v>2023448.76</v>
      </c>
      <c r="D71" s="8">
        <f>+Données!G71+Données!H71+Données!S71</f>
        <v>47683.899999999994</v>
      </c>
      <c r="E71" s="8">
        <f>+Données!E71</f>
        <v>0</v>
      </c>
      <c r="F71" s="8">
        <f>+Données!I71</f>
        <v>0</v>
      </c>
      <c r="G71" s="8">
        <f>+Données!J71</f>
        <v>48242.97</v>
      </c>
      <c r="H71" s="8">
        <f>Données!U71</f>
        <v>-45438.68</v>
      </c>
      <c r="I71" s="154">
        <f>Données!V71</f>
        <v>0</v>
      </c>
      <c r="J71" s="154">
        <f>Données!W71</f>
        <v>-375.25</v>
      </c>
      <c r="K71" s="8">
        <f>+Données!Q71</f>
        <v>714.06</v>
      </c>
      <c r="L71" s="350">
        <f t="shared" ref="L71:L134" si="4">SUM(C71:K71)</f>
        <v>2074275.76</v>
      </c>
      <c r="M71" s="8">
        <f>+Données!F71</f>
        <v>0</v>
      </c>
      <c r="N71" s="8">
        <f>+Données!K71</f>
        <v>18378.05</v>
      </c>
      <c r="O71" s="8">
        <f>(Données!L71/Données!Y71)*1</f>
        <v>191561.15</v>
      </c>
      <c r="P71" s="350">
        <f t="shared" ref="P71:P134" si="5">SUM(L71:O71)</f>
        <v>2284214.96</v>
      </c>
      <c r="Q71" s="176">
        <f>+Données!X71</f>
        <v>78</v>
      </c>
      <c r="R71" s="350">
        <f t="shared" ref="R71:R134" si="6">P71/Q71</f>
        <v>29284.807179487179</v>
      </c>
    </row>
    <row r="72" spans="1:18" x14ac:dyDescent="0.25">
      <c r="A72" s="7">
        <f>Données!A72</f>
        <v>5516</v>
      </c>
      <c r="B72" s="27" t="str">
        <f>Données!B72</f>
        <v>Cugy</v>
      </c>
      <c r="C72" s="8">
        <f>Données!C72+Données!D72</f>
        <v>7358080.5499999998</v>
      </c>
      <c r="D72" s="8">
        <f>+Données!G72+Données!H72+Données!S72</f>
        <v>385386.36000000004</v>
      </c>
      <c r="E72" s="8">
        <f>+Données!E72</f>
        <v>0</v>
      </c>
      <c r="F72" s="8">
        <f>+Données!I72</f>
        <v>41701.050000000003</v>
      </c>
      <c r="G72" s="8">
        <f>+Données!J72</f>
        <v>92087.85</v>
      </c>
      <c r="H72" s="8">
        <f>Données!U72</f>
        <v>-248047.03</v>
      </c>
      <c r="I72" s="154">
        <f>Données!V72</f>
        <v>0</v>
      </c>
      <c r="J72" s="154">
        <f>Données!W72</f>
        <v>-3141.95</v>
      </c>
      <c r="K72" s="8">
        <f>+Données!Q72</f>
        <v>107200.72</v>
      </c>
      <c r="L72" s="350">
        <f t="shared" si="4"/>
        <v>7733267.5499999989</v>
      </c>
      <c r="M72" s="8">
        <f>+Données!F72</f>
        <v>0</v>
      </c>
      <c r="N72" s="8">
        <f>+Données!K72</f>
        <v>42955.5</v>
      </c>
      <c r="O72" s="8">
        <f>(Données!L72/Données!Y72)*1</f>
        <v>605527.66666666663</v>
      </c>
      <c r="P72" s="350">
        <f t="shared" si="5"/>
        <v>8381750.7166666659</v>
      </c>
      <c r="Q72" s="176">
        <f>+Données!X72</f>
        <v>76</v>
      </c>
      <c r="R72" s="350">
        <f t="shared" si="6"/>
        <v>110286.19364035087</v>
      </c>
    </row>
    <row r="73" spans="1:18" x14ac:dyDescent="0.25">
      <c r="A73" s="7">
        <f>Données!A73</f>
        <v>5518</v>
      </c>
      <c r="B73" s="27" t="str">
        <f>Données!B73</f>
        <v>Echallens</v>
      </c>
      <c r="C73" s="8">
        <f>Données!C73+Données!D73</f>
        <v>11792482.640000001</v>
      </c>
      <c r="D73" s="8">
        <f>+Données!G73+Données!H73+Données!S73</f>
        <v>917838.14</v>
      </c>
      <c r="E73" s="8">
        <f>+Données!E73</f>
        <v>0</v>
      </c>
      <c r="F73" s="8">
        <f>+Données!I73</f>
        <v>0</v>
      </c>
      <c r="G73" s="8">
        <f>+Données!J73</f>
        <v>209139.8</v>
      </c>
      <c r="H73" s="8">
        <f>Données!U73</f>
        <v>-197320.75</v>
      </c>
      <c r="I73" s="154">
        <f>Données!V73</f>
        <v>0</v>
      </c>
      <c r="J73" s="154">
        <f>Données!W73</f>
        <v>-704.84</v>
      </c>
      <c r="K73" s="8">
        <f>+Données!Q73</f>
        <v>75108.47</v>
      </c>
      <c r="L73" s="350">
        <f t="shared" si="4"/>
        <v>12796543.460000003</v>
      </c>
      <c r="M73" s="8">
        <f>+Données!F73</f>
        <v>0</v>
      </c>
      <c r="N73" s="8">
        <f>+Données!K73</f>
        <v>107328.85</v>
      </c>
      <c r="O73" s="8">
        <f>(Données!L73/Données!Y73)*1</f>
        <v>1108359.7</v>
      </c>
      <c r="P73" s="350">
        <f t="shared" si="5"/>
        <v>14012232.010000002</v>
      </c>
      <c r="Q73" s="176">
        <f>+Données!X73</f>
        <v>72.5</v>
      </c>
      <c r="R73" s="350">
        <f t="shared" si="6"/>
        <v>193272.16565517243</v>
      </c>
    </row>
    <row r="74" spans="1:18" x14ac:dyDescent="0.25">
      <c r="A74" s="7">
        <f>Données!A74</f>
        <v>5520</v>
      </c>
      <c r="B74" s="27" t="str">
        <f>Données!B74</f>
        <v>Essertines-sur-Yverdon</v>
      </c>
      <c r="C74" s="8">
        <f>Données!C74+Données!D74</f>
        <v>2082202.1</v>
      </c>
      <c r="D74" s="8">
        <f>+Données!G74+Données!H74+Données!S74</f>
        <v>39986.240000000005</v>
      </c>
      <c r="E74" s="8">
        <f>+Données!E74</f>
        <v>0</v>
      </c>
      <c r="F74" s="8">
        <f>+Données!I74</f>
        <v>0</v>
      </c>
      <c r="G74" s="8">
        <f>+Données!J74</f>
        <v>17394.52</v>
      </c>
      <c r="H74" s="8">
        <f>Données!U74</f>
        <v>-23804.41</v>
      </c>
      <c r="I74" s="154">
        <f>Données!V74</f>
        <v>0</v>
      </c>
      <c r="J74" s="154">
        <f>Données!W74</f>
        <v>-394.06</v>
      </c>
      <c r="K74" s="8">
        <f>+Données!Q74</f>
        <v>4515.1499999999996</v>
      </c>
      <c r="L74" s="350">
        <f t="shared" si="4"/>
        <v>2119899.54</v>
      </c>
      <c r="M74" s="8">
        <f>+Données!F74</f>
        <v>0</v>
      </c>
      <c r="N74" s="8">
        <f>+Données!K74</f>
        <v>5711.65</v>
      </c>
      <c r="O74" s="8">
        <f>(Données!L74/Données!Y74)*1</f>
        <v>199587.5</v>
      </c>
      <c r="P74" s="350">
        <f t="shared" si="5"/>
        <v>2325198.69</v>
      </c>
      <c r="Q74" s="176">
        <f>+Données!X74</f>
        <v>74</v>
      </c>
      <c r="R74" s="350">
        <f t="shared" si="6"/>
        <v>31421.603918918918</v>
      </c>
    </row>
    <row r="75" spans="1:18" x14ac:dyDescent="0.25">
      <c r="A75" s="7">
        <f>Données!A75</f>
        <v>5521</v>
      </c>
      <c r="B75" s="27" t="str">
        <f>Données!B75</f>
        <v>Etagnières</v>
      </c>
      <c r="C75" s="8">
        <f>Données!C75+Données!D75</f>
        <v>2859899.6900000004</v>
      </c>
      <c r="D75" s="8">
        <f>+Données!G75+Données!H75+Données!S75</f>
        <v>251627.23</v>
      </c>
      <c r="E75" s="8">
        <f>+Données!E75</f>
        <v>0</v>
      </c>
      <c r="F75" s="8">
        <f>+Données!I75</f>
        <v>0</v>
      </c>
      <c r="G75" s="8">
        <f>+Données!J75</f>
        <v>75719.17</v>
      </c>
      <c r="H75" s="8">
        <f>Données!U75</f>
        <v>-46449.57</v>
      </c>
      <c r="I75" s="154">
        <f>Données!V75</f>
        <v>0</v>
      </c>
      <c r="J75" s="154">
        <f>Données!W75</f>
        <v>-208.92</v>
      </c>
      <c r="K75" s="8">
        <f>+Données!Q75</f>
        <v>5667.65</v>
      </c>
      <c r="L75" s="350">
        <f t="shared" si="4"/>
        <v>3146255.2500000005</v>
      </c>
      <c r="M75" s="8">
        <f>+Données!F75</f>
        <v>0</v>
      </c>
      <c r="N75" s="8">
        <f>+Données!K75</f>
        <v>23854.75</v>
      </c>
      <c r="O75" s="8">
        <f>(Données!L75/Données!Y75)*1</f>
        <v>274534.45</v>
      </c>
      <c r="P75" s="350">
        <f t="shared" si="5"/>
        <v>3444644.4500000007</v>
      </c>
      <c r="Q75" s="176">
        <f>+Données!X75</f>
        <v>73</v>
      </c>
      <c r="R75" s="350">
        <f t="shared" si="6"/>
        <v>47186.910273972615</v>
      </c>
    </row>
    <row r="76" spans="1:18" x14ac:dyDescent="0.25">
      <c r="A76" s="7">
        <f>Données!A76</f>
        <v>5522</v>
      </c>
      <c r="B76" s="27" t="str">
        <f>Données!B76</f>
        <v>Fey</v>
      </c>
      <c r="C76" s="8">
        <f>Données!C76+Données!D76</f>
        <v>1580860.6600000001</v>
      </c>
      <c r="D76" s="8">
        <f>+Données!G76+Données!H76+Données!S76</f>
        <v>75366.41</v>
      </c>
      <c r="E76" s="8">
        <f>+Données!E76</f>
        <v>0</v>
      </c>
      <c r="F76" s="8">
        <f>+Données!I76</f>
        <v>0</v>
      </c>
      <c r="G76" s="8">
        <f>+Données!J76</f>
        <v>12468.42</v>
      </c>
      <c r="H76" s="8">
        <f>Données!U76</f>
        <v>-14772.78</v>
      </c>
      <c r="I76" s="154">
        <f>Données!V76</f>
        <v>0</v>
      </c>
      <c r="J76" s="154">
        <f>Données!W76</f>
        <v>-26.72</v>
      </c>
      <c r="K76" s="8">
        <f>+Données!Q76</f>
        <v>10907.69</v>
      </c>
      <c r="L76" s="350">
        <f t="shared" si="4"/>
        <v>1664803.68</v>
      </c>
      <c r="M76" s="8">
        <f>+Données!F76</f>
        <v>0</v>
      </c>
      <c r="N76" s="8">
        <f>+Données!K76</f>
        <v>3563</v>
      </c>
      <c r="O76" s="8">
        <f>(Données!L76/Données!Y76)*1</f>
        <v>144507.85</v>
      </c>
      <c r="P76" s="350">
        <f t="shared" si="5"/>
        <v>1812874.53</v>
      </c>
      <c r="Q76" s="176">
        <f>+Données!X76</f>
        <v>75</v>
      </c>
      <c r="R76" s="350">
        <f t="shared" si="6"/>
        <v>24171.660400000001</v>
      </c>
    </row>
    <row r="77" spans="1:18" x14ac:dyDescent="0.25">
      <c r="A77" s="7">
        <f>Données!A77</f>
        <v>5523</v>
      </c>
      <c r="B77" s="27" t="str">
        <f>Données!B77</f>
        <v>Froideville</v>
      </c>
      <c r="C77" s="8">
        <f>Données!C77+Données!D77</f>
        <v>5944612.71</v>
      </c>
      <c r="D77" s="8">
        <f>+Données!G77+Données!H77+Données!S77</f>
        <v>70739.41</v>
      </c>
      <c r="E77" s="8">
        <f>+Données!E77</f>
        <v>0</v>
      </c>
      <c r="F77" s="8">
        <f>+Données!I77</f>
        <v>0</v>
      </c>
      <c r="G77" s="8">
        <f>+Données!J77</f>
        <v>77048.429999999993</v>
      </c>
      <c r="H77" s="8">
        <f>Données!U77</f>
        <v>-38787.370000000003</v>
      </c>
      <c r="I77" s="154">
        <f>Données!V77</f>
        <v>0</v>
      </c>
      <c r="J77" s="154">
        <f>Données!W77</f>
        <v>-1448.75</v>
      </c>
      <c r="K77" s="8">
        <f>+Données!Q77</f>
        <v>3026.14</v>
      </c>
      <c r="L77" s="350">
        <f t="shared" si="4"/>
        <v>6055190.5699999994</v>
      </c>
      <c r="M77" s="8">
        <f>+Données!F77</f>
        <v>14960</v>
      </c>
      <c r="N77" s="8">
        <f>+Données!K77</f>
        <v>39595</v>
      </c>
      <c r="O77" s="8">
        <f>(Données!L77/Données!Y77)*1</f>
        <v>530342.96</v>
      </c>
      <c r="P77" s="350">
        <f t="shared" si="5"/>
        <v>6640088.5299999993</v>
      </c>
      <c r="Q77" s="176">
        <f>+Données!X77</f>
        <v>72</v>
      </c>
      <c r="R77" s="350">
        <f t="shared" si="6"/>
        <v>92223.451805555553</v>
      </c>
    </row>
    <row r="78" spans="1:18" x14ac:dyDescent="0.25">
      <c r="A78" s="7">
        <f>Données!A78</f>
        <v>5527</v>
      </c>
      <c r="B78" s="27" t="str">
        <f>Données!B78</f>
        <v>Morrens</v>
      </c>
      <c r="C78" s="8">
        <f>Données!C78+Données!D78</f>
        <v>2709767.31</v>
      </c>
      <c r="D78" s="8">
        <f>+Données!G78+Données!H78+Données!S78</f>
        <v>27354.560000000001</v>
      </c>
      <c r="E78" s="8">
        <f>+Données!E78</f>
        <v>0</v>
      </c>
      <c r="F78" s="8">
        <f>+Données!I78</f>
        <v>0</v>
      </c>
      <c r="G78" s="8">
        <f>+Données!J78</f>
        <v>53493.440000000002</v>
      </c>
      <c r="H78" s="8">
        <f>Données!U78</f>
        <v>-34331.26</v>
      </c>
      <c r="I78" s="154">
        <f>Données!V78</f>
        <v>0</v>
      </c>
      <c r="J78" s="154">
        <f>Données!W78</f>
        <v>-5900.05</v>
      </c>
      <c r="K78" s="8">
        <f>+Données!Q78</f>
        <v>7115.65</v>
      </c>
      <c r="L78" s="350">
        <f t="shared" si="4"/>
        <v>2757499.6500000004</v>
      </c>
      <c r="M78" s="8">
        <f>+Données!F78</f>
        <v>0</v>
      </c>
      <c r="N78" s="8">
        <f>+Données!K78</f>
        <v>9648.75</v>
      </c>
      <c r="O78" s="8">
        <f>(Données!L78/Données!Y78)*1</f>
        <v>246295.15</v>
      </c>
      <c r="P78" s="350">
        <f t="shared" si="5"/>
        <v>3013443.5500000003</v>
      </c>
      <c r="Q78" s="176">
        <f>+Données!X78</f>
        <v>74</v>
      </c>
      <c r="R78" s="350">
        <f t="shared" si="6"/>
        <v>40722.210135135138</v>
      </c>
    </row>
    <row r="79" spans="1:18" x14ac:dyDescent="0.25">
      <c r="A79" s="7">
        <f>Données!A79</f>
        <v>5529</v>
      </c>
      <c r="B79" s="27" t="str">
        <f>Données!B79</f>
        <v>Oulens-sous-Echallens</v>
      </c>
      <c r="C79" s="8">
        <f>Données!C79+Données!D79</f>
        <v>1432450.9</v>
      </c>
      <c r="D79" s="8">
        <f>+Données!G79+Données!H79+Données!S79</f>
        <v>30180.719999999998</v>
      </c>
      <c r="E79" s="8">
        <f>+Données!E79</f>
        <v>0</v>
      </c>
      <c r="F79" s="8">
        <f>+Données!I79</f>
        <v>0</v>
      </c>
      <c r="G79" s="8">
        <f>+Données!J79</f>
        <v>11450.56</v>
      </c>
      <c r="H79" s="8">
        <f>Données!U79</f>
        <v>-2805.51</v>
      </c>
      <c r="I79" s="154">
        <f>Données!V79</f>
        <v>0</v>
      </c>
      <c r="J79" s="154">
        <f>Données!W79</f>
        <v>-25.7</v>
      </c>
      <c r="K79" s="8">
        <f>+Données!Q79</f>
        <v>100</v>
      </c>
      <c r="L79" s="350">
        <f t="shared" si="4"/>
        <v>1471350.97</v>
      </c>
      <c r="M79" s="8">
        <f>+Données!F79</f>
        <v>0</v>
      </c>
      <c r="N79" s="8">
        <f>+Données!K79</f>
        <v>3086.05</v>
      </c>
      <c r="O79" s="8">
        <f>(Données!L79/Données!Y79)*1</f>
        <v>135606.79999999999</v>
      </c>
      <c r="P79" s="350">
        <f t="shared" si="5"/>
        <v>1610043.82</v>
      </c>
      <c r="Q79" s="176">
        <f>+Données!X79</f>
        <v>71</v>
      </c>
      <c r="R79" s="350">
        <f t="shared" si="6"/>
        <v>22676.673521126762</v>
      </c>
    </row>
    <row r="80" spans="1:18" x14ac:dyDescent="0.25">
      <c r="A80" s="7">
        <f>Données!A80</f>
        <v>5530</v>
      </c>
      <c r="B80" s="27" t="str">
        <f>Données!B80</f>
        <v>Pailly</v>
      </c>
      <c r="C80" s="8">
        <f>Données!C80+Données!D80</f>
        <v>1377603.21</v>
      </c>
      <c r="D80" s="8">
        <f>+Données!G80+Données!H80+Données!S80</f>
        <v>57261.85</v>
      </c>
      <c r="E80" s="8">
        <f>+Données!E80</f>
        <v>0</v>
      </c>
      <c r="F80" s="8">
        <f>+Données!I80</f>
        <v>0</v>
      </c>
      <c r="G80" s="8">
        <f>+Données!J80</f>
        <v>1792.91</v>
      </c>
      <c r="H80" s="8">
        <f>Données!U80</f>
        <v>-3318.71</v>
      </c>
      <c r="I80" s="154">
        <f>Données!V80</f>
        <v>0</v>
      </c>
      <c r="J80" s="154">
        <f>Données!W80</f>
        <v>0</v>
      </c>
      <c r="K80" s="8">
        <f>+Données!Q80</f>
        <v>0</v>
      </c>
      <c r="L80" s="350">
        <f t="shared" si="4"/>
        <v>1433339.26</v>
      </c>
      <c r="M80" s="8">
        <f>+Données!F80</f>
        <v>0</v>
      </c>
      <c r="N80" s="8">
        <f>+Données!K80</f>
        <v>1252.5</v>
      </c>
      <c r="O80" s="8">
        <f>(Données!L80/Données!Y80)*1</f>
        <v>112665.20833333334</v>
      </c>
      <c r="P80" s="350">
        <f t="shared" si="5"/>
        <v>1547256.9683333333</v>
      </c>
      <c r="Q80" s="176">
        <f>+Données!X80</f>
        <v>76</v>
      </c>
      <c r="R80" s="350">
        <f t="shared" si="6"/>
        <v>20358.644320175437</v>
      </c>
    </row>
    <row r="81" spans="1:18" x14ac:dyDescent="0.25">
      <c r="A81" s="7">
        <f>Données!A81</f>
        <v>5531</v>
      </c>
      <c r="B81" s="27" t="str">
        <f>Données!B81</f>
        <v>Penthéréaz</v>
      </c>
      <c r="C81" s="8">
        <f>Données!C81+Données!D81</f>
        <v>1178782.73</v>
      </c>
      <c r="D81" s="8">
        <f>+Données!G81+Données!H81+Données!S81</f>
        <v>3756.41</v>
      </c>
      <c r="E81" s="8">
        <f>+Données!E81</f>
        <v>0</v>
      </c>
      <c r="F81" s="8">
        <f>+Données!I81</f>
        <v>0</v>
      </c>
      <c r="G81" s="8">
        <f>+Données!J81</f>
        <v>14886.14</v>
      </c>
      <c r="H81" s="8">
        <f>Données!U81</f>
        <v>-1976.61</v>
      </c>
      <c r="I81" s="154">
        <f>Données!V81</f>
        <v>0</v>
      </c>
      <c r="J81" s="154">
        <f>Données!W81</f>
        <v>-183.65</v>
      </c>
      <c r="K81" s="8">
        <f>+Données!Q81</f>
        <v>0</v>
      </c>
      <c r="L81" s="350">
        <f t="shared" si="4"/>
        <v>1195265.0199999998</v>
      </c>
      <c r="M81" s="8">
        <f>+Données!F81</f>
        <v>0</v>
      </c>
      <c r="N81" s="8">
        <f>+Données!K81</f>
        <v>1425.3</v>
      </c>
      <c r="O81" s="8">
        <f>(Données!L81/Données!Y81)*1</f>
        <v>83455.350000000006</v>
      </c>
      <c r="P81" s="350">
        <f t="shared" si="5"/>
        <v>1280145.67</v>
      </c>
      <c r="Q81" s="176">
        <f>+Données!X81</f>
        <v>74</v>
      </c>
      <c r="R81" s="350">
        <f t="shared" si="6"/>
        <v>17299.265810810808</v>
      </c>
    </row>
    <row r="82" spans="1:18" x14ac:dyDescent="0.25">
      <c r="A82" s="7">
        <f>Données!A82</f>
        <v>5533</v>
      </c>
      <c r="B82" s="27" t="str">
        <f>Données!B82</f>
        <v>Poliez-Pittet</v>
      </c>
      <c r="C82" s="8">
        <f>Données!C82+Données!D82</f>
        <v>1808046.0800000001</v>
      </c>
      <c r="D82" s="8">
        <f>+Données!G82+Données!H82+Données!S82</f>
        <v>88700.430000000008</v>
      </c>
      <c r="E82" s="8">
        <f>+Données!E82</f>
        <v>0</v>
      </c>
      <c r="F82" s="8">
        <f>+Données!I82</f>
        <v>0</v>
      </c>
      <c r="G82" s="8">
        <f>+Données!J82</f>
        <v>24904.59</v>
      </c>
      <c r="H82" s="8">
        <f>Données!U82</f>
        <v>-85085.61</v>
      </c>
      <c r="I82" s="154">
        <f>Données!V82</f>
        <v>0</v>
      </c>
      <c r="J82" s="154">
        <f>Données!W82</f>
        <v>-93.1</v>
      </c>
      <c r="K82" s="8">
        <f>+Données!Q82</f>
        <v>38416.769999999997</v>
      </c>
      <c r="L82" s="350">
        <f t="shared" si="4"/>
        <v>1874889.16</v>
      </c>
      <c r="M82" s="8">
        <f>+Données!F82</f>
        <v>0</v>
      </c>
      <c r="N82" s="8">
        <f>+Données!K82</f>
        <v>9628.25</v>
      </c>
      <c r="O82" s="8">
        <f>(Données!L82/Données!Y82)*1</f>
        <v>160315.5</v>
      </c>
      <c r="P82" s="350">
        <f t="shared" si="5"/>
        <v>2044832.91</v>
      </c>
      <c r="Q82" s="176">
        <f>+Données!X82</f>
        <v>73</v>
      </c>
      <c r="R82" s="350">
        <f t="shared" si="6"/>
        <v>28011.409726027396</v>
      </c>
    </row>
    <row r="83" spans="1:18" x14ac:dyDescent="0.25">
      <c r="A83" s="7">
        <f>Données!A83</f>
        <v>5534</v>
      </c>
      <c r="B83" s="27" t="str">
        <f>Données!B83</f>
        <v>Rueyres</v>
      </c>
      <c r="C83" s="8">
        <f>Données!C83+Données!D83</f>
        <v>763131.87</v>
      </c>
      <c r="D83" s="8">
        <f>+Données!G83+Données!H83+Données!S83</f>
        <v>226979.02</v>
      </c>
      <c r="E83" s="8">
        <f>+Données!E83</f>
        <v>0</v>
      </c>
      <c r="F83" s="8">
        <f>+Données!I83</f>
        <v>0</v>
      </c>
      <c r="G83" s="8">
        <f>+Données!J83</f>
        <v>24204.35</v>
      </c>
      <c r="H83" s="8">
        <f>Données!U83</f>
        <v>820.92</v>
      </c>
      <c r="I83" s="154">
        <f>Données!V83</f>
        <v>0</v>
      </c>
      <c r="J83" s="154">
        <f>Données!W83</f>
        <v>0</v>
      </c>
      <c r="K83" s="8">
        <f>+Données!Q83</f>
        <v>-2384.88</v>
      </c>
      <c r="L83" s="350">
        <f t="shared" si="4"/>
        <v>1012751.28</v>
      </c>
      <c r="M83" s="8">
        <f>+Données!F83</f>
        <v>0</v>
      </c>
      <c r="N83" s="8">
        <f>+Données!K83</f>
        <v>907</v>
      </c>
      <c r="O83" s="8">
        <f>(Données!L83/Données!Y83)*1</f>
        <v>84230.291666666672</v>
      </c>
      <c r="P83" s="350">
        <f t="shared" si="5"/>
        <v>1097888.5716666668</v>
      </c>
      <c r="Q83" s="176">
        <f>+Données!X83</f>
        <v>73</v>
      </c>
      <c r="R83" s="350">
        <f t="shared" si="6"/>
        <v>15039.569474885846</v>
      </c>
    </row>
    <row r="84" spans="1:18" x14ac:dyDescent="0.25">
      <c r="A84" s="7">
        <f>Données!A84</f>
        <v>5535</v>
      </c>
      <c r="B84" s="27" t="str">
        <f>Données!B84</f>
        <v>Saint-Barthélemy</v>
      </c>
      <c r="C84" s="8">
        <f>Données!C84+Données!D84</f>
        <v>1728917.43</v>
      </c>
      <c r="D84" s="8">
        <f>+Données!G84+Données!H84+Données!S84</f>
        <v>27185.77</v>
      </c>
      <c r="E84" s="8">
        <f>+Données!E84</f>
        <v>0</v>
      </c>
      <c r="F84" s="8">
        <f>+Données!I84</f>
        <v>0</v>
      </c>
      <c r="G84" s="8">
        <f>+Données!J84</f>
        <v>7556.39</v>
      </c>
      <c r="H84" s="8">
        <f>Données!U84</f>
        <v>-8955.66</v>
      </c>
      <c r="I84" s="154">
        <f>Données!V84</f>
        <v>0</v>
      </c>
      <c r="J84" s="154">
        <f>Données!W84</f>
        <v>-5.99</v>
      </c>
      <c r="K84" s="8">
        <f>+Données!Q84</f>
        <v>6847.91</v>
      </c>
      <c r="L84" s="350">
        <f t="shared" si="4"/>
        <v>1761545.8499999999</v>
      </c>
      <c r="M84" s="8">
        <f>+Données!F84</f>
        <v>0</v>
      </c>
      <c r="N84" s="8">
        <f>+Données!K84</f>
        <v>1245.8</v>
      </c>
      <c r="O84" s="8">
        <f>(Données!L84/Données!Y84)*1</f>
        <v>149132.4</v>
      </c>
      <c r="P84" s="350">
        <f t="shared" si="5"/>
        <v>1911924.0499999998</v>
      </c>
      <c r="Q84" s="176">
        <f>+Données!X84</f>
        <v>75</v>
      </c>
      <c r="R84" s="350">
        <f t="shared" si="6"/>
        <v>25492.320666666663</v>
      </c>
    </row>
    <row r="85" spans="1:18" x14ac:dyDescent="0.25">
      <c r="A85" s="7">
        <f>Données!A85</f>
        <v>5537</v>
      </c>
      <c r="B85" s="27" t="str">
        <f>Données!B85</f>
        <v>Villars-le-Terroir</v>
      </c>
      <c r="C85" s="8">
        <f>Données!C85+Données!D85</f>
        <v>2666647.39</v>
      </c>
      <c r="D85" s="8">
        <f>+Données!G85+Données!H85+Données!S85</f>
        <v>66766.86</v>
      </c>
      <c r="E85" s="8">
        <f>+Données!E85</f>
        <v>0</v>
      </c>
      <c r="F85" s="8">
        <f>+Données!I85</f>
        <v>0</v>
      </c>
      <c r="G85" s="8">
        <f>+Données!J85</f>
        <v>29419.040000000001</v>
      </c>
      <c r="H85" s="8">
        <f>Données!U85</f>
        <v>-67184.789999999994</v>
      </c>
      <c r="I85" s="154">
        <f>Données!V85</f>
        <v>0</v>
      </c>
      <c r="J85" s="154">
        <f>Données!W85</f>
        <v>-1955.37</v>
      </c>
      <c r="K85" s="8">
        <f>+Données!Q85</f>
        <v>8713.3700000000008</v>
      </c>
      <c r="L85" s="350">
        <f t="shared" si="4"/>
        <v>2702406.5</v>
      </c>
      <c r="M85" s="8">
        <f>+Données!F85</f>
        <v>7530</v>
      </c>
      <c r="N85" s="8">
        <f>+Données!K85</f>
        <v>6680.75</v>
      </c>
      <c r="O85" s="8">
        <f>(Données!L85/Données!Y85)*1</f>
        <v>259696.7</v>
      </c>
      <c r="P85" s="350">
        <f t="shared" si="5"/>
        <v>2976313.95</v>
      </c>
      <c r="Q85" s="176">
        <f>+Données!X85</f>
        <v>76</v>
      </c>
      <c r="R85" s="350">
        <f t="shared" si="6"/>
        <v>39162.025657894737</v>
      </c>
    </row>
    <row r="86" spans="1:18" x14ac:dyDescent="0.25">
      <c r="A86" s="7">
        <f>Données!A86</f>
        <v>5539</v>
      </c>
      <c r="B86" s="27" t="str">
        <f>Données!B86</f>
        <v>Vuarrens</v>
      </c>
      <c r="C86" s="8">
        <f>Données!C86+Données!D86</f>
        <v>2289519.65</v>
      </c>
      <c r="D86" s="8">
        <f>+Données!G86+Données!H86+Données!S86</f>
        <v>14745.28</v>
      </c>
      <c r="E86" s="8">
        <f>+Données!E86</f>
        <v>0</v>
      </c>
      <c r="F86" s="8">
        <f>+Données!I86</f>
        <v>0</v>
      </c>
      <c r="G86" s="8">
        <f>+Données!J86</f>
        <v>35091.480000000003</v>
      </c>
      <c r="H86" s="8">
        <f>Données!U86</f>
        <v>-15484.63</v>
      </c>
      <c r="I86" s="154">
        <f>Données!V86</f>
        <v>0</v>
      </c>
      <c r="J86" s="154">
        <f>Données!W86</f>
        <v>-48.1</v>
      </c>
      <c r="K86" s="8">
        <f>+Données!Q86</f>
        <v>0</v>
      </c>
      <c r="L86" s="350">
        <f t="shared" si="4"/>
        <v>2323823.6799999997</v>
      </c>
      <c r="M86" s="8">
        <f>+Données!F86</f>
        <v>0</v>
      </c>
      <c r="N86" s="8">
        <f>+Données!K86</f>
        <v>6393.7</v>
      </c>
      <c r="O86" s="8">
        <f>(Données!L86/Données!Y86)*1</f>
        <v>201291.5625</v>
      </c>
      <c r="P86" s="350">
        <f t="shared" si="5"/>
        <v>2531508.9424999999</v>
      </c>
      <c r="Q86" s="176">
        <f>+Données!X86</f>
        <v>73.5</v>
      </c>
      <c r="R86" s="350">
        <f t="shared" si="6"/>
        <v>34442.298537414965</v>
      </c>
    </row>
    <row r="87" spans="1:18" x14ac:dyDescent="0.25">
      <c r="A87" s="7">
        <f>Données!A87</f>
        <v>5540</v>
      </c>
      <c r="B87" s="27" t="str">
        <f>Données!B87</f>
        <v>Montilliez</v>
      </c>
      <c r="C87" s="8">
        <f>Données!C87+Données!D87</f>
        <v>4337331.07</v>
      </c>
      <c r="D87" s="8">
        <f>+Données!G87+Données!H87+Données!S87</f>
        <v>175168.62</v>
      </c>
      <c r="E87" s="8">
        <f>+Données!E87</f>
        <v>0</v>
      </c>
      <c r="F87" s="8">
        <f>+Données!I87</f>
        <v>0</v>
      </c>
      <c r="G87" s="8">
        <f>+Données!J87</f>
        <v>33186.449999999997</v>
      </c>
      <c r="H87" s="8">
        <f>Données!U87</f>
        <v>-38954.339999999997</v>
      </c>
      <c r="I87" s="154">
        <f>Données!V87</f>
        <v>0</v>
      </c>
      <c r="J87" s="154">
        <f>Données!W87</f>
        <v>-63.83</v>
      </c>
      <c r="K87" s="8">
        <f>+Données!Q87</f>
        <v>12910.21</v>
      </c>
      <c r="L87" s="350">
        <f t="shared" si="4"/>
        <v>4519578.1800000006</v>
      </c>
      <c r="M87" s="8">
        <f>+Données!F87</f>
        <v>0</v>
      </c>
      <c r="N87" s="8">
        <f>+Données!K87</f>
        <v>13100.5</v>
      </c>
      <c r="O87" s="8">
        <f>(Données!L87/Données!Y87)*1</f>
        <v>358355.1875</v>
      </c>
      <c r="P87" s="350">
        <f t="shared" si="5"/>
        <v>4891033.8675000006</v>
      </c>
      <c r="Q87" s="176">
        <f>+Données!X87</f>
        <v>72.5</v>
      </c>
      <c r="R87" s="350">
        <f t="shared" si="6"/>
        <v>67462.536103448278</v>
      </c>
    </row>
    <row r="88" spans="1:18" x14ac:dyDescent="0.25">
      <c r="A88" s="7">
        <f>Données!A88</f>
        <v>5541</v>
      </c>
      <c r="B88" s="27" t="str">
        <f>Données!B88</f>
        <v>Goumoëns</v>
      </c>
      <c r="C88" s="8">
        <f>Données!C88+Données!D88</f>
        <v>2863609.83</v>
      </c>
      <c r="D88" s="8">
        <f>+Données!G88+Données!H88+Données!S88</f>
        <v>35887.22</v>
      </c>
      <c r="E88" s="8">
        <f>+Données!E88</f>
        <v>0</v>
      </c>
      <c r="F88" s="8">
        <f>+Données!I88</f>
        <v>0</v>
      </c>
      <c r="G88" s="8">
        <f>+Données!J88</f>
        <v>28662</v>
      </c>
      <c r="H88" s="8">
        <f>Données!U88</f>
        <v>-10617.18</v>
      </c>
      <c r="I88" s="154">
        <f>Données!V88</f>
        <v>-1966</v>
      </c>
      <c r="J88" s="154">
        <f>Données!W88</f>
        <v>-183.2</v>
      </c>
      <c r="K88" s="8">
        <f>+Données!Q88</f>
        <v>5175.74</v>
      </c>
      <c r="L88" s="350">
        <f t="shared" si="4"/>
        <v>2920568.41</v>
      </c>
      <c r="M88" s="8">
        <f>+Données!F88</f>
        <v>0</v>
      </c>
      <c r="N88" s="8">
        <f>+Données!K88</f>
        <v>2455</v>
      </c>
      <c r="O88" s="8">
        <f>(Données!L88/Données!Y88)*1</f>
        <v>227276.85</v>
      </c>
      <c r="P88" s="350">
        <f t="shared" si="5"/>
        <v>3150300.2600000002</v>
      </c>
      <c r="Q88" s="176">
        <f>+Données!X88</f>
        <v>75.5</v>
      </c>
      <c r="R88" s="350">
        <f t="shared" si="6"/>
        <v>41725.831258278151</v>
      </c>
    </row>
    <row r="89" spans="1:18" x14ac:dyDescent="0.25">
      <c r="A89" s="7">
        <f>Données!A89</f>
        <v>5551</v>
      </c>
      <c r="B89" s="27" t="str">
        <f>Données!B89</f>
        <v>Bonvillars</v>
      </c>
      <c r="C89" s="8">
        <f>Données!C89+Données!D89</f>
        <v>865379.05999999994</v>
      </c>
      <c r="D89" s="8">
        <f>+Données!G89+Données!H89+Données!S89</f>
        <v>43131.07</v>
      </c>
      <c r="E89" s="8">
        <f>+Données!E89</f>
        <v>0</v>
      </c>
      <c r="F89" s="8">
        <f>+Données!I89</f>
        <v>0</v>
      </c>
      <c r="G89" s="8">
        <f>+Données!J89</f>
        <v>2503.13</v>
      </c>
      <c r="H89" s="8">
        <f>Données!U89</f>
        <v>-335.25</v>
      </c>
      <c r="I89" s="154">
        <f>Données!V89</f>
        <v>0</v>
      </c>
      <c r="J89" s="154">
        <f>Données!W89</f>
        <v>-198.3</v>
      </c>
      <c r="K89" s="8">
        <f>+Données!Q89</f>
        <v>0</v>
      </c>
      <c r="L89" s="350">
        <f t="shared" si="4"/>
        <v>910479.70999999985</v>
      </c>
      <c r="M89" s="8">
        <f>+Données!F89</f>
        <v>0</v>
      </c>
      <c r="N89" s="8">
        <f>+Données!K89</f>
        <v>12146.7</v>
      </c>
      <c r="O89" s="8">
        <f>(Données!L89/Données!Y89)*1</f>
        <v>117540.4</v>
      </c>
      <c r="P89" s="350">
        <f t="shared" si="5"/>
        <v>1040166.8099999998</v>
      </c>
      <c r="Q89" s="176">
        <f>+Données!X89</f>
        <v>56</v>
      </c>
      <c r="R89" s="350">
        <f t="shared" si="6"/>
        <v>18574.407321428567</v>
      </c>
    </row>
    <row r="90" spans="1:18" x14ac:dyDescent="0.25">
      <c r="A90" s="7">
        <f>Données!A90</f>
        <v>5552</v>
      </c>
      <c r="B90" s="27" t="str">
        <f>Données!B90</f>
        <v>Bullet</v>
      </c>
      <c r="C90" s="8">
        <f>Données!C90+Données!D90</f>
        <v>1170529.3999999999</v>
      </c>
      <c r="D90" s="8">
        <f>+Données!G90+Données!H90+Données!S90</f>
        <v>43306.82</v>
      </c>
      <c r="E90" s="8">
        <f>+Données!E90</f>
        <v>0</v>
      </c>
      <c r="F90" s="8">
        <f>+Données!I90</f>
        <v>0</v>
      </c>
      <c r="G90" s="8">
        <f>+Données!J90</f>
        <v>14739.84</v>
      </c>
      <c r="H90" s="8">
        <f>Données!U90</f>
        <v>-15021.28</v>
      </c>
      <c r="I90" s="154">
        <f>Données!V90</f>
        <v>0</v>
      </c>
      <c r="J90" s="154">
        <f>Données!W90</f>
        <v>-2.29</v>
      </c>
      <c r="K90" s="8">
        <f>+Données!Q90</f>
        <v>9961.92</v>
      </c>
      <c r="L90" s="350">
        <f t="shared" si="4"/>
        <v>1223514.4099999999</v>
      </c>
      <c r="M90" s="8">
        <f>+Données!F90</f>
        <v>0</v>
      </c>
      <c r="N90" s="8">
        <f>+Données!K90</f>
        <v>3777.6</v>
      </c>
      <c r="O90" s="8">
        <f>(Données!L90/Données!Y90)*1</f>
        <v>133958.45000000001</v>
      </c>
      <c r="P90" s="350">
        <f t="shared" si="5"/>
        <v>1361250.46</v>
      </c>
      <c r="Q90" s="176">
        <f>+Données!X90</f>
        <v>71.5</v>
      </c>
      <c r="R90" s="350">
        <f t="shared" si="6"/>
        <v>19038.467972027971</v>
      </c>
    </row>
    <row r="91" spans="1:18" x14ac:dyDescent="0.25">
      <c r="A91" s="7">
        <f>Données!A91</f>
        <v>5553</v>
      </c>
      <c r="B91" s="27" t="str">
        <f>Données!B91</f>
        <v>Champagne</v>
      </c>
      <c r="C91" s="8">
        <f>Données!C91+Données!D91</f>
        <v>1963151.0799999998</v>
      </c>
      <c r="D91" s="8">
        <f>+Données!G91+Données!H91+Données!S91</f>
        <v>225620.3</v>
      </c>
      <c r="E91" s="8">
        <f>+Données!E91</f>
        <v>0</v>
      </c>
      <c r="F91" s="8">
        <f>+Données!I91</f>
        <v>0</v>
      </c>
      <c r="G91" s="8">
        <f>+Données!J91</f>
        <v>66654.95</v>
      </c>
      <c r="H91" s="8">
        <f>Données!U91</f>
        <v>-26753.1</v>
      </c>
      <c r="I91" s="154">
        <f>Données!V91</f>
        <v>0</v>
      </c>
      <c r="J91" s="154">
        <f>Données!W91</f>
        <v>-1972.26</v>
      </c>
      <c r="K91" s="8">
        <f>+Données!Q91</f>
        <v>253.76</v>
      </c>
      <c r="L91" s="350">
        <f t="shared" si="4"/>
        <v>2226954.73</v>
      </c>
      <c r="M91" s="8">
        <f>+Données!F91</f>
        <v>0</v>
      </c>
      <c r="N91" s="8">
        <f>+Données!K91</f>
        <v>26028.55</v>
      </c>
      <c r="O91" s="8">
        <f>(Données!L91/Données!Y91)*1</f>
        <v>233983.15</v>
      </c>
      <c r="P91" s="350">
        <f t="shared" si="5"/>
        <v>2486966.4299999997</v>
      </c>
      <c r="Q91" s="176">
        <f>+Données!X91</f>
        <v>65</v>
      </c>
      <c r="R91" s="350">
        <f t="shared" si="6"/>
        <v>38261.021999999997</v>
      </c>
    </row>
    <row r="92" spans="1:18" x14ac:dyDescent="0.25">
      <c r="A92" s="7">
        <f>Données!A92</f>
        <v>5554</v>
      </c>
      <c r="B92" s="27" t="str">
        <f>Données!B92</f>
        <v>Concise</v>
      </c>
      <c r="C92" s="8">
        <f>Données!C92+Données!D92</f>
        <v>2336820.21</v>
      </c>
      <c r="D92" s="8">
        <f>+Données!G92+Données!H92+Données!S92</f>
        <v>24195.600000000002</v>
      </c>
      <c r="E92" s="8">
        <f>+Données!E92</f>
        <v>0</v>
      </c>
      <c r="F92" s="8">
        <f>+Données!I92</f>
        <v>0</v>
      </c>
      <c r="G92" s="8">
        <f>+Données!J92</f>
        <v>5118.55</v>
      </c>
      <c r="H92" s="8">
        <f>Données!U92</f>
        <v>-18521.689999999999</v>
      </c>
      <c r="I92" s="154">
        <f>Données!V92</f>
        <v>0</v>
      </c>
      <c r="J92" s="154">
        <f>Données!W92</f>
        <v>-584.26</v>
      </c>
      <c r="K92" s="8">
        <f>+Données!Q92</f>
        <v>1324.54</v>
      </c>
      <c r="L92" s="350">
        <f t="shared" si="4"/>
        <v>2348352.9500000002</v>
      </c>
      <c r="M92" s="8">
        <f>+Données!F92</f>
        <v>0</v>
      </c>
      <c r="N92" s="8">
        <f>+Données!K92</f>
        <v>3396.8</v>
      </c>
      <c r="O92" s="8">
        <f>(Données!L92/Données!Y92)*1</f>
        <v>191268.35</v>
      </c>
      <c r="P92" s="350">
        <f t="shared" si="5"/>
        <v>2543018.1</v>
      </c>
      <c r="Q92" s="176">
        <f>+Données!X92</f>
        <v>75</v>
      </c>
      <c r="R92" s="350">
        <f t="shared" si="6"/>
        <v>33906.908000000003</v>
      </c>
    </row>
    <row r="93" spans="1:18" x14ac:dyDescent="0.25">
      <c r="A93" s="7">
        <f>Données!A93</f>
        <v>5555</v>
      </c>
      <c r="B93" s="27" t="str">
        <f>Données!B93</f>
        <v>Corcelles-près-Concise</v>
      </c>
      <c r="C93" s="8">
        <f>Données!C93+Données!D93</f>
        <v>811390.99</v>
      </c>
      <c r="D93" s="8">
        <f>+Données!G93+Données!H93+Données!S93</f>
        <v>5898.59</v>
      </c>
      <c r="E93" s="8">
        <f>+Données!E93</f>
        <v>0</v>
      </c>
      <c r="F93" s="8">
        <f>+Données!I93</f>
        <v>0</v>
      </c>
      <c r="G93" s="8">
        <f>+Données!J93</f>
        <v>15443.52</v>
      </c>
      <c r="H93" s="8">
        <f>Données!U93</f>
        <v>-24656.83</v>
      </c>
      <c r="I93" s="154">
        <f>Données!V93</f>
        <v>0</v>
      </c>
      <c r="J93" s="154">
        <f>Données!W93</f>
        <v>0</v>
      </c>
      <c r="K93" s="8">
        <f>+Données!Q93</f>
        <v>17407.080000000002</v>
      </c>
      <c r="L93" s="350">
        <f t="shared" si="4"/>
        <v>825483.35</v>
      </c>
      <c r="M93" s="8">
        <f>+Données!F93</f>
        <v>0</v>
      </c>
      <c r="N93" s="8">
        <f>+Données!K93</f>
        <v>2228.6999999999998</v>
      </c>
      <c r="O93" s="8">
        <f>(Données!L93/Données!Y93)*1</f>
        <v>98622.15</v>
      </c>
      <c r="P93" s="350">
        <f t="shared" si="5"/>
        <v>926334.2</v>
      </c>
      <c r="Q93" s="176">
        <f>+Données!X93</f>
        <v>69</v>
      </c>
      <c r="R93" s="350">
        <f t="shared" si="6"/>
        <v>13425.133333333333</v>
      </c>
    </row>
    <row r="94" spans="1:18" x14ac:dyDescent="0.25">
      <c r="A94" s="7">
        <f>Données!A94</f>
        <v>5556</v>
      </c>
      <c r="B94" s="27" t="str">
        <f>Données!B94</f>
        <v>Fiez</v>
      </c>
      <c r="C94" s="8">
        <f>Données!C94+Données!D94</f>
        <v>829343.67</v>
      </c>
      <c r="D94" s="8">
        <f>+Données!G94+Données!H94+Données!S94</f>
        <v>5505.81</v>
      </c>
      <c r="E94" s="8">
        <f>+Données!E94</f>
        <v>0</v>
      </c>
      <c r="F94" s="8">
        <f>+Données!I94</f>
        <v>0</v>
      </c>
      <c r="G94" s="8">
        <f>+Données!J94</f>
        <v>6416.69</v>
      </c>
      <c r="H94" s="8">
        <f>Données!U94</f>
        <v>-1560.67</v>
      </c>
      <c r="I94" s="154">
        <f>Données!V94</f>
        <v>0</v>
      </c>
      <c r="J94" s="154">
        <f>Données!W94</f>
        <v>0</v>
      </c>
      <c r="K94" s="8">
        <f>+Données!Q94</f>
        <v>0</v>
      </c>
      <c r="L94" s="350">
        <f t="shared" si="4"/>
        <v>839705.5</v>
      </c>
      <c r="M94" s="8">
        <f>+Données!F94</f>
        <v>2510</v>
      </c>
      <c r="N94" s="8">
        <f>+Données!K94</f>
        <v>1271.6500000000001</v>
      </c>
      <c r="O94" s="8">
        <f>(Données!L94/Données!Y94)*1</f>
        <v>74501.133333333331</v>
      </c>
      <c r="P94" s="350">
        <f t="shared" si="5"/>
        <v>917988.28333333333</v>
      </c>
      <c r="Q94" s="176">
        <f>+Données!X94</f>
        <v>69</v>
      </c>
      <c r="R94" s="350">
        <f t="shared" si="6"/>
        <v>13304.178019323672</v>
      </c>
    </row>
    <row r="95" spans="1:18" x14ac:dyDescent="0.25">
      <c r="A95" s="7">
        <f>Données!A95</f>
        <v>5557</v>
      </c>
      <c r="B95" s="27" t="str">
        <f>Données!B95</f>
        <v>Fontaines-sur-Grandson</v>
      </c>
      <c r="C95" s="8">
        <f>Données!C95+Données!D95</f>
        <v>306226.88</v>
      </c>
      <c r="D95" s="8">
        <f>+Données!G95+Données!H95+Données!S95</f>
        <v>6009.78</v>
      </c>
      <c r="E95" s="8">
        <f>+Données!E95</f>
        <v>0</v>
      </c>
      <c r="F95" s="8">
        <f>+Données!I95</f>
        <v>0</v>
      </c>
      <c r="G95" s="8">
        <f>+Données!J95</f>
        <v>1290.47</v>
      </c>
      <c r="H95" s="8">
        <f>Données!U95</f>
        <v>-728.09</v>
      </c>
      <c r="I95" s="154">
        <f>Données!V95</f>
        <v>0</v>
      </c>
      <c r="J95" s="154">
        <f>Données!W95</f>
        <v>0</v>
      </c>
      <c r="K95" s="8">
        <f>+Données!Q95</f>
        <v>0</v>
      </c>
      <c r="L95" s="350">
        <f t="shared" si="4"/>
        <v>312799.03999999998</v>
      </c>
      <c r="M95" s="8">
        <f>+Données!F95</f>
        <v>1060</v>
      </c>
      <c r="N95" s="8">
        <f>+Données!K95</f>
        <v>993.45</v>
      </c>
      <c r="O95" s="8">
        <f>(Données!L95/Données!Y95)*1</f>
        <v>36956.699999999997</v>
      </c>
      <c r="P95" s="350">
        <f t="shared" si="5"/>
        <v>351809.19</v>
      </c>
      <c r="Q95" s="176">
        <f>+Données!X95</f>
        <v>69</v>
      </c>
      <c r="R95" s="350">
        <f t="shared" si="6"/>
        <v>5098.6839130434782</v>
      </c>
    </row>
    <row r="96" spans="1:18" x14ac:dyDescent="0.25">
      <c r="A96" s="7">
        <f>Données!A96</f>
        <v>5559</v>
      </c>
      <c r="B96" s="27" t="str">
        <f>Données!B96</f>
        <v>Giez</v>
      </c>
      <c r="C96" s="8">
        <f>Données!C96+Données!D96</f>
        <v>1196084.3700000001</v>
      </c>
      <c r="D96" s="8">
        <f>+Données!G96+Données!H96+Données!S96</f>
        <v>121062.9</v>
      </c>
      <c r="E96" s="8">
        <f>+Données!E96</f>
        <v>0</v>
      </c>
      <c r="F96" s="8">
        <f>+Données!I96</f>
        <v>0</v>
      </c>
      <c r="G96" s="8">
        <f>+Données!J96</f>
        <v>1236.3800000000001</v>
      </c>
      <c r="H96" s="8">
        <f>Données!U96</f>
        <v>-25975.56</v>
      </c>
      <c r="I96" s="154">
        <f>Données!V96</f>
        <v>0</v>
      </c>
      <c r="J96" s="154">
        <f>Données!W96</f>
        <v>-1066.95</v>
      </c>
      <c r="K96" s="8">
        <f>+Données!Q96</f>
        <v>0</v>
      </c>
      <c r="L96" s="350">
        <f t="shared" si="4"/>
        <v>1291341.1399999999</v>
      </c>
      <c r="M96" s="8">
        <f>+Données!F96</f>
        <v>0</v>
      </c>
      <c r="N96" s="8">
        <f>+Données!K96</f>
        <v>3482</v>
      </c>
      <c r="O96" s="8">
        <f>(Données!L96/Données!Y96)*1</f>
        <v>91808.1</v>
      </c>
      <c r="P96" s="350">
        <f t="shared" si="5"/>
        <v>1386631.24</v>
      </c>
      <c r="Q96" s="176">
        <f>+Données!X96</f>
        <v>66</v>
      </c>
      <c r="R96" s="350">
        <f t="shared" si="6"/>
        <v>21009.564242424243</v>
      </c>
    </row>
    <row r="97" spans="1:18" x14ac:dyDescent="0.25">
      <c r="A97" s="7">
        <f>Données!A97</f>
        <v>5560</v>
      </c>
      <c r="B97" s="27" t="str">
        <f>Données!B97</f>
        <v>Grandevent</v>
      </c>
      <c r="C97" s="8">
        <f>Données!C97+Données!D97</f>
        <v>573017.54</v>
      </c>
      <c r="D97" s="8">
        <f>+Données!G97+Données!H97+Données!S97</f>
        <v>3816.1099999999997</v>
      </c>
      <c r="E97" s="8">
        <f>+Données!E97</f>
        <v>0</v>
      </c>
      <c r="F97" s="8">
        <f>+Données!I97</f>
        <v>0</v>
      </c>
      <c r="G97" s="8">
        <f>+Données!J97</f>
        <v>15847.25</v>
      </c>
      <c r="H97" s="8">
        <f>Données!U97</f>
        <v>-636.38</v>
      </c>
      <c r="I97" s="154">
        <f>Données!V97</f>
        <v>0</v>
      </c>
      <c r="J97" s="154">
        <f>Données!W97</f>
        <v>0</v>
      </c>
      <c r="K97" s="8">
        <f>+Données!Q97</f>
        <v>1592.27</v>
      </c>
      <c r="L97" s="350">
        <f t="shared" si="4"/>
        <v>593636.79</v>
      </c>
      <c r="M97" s="8">
        <f>+Données!F97</f>
        <v>0</v>
      </c>
      <c r="N97" s="8">
        <f>+Données!K97</f>
        <v>848</v>
      </c>
      <c r="O97" s="8">
        <f>(Données!L97/Données!Y97)*1</f>
        <v>44238.45</v>
      </c>
      <c r="P97" s="350">
        <f t="shared" si="5"/>
        <v>638723.24</v>
      </c>
      <c r="Q97" s="176">
        <f>+Données!X97</f>
        <v>71</v>
      </c>
      <c r="R97" s="350">
        <f t="shared" si="6"/>
        <v>8996.1019718309853</v>
      </c>
    </row>
    <row r="98" spans="1:18" x14ac:dyDescent="0.25">
      <c r="A98" s="7">
        <f>Données!A98</f>
        <v>5561</v>
      </c>
      <c r="B98" s="27" t="str">
        <f>Données!B98</f>
        <v>Grandson</v>
      </c>
      <c r="C98" s="8">
        <f>Données!C98+Données!D98</f>
        <v>8172837.4399999995</v>
      </c>
      <c r="D98" s="8">
        <f>+Données!G98+Données!H98+Données!S98</f>
        <v>256922.90000000002</v>
      </c>
      <c r="E98" s="8">
        <f>+Données!E98</f>
        <v>0</v>
      </c>
      <c r="F98" s="8">
        <f>+Données!I98</f>
        <v>0</v>
      </c>
      <c r="G98" s="8">
        <f>+Données!J98</f>
        <v>117291.84</v>
      </c>
      <c r="H98" s="8">
        <f>Données!U98</f>
        <v>-139695.73000000001</v>
      </c>
      <c r="I98" s="154">
        <f>Données!V98</f>
        <v>0</v>
      </c>
      <c r="J98" s="154">
        <f>Données!W98</f>
        <v>-794.64</v>
      </c>
      <c r="K98" s="8">
        <f>+Données!Q98</f>
        <v>22316.87</v>
      </c>
      <c r="L98" s="350">
        <f t="shared" si="4"/>
        <v>8428878.6799999978</v>
      </c>
      <c r="M98" s="8">
        <f>+Données!F98</f>
        <v>0</v>
      </c>
      <c r="N98" s="8">
        <f>+Données!K98</f>
        <v>51810.55</v>
      </c>
      <c r="O98" s="8">
        <f>(Données!L98/Données!Y98)*1</f>
        <v>653055.30000000005</v>
      </c>
      <c r="P98" s="350">
        <f t="shared" si="5"/>
        <v>9133744.5299999993</v>
      </c>
      <c r="Q98" s="176">
        <f>+Données!X98</f>
        <v>69</v>
      </c>
      <c r="R98" s="350">
        <f t="shared" si="6"/>
        <v>132373.10913043478</v>
      </c>
    </row>
    <row r="99" spans="1:18" x14ac:dyDescent="0.25">
      <c r="A99" s="7">
        <f>Données!A99</f>
        <v>5562</v>
      </c>
      <c r="B99" s="27" t="str">
        <f>Données!B99</f>
        <v>Mauborget</v>
      </c>
      <c r="C99" s="8">
        <f>Données!C99+Données!D99</f>
        <v>278690.65000000002</v>
      </c>
      <c r="D99" s="8">
        <f>+Données!G99+Données!H99+Données!S99</f>
        <v>3354.74</v>
      </c>
      <c r="E99" s="8">
        <f>+Données!E99</f>
        <v>0</v>
      </c>
      <c r="F99" s="8">
        <f>+Données!I99</f>
        <v>0</v>
      </c>
      <c r="G99" s="8">
        <f>+Données!J99</f>
        <v>12079.41</v>
      </c>
      <c r="H99" s="8">
        <f>Données!U99</f>
        <v>-7794</v>
      </c>
      <c r="I99" s="154">
        <f>Données!V99</f>
        <v>0</v>
      </c>
      <c r="J99" s="154">
        <f>Données!W99</f>
        <v>-1.45</v>
      </c>
      <c r="K99" s="8">
        <f>+Données!Q99</f>
        <v>3907.3</v>
      </c>
      <c r="L99" s="350">
        <f t="shared" si="4"/>
        <v>290236.64999999997</v>
      </c>
      <c r="M99" s="8">
        <f>+Données!F99</f>
        <v>890</v>
      </c>
      <c r="N99" s="8">
        <f>+Données!K99</f>
        <v>-4515.5</v>
      </c>
      <c r="O99" s="8">
        <f>(Données!L99/Données!Y99)*1</f>
        <v>32575.708333333332</v>
      </c>
      <c r="P99" s="350">
        <f t="shared" si="5"/>
        <v>319186.85833333328</v>
      </c>
      <c r="Q99" s="176">
        <f>+Données!X99</f>
        <v>70</v>
      </c>
      <c r="R99" s="350">
        <f t="shared" si="6"/>
        <v>4559.8122619047608</v>
      </c>
    </row>
    <row r="100" spans="1:18" x14ac:dyDescent="0.25">
      <c r="A100" s="7">
        <f>Données!A100</f>
        <v>5563</v>
      </c>
      <c r="B100" s="27" t="str">
        <f>Données!B100</f>
        <v>Mutrux</v>
      </c>
      <c r="C100" s="8">
        <f>Données!C100+Données!D100</f>
        <v>158685.91999999998</v>
      </c>
      <c r="D100" s="8">
        <f>+Données!G100+Données!H100+Données!S100</f>
        <v>655.1099999999999</v>
      </c>
      <c r="E100" s="8">
        <f>+Données!E100</f>
        <v>0</v>
      </c>
      <c r="F100" s="8">
        <f>+Données!I100</f>
        <v>0</v>
      </c>
      <c r="G100" s="8">
        <f>+Données!J100</f>
        <v>4436.9799999999996</v>
      </c>
      <c r="H100" s="8">
        <f>Données!U100</f>
        <v>-3632.59</v>
      </c>
      <c r="I100" s="154">
        <f>Données!V100</f>
        <v>0</v>
      </c>
      <c r="J100" s="154">
        <f>Données!W100</f>
        <v>-45.35</v>
      </c>
      <c r="K100" s="8">
        <f>+Données!Q100</f>
        <v>0</v>
      </c>
      <c r="L100" s="350">
        <f t="shared" si="4"/>
        <v>160100.06999999998</v>
      </c>
      <c r="M100" s="8">
        <f>+Données!F100</f>
        <v>528</v>
      </c>
      <c r="N100" s="8">
        <f>+Données!K100</f>
        <v>0</v>
      </c>
      <c r="O100" s="8">
        <f>(Données!L100/Données!Y100)*1</f>
        <v>21938.55</v>
      </c>
      <c r="P100" s="350">
        <f t="shared" si="5"/>
        <v>182566.61999999997</v>
      </c>
      <c r="Q100" s="176">
        <f>+Données!X100</f>
        <v>80</v>
      </c>
      <c r="R100" s="350">
        <f t="shared" si="6"/>
        <v>2282.0827499999996</v>
      </c>
    </row>
    <row r="101" spans="1:18" x14ac:dyDescent="0.25">
      <c r="A101" s="7">
        <f>Données!A101</f>
        <v>5564</v>
      </c>
      <c r="B101" s="27" t="str">
        <f>Données!B101</f>
        <v>Novalles</v>
      </c>
      <c r="C101" s="8">
        <f>Données!C101+Données!D101</f>
        <v>185284.68000000002</v>
      </c>
      <c r="D101" s="8">
        <f>+Données!G101+Données!H101+Données!S101</f>
        <v>44.09</v>
      </c>
      <c r="E101" s="8">
        <f>+Données!E101</f>
        <v>0</v>
      </c>
      <c r="F101" s="8">
        <f>+Données!I101</f>
        <v>0</v>
      </c>
      <c r="G101" s="8">
        <f>+Données!J101</f>
        <v>0</v>
      </c>
      <c r="H101" s="8">
        <f>Données!U101</f>
        <v>-5882.55</v>
      </c>
      <c r="I101" s="154">
        <f>Données!V101</f>
        <v>0</v>
      </c>
      <c r="J101" s="154">
        <f>Données!W101</f>
        <v>0</v>
      </c>
      <c r="K101" s="8">
        <f>+Données!Q101</f>
        <v>0</v>
      </c>
      <c r="L101" s="350">
        <f t="shared" si="4"/>
        <v>179446.22000000003</v>
      </c>
      <c r="M101" s="8">
        <f>+Données!F101</f>
        <v>0</v>
      </c>
      <c r="N101" s="8">
        <f>+Données!K101</f>
        <v>0</v>
      </c>
      <c r="O101" s="8">
        <f>(Données!L101/Données!Y101)*1</f>
        <v>14268.0625</v>
      </c>
      <c r="P101" s="350">
        <f t="shared" si="5"/>
        <v>193714.28250000003</v>
      </c>
      <c r="Q101" s="176">
        <f>+Données!X101</f>
        <v>76</v>
      </c>
      <c r="R101" s="350">
        <f t="shared" si="6"/>
        <v>2548.8721381578953</v>
      </c>
    </row>
    <row r="102" spans="1:18" x14ac:dyDescent="0.25">
      <c r="A102" s="7">
        <f>Données!A102</f>
        <v>5565</v>
      </c>
      <c r="B102" s="27" t="str">
        <f>Données!B102</f>
        <v>Onnens</v>
      </c>
      <c r="C102" s="8">
        <f>Données!C102+Données!D102</f>
        <v>824405.54</v>
      </c>
      <c r="D102" s="8">
        <f>+Données!G102+Données!H102+Données!S102</f>
        <v>221532.80000000002</v>
      </c>
      <c r="E102" s="8">
        <f>+Données!E102</f>
        <v>0</v>
      </c>
      <c r="F102" s="8">
        <f>+Données!I102</f>
        <v>0</v>
      </c>
      <c r="G102" s="8">
        <f>+Données!J102</f>
        <v>10082.75</v>
      </c>
      <c r="H102" s="8">
        <f>Données!U102</f>
        <v>-1599.16</v>
      </c>
      <c r="I102" s="154">
        <f>Données!V102</f>
        <v>0</v>
      </c>
      <c r="J102" s="154">
        <f>Données!W102</f>
        <v>-35</v>
      </c>
      <c r="K102" s="8">
        <f>+Données!Q102</f>
        <v>0</v>
      </c>
      <c r="L102" s="350">
        <f t="shared" si="4"/>
        <v>1054386.9300000002</v>
      </c>
      <c r="M102" s="8">
        <f>+Données!F102</f>
        <v>0</v>
      </c>
      <c r="N102" s="8">
        <f>+Données!K102</f>
        <v>24489.35</v>
      </c>
      <c r="O102" s="8">
        <f>(Données!L102/Données!Y102)*1</f>
        <v>130356.95</v>
      </c>
      <c r="P102" s="350">
        <f t="shared" si="5"/>
        <v>1209233.2300000002</v>
      </c>
      <c r="Q102" s="176">
        <f>+Données!X102</f>
        <v>63.5</v>
      </c>
      <c r="R102" s="350">
        <f t="shared" si="6"/>
        <v>19043.042992125989</v>
      </c>
    </row>
    <row r="103" spans="1:18" x14ac:dyDescent="0.25">
      <c r="A103" s="7">
        <f>Données!A103</f>
        <v>5566</v>
      </c>
      <c r="B103" s="27" t="str">
        <f>Données!B103</f>
        <v>Provence</v>
      </c>
      <c r="C103" s="8">
        <f>Données!C103+Données!D103</f>
        <v>605664.49</v>
      </c>
      <c r="D103" s="8">
        <f>+Données!G103+Données!H103+Données!S103</f>
        <v>15777.56</v>
      </c>
      <c r="E103" s="8">
        <f>+Données!E103</f>
        <v>0</v>
      </c>
      <c r="F103" s="8">
        <f>+Données!I103</f>
        <v>0</v>
      </c>
      <c r="G103" s="8">
        <f>+Données!J103</f>
        <v>12422.1</v>
      </c>
      <c r="H103" s="8">
        <f>Données!U103</f>
        <v>-5344.53</v>
      </c>
      <c r="I103" s="154">
        <f>Données!V103</f>
        <v>0</v>
      </c>
      <c r="J103" s="154">
        <f>Données!W103</f>
        <v>-76.099999999999994</v>
      </c>
      <c r="K103" s="8">
        <f>+Données!Q103</f>
        <v>298.69</v>
      </c>
      <c r="L103" s="350">
        <f t="shared" si="4"/>
        <v>628742.21</v>
      </c>
      <c r="M103" s="8">
        <f>+Données!F103</f>
        <v>2730</v>
      </c>
      <c r="N103" s="8">
        <f>+Données!K103</f>
        <v>2987.05</v>
      </c>
      <c r="O103" s="8">
        <f>(Données!L103/Données!Y103)*1</f>
        <v>56370.633333333331</v>
      </c>
      <c r="P103" s="350">
        <f t="shared" si="5"/>
        <v>690829.89333333331</v>
      </c>
      <c r="Q103" s="176">
        <f>+Données!X103</f>
        <v>81</v>
      </c>
      <c r="R103" s="350">
        <f t="shared" si="6"/>
        <v>8528.7641152263368</v>
      </c>
    </row>
    <row r="104" spans="1:18" x14ac:dyDescent="0.25">
      <c r="A104" s="7">
        <f>Données!A104</f>
        <v>5568</v>
      </c>
      <c r="B104" s="27" t="str">
        <f>Données!B104</f>
        <v>Sainte-Croix</v>
      </c>
      <c r="C104" s="8">
        <f>Données!C104+Données!D104</f>
        <v>6514307.2999999998</v>
      </c>
      <c r="D104" s="8">
        <f>+Données!G104+Données!H104+Données!S104</f>
        <v>167106.93</v>
      </c>
      <c r="E104" s="8">
        <f>+Données!E104</f>
        <v>0</v>
      </c>
      <c r="F104" s="8">
        <f>+Données!I104</f>
        <v>38315.550000000003</v>
      </c>
      <c r="G104" s="8">
        <f>+Données!J104</f>
        <v>143181.76000000001</v>
      </c>
      <c r="H104" s="8">
        <f>Données!U104</f>
        <v>-164867.07</v>
      </c>
      <c r="I104" s="154">
        <f>Données!V104</f>
        <v>0</v>
      </c>
      <c r="J104" s="154">
        <f>Données!W104</f>
        <v>-2471.1</v>
      </c>
      <c r="K104" s="8">
        <f>+Données!Q104</f>
        <v>22621.75</v>
      </c>
      <c r="L104" s="350">
        <f t="shared" si="4"/>
        <v>6718195.1199999992</v>
      </c>
      <c r="M104" s="8">
        <f>+Données!F104</f>
        <v>0</v>
      </c>
      <c r="N104" s="8">
        <f>+Données!K104</f>
        <v>31363.599999999999</v>
      </c>
      <c r="O104" s="8">
        <f>(Données!L104/Données!Y104)*1</f>
        <v>670655.55000000005</v>
      </c>
      <c r="P104" s="350">
        <f t="shared" si="5"/>
        <v>7420214.2699999986</v>
      </c>
      <c r="Q104" s="176">
        <f>+Données!X104</f>
        <v>70</v>
      </c>
      <c r="R104" s="350">
        <f t="shared" si="6"/>
        <v>106003.06099999999</v>
      </c>
    </row>
    <row r="105" spans="1:18" x14ac:dyDescent="0.25">
      <c r="A105" s="7">
        <f>Données!A105</f>
        <v>5571</v>
      </c>
      <c r="B105" s="27" t="str">
        <f>Données!B105</f>
        <v>Tévenon</v>
      </c>
      <c r="C105" s="8">
        <f>Données!C105+Données!D105</f>
        <v>1671467.56</v>
      </c>
      <c r="D105" s="8">
        <f>+Données!G105+Données!H105+Données!S105</f>
        <v>7567.76</v>
      </c>
      <c r="E105" s="8">
        <f>+Données!E105</f>
        <v>0</v>
      </c>
      <c r="F105" s="8">
        <f>+Données!I105</f>
        <v>0</v>
      </c>
      <c r="G105" s="8">
        <f>+Données!J105</f>
        <v>-698</v>
      </c>
      <c r="H105" s="8">
        <f>Données!U105</f>
        <v>-7231.34</v>
      </c>
      <c r="I105" s="154">
        <f>Données!V105</f>
        <v>-991.5</v>
      </c>
      <c r="J105" s="154">
        <f>Données!W105</f>
        <v>0</v>
      </c>
      <c r="K105" s="8">
        <f>+Données!Q105</f>
        <v>2632.3</v>
      </c>
      <c r="L105" s="350">
        <f t="shared" si="4"/>
        <v>1672746.78</v>
      </c>
      <c r="M105" s="8">
        <f>+Données!F105</f>
        <v>0</v>
      </c>
      <c r="N105" s="8">
        <f>+Données!K105</f>
        <v>8766.2000000000007</v>
      </c>
      <c r="O105" s="8">
        <f>(Données!L105/Données!Y105)*1</f>
        <v>170832.08333333334</v>
      </c>
      <c r="P105" s="350">
        <f t="shared" si="5"/>
        <v>1852345.0633333332</v>
      </c>
      <c r="Q105" s="176">
        <f>+Données!X105</f>
        <v>71.5</v>
      </c>
      <c r="R105" s="350">
        <f t="shared" si="6"/>
        <v>25906.923962703961</v>
      </c>
    </row>
    <row r="106" spans="1:18" x14ac:dyDescent="0.25">
      <c r="A106" s="7">
        <f>Données!A106</f>
        <v>5581</v>
      </c>
      <c r="B106" s="27" t="str">
        <f>Données!B106</f>
        <v>Belmont-sur-Lausanne</v>
      </c>
      <c r="C106" s="8">
        <f>Données!C106+Données!D106</f>
        <v>15272964.359999999</v>
      </c>
      <c r="D106" s="8">
        <f>+Données!G106+Données!H106+Données!S106</f>
        <v>349767.27</v>
      </c>
      <c r="E106" s="8">
        <f>+Données!E106</f>
        <v>0</v>
      </c>
      <c r="F106" s="8">
        <f>+Données!I106</f>
        <v>94218.85</v>
      </c>
      <c r="G106" s="8">
        <f>+Données!J106</f>
        <v>163782.16</v>
      </c>
      <c r="H106" s="8">
        <f>Données!U106</f>
        <v>-61138.37</v>
      </c>
      <c r="I106" s="154">
        <f>Données!V106</f>
        <v>0</v>
      </c>
      <c r="J106" s="154">
        <f>Données!W106</f>
        <v>-11449.17</v>
      </c>
      <c r="K106" s="8">
        <f>+Données!Q106</f>
        <v>-18915.02</v>
      </c>
      <c r="L106" s="350">
        <f t="shared" si="4"/>
        <v>15789230.08</v>
      </c>
      <c r="M106" s="8">
        <f>+Données!F106</f>
        <v>0</v>
      </c>
      <c r="N106" s="8">
        <f>+Données!K106</f>
        <v>35901.599999999999</v>
      </c>
      <c r="O106" s="8">
        <f>(Données!L106/Données!Y106)*1</f>
        <v>998897.4</v>
      </c>
      <c r="P106" s="350">
        <f t="shared" si="5"/>
        <v>16824029.079999998</v>
      </c>
      <c r="Q106" s="176">
        <f>+Données!X106</f>
        <v>72</v>
      </c>
      <c r="R106" s="350">
        <f t="shared" si="6"/>
        <v>233667.07055555552</v>
      </c>
    </row>
    <row r="107" spans="1:18" x14ac:dyDescent="0.25">
      <c r="A107" s="7">
        <f>Données!A107</f>
        <v>5582</v>
      </c>
      <c r="B107" s="27" t="str">
        <f>Données!B107</f>
        <v>Cheseaux-sur-Lausanne</v>
      </c>
      <c r="C107" s="8">
        <f>Données!C107+Données!D107</f>
        <v>10240229.140000001</v>
      </c>
      <c r="D107" s="8">
        <f>+Données!G107+Données!H107+Données!S107</f>
        <v>659682.05000000005</v>
      </c>
      <c r="E107" s="8">
        <f>+Données!E107</f>
        <v>0</v>
      </c>
      <c r="F107" s="8">
        <f>+Données!I107</f>
        <v>0</v>
      </c>
      <c r="G107" s="8">
        <f>+Données!J107</f>
        <v>338951.18</v>
      </c>
      <c r="H107" s="8">
        <f>Données!U107</f>
        <v>-66148.649999999994</v>
      </c>
      <c r="I107" s="154">
        <f>Données!V107</f>
        <v>0</v>
      </c>
      <c r="J107" s="154">
        <f>Données!W107</f>
        <v>-3974.96</v>
      </c>
      <c r="K107" s="8">
        <f>+Données!Q107</f>
        <v>152371.28</v>
      </c>
      <c r="L107" s="350">
        <f t="shared" si="4"/>
        <v>11321110.039999999</v>
      </c>
      <c r="M107" s="8">
        <f>+Données!F107</f>
        <v>0</v>
      </c>
      <c r="N107" s="8">
        <f>+Données!K107</f>
        <v>126869.85</v>
      </c>
      <c r="O107" s="8">
        <f>(Données!L107/Données!Y107)*1</f>
        <v>992794.45</v>
      </c>
      <c r="P107" s="350">
        <f t="shared" si="5"/>
        <v>12440774.339999998</v>
      </c>
      <c r="Q107" s="176">
        <f>+Données!X107</f>
        <v>73</v>
      </c>
      <c r="R107" s="350">
        <f t="shared" si="6"/>
        <v>170421.56630136984</v>
      </c>
    </row>
    <row r="108" spans="1:18" x14ac:dyDescent="0.25">
      <c r="A108" s="7">
        <f>Données!A108</f>
        <v>5583</v>
      </c>
      <c r="B108" s="27" t="str">
        <f>Données!B108</f>
        <v>Crissier</v>
      </c>
      <c r="C108" s="8">
        <f>Données!C108+Données!D108</f>
        <v>14097295.060000001</v>
      </c>
      <c r="D108" s="8">
        <f>+Données!G108+Données!H108+Données!S108</f>
        <v>3670906.26</v>
      </c>
      <c r="E108" s="8">
        <f>+Données!E108</f>
        <v>0</v>
      </c>
      <c r="F108" s="8">
        <f>+Données!I108</f>
        <v>0</v>
      </c>
      <c r="G108" s="8">
        <f>+Données!J108</f>
        <v>1059721.76</v>
      </c>
      <c r="H108" s="8">
        <f>Données!U108</f>
        <v>-297820.19</v>
      </c>
      <c r="I108" s="154">
        <f>Données!V108</f>
        <v>0</v>
      </c>
      <c r="J108" s="154">
        <f>Données!W108</f>
        <v>-2778.7</v>
      </c>
      <c r="K108" s="8">
        <f>+Données!Q108</f>
        <v>134384.76999999999</v>
      </c>
      <c r="L108" s="350">
        <f t="shared" si="4"/>
        <v>18661708.960000001</v>
      </c>
      <c r="M108" s="8">
        <f>+Données!F108</f>
        <v>0</v>
      </c>
      <c r="N108" s="8">
        <f>+Données!K108</f>
        <v>373598.6</v>
      </c>
      <c r="O108" s="8">
        <f>(Données!L108/Données!Y108)*1</f>
        <v>2583288.2999999998</v>
      </c>
      <c r="P108" s="350">
        <f t="shared" si="5"/>
        <v>21618595.860000003</v>
      </c>
      <c r="Q108" s="176">
        <f>+Données!X108</f>
        <v>63.5</v>
      </c>
      <c r="R108" s="350">
        <f t="shared" si="6"/>
        <v>340450.32850393705</v>
      </c>
    </row>
    <row r="109" spans="1:18" x14ac:dyDescent="0.25">
      <c r="A109" s="7">
        <f>Données!A109</f>
        <v>5584</v>
      </c>
      <c r="B109" s="27" t="str">
        <f>Données!B109</f>
        <v>Epalinges</v>
      </c>
      <c r="C109" s="8">
        <f>Données!C109+Données!D109</f>
        <v>26219575.879999999</v>
      </c>
      <c r="D109" s="8">
        <f>+Données!G109+Données!H109+Données!S109</f>
        <v>1868557.1800000002</v>
      </c>
      <c r="E109" s="8">
        <f>+Données!E109</f>
        <v>0</v>
      </c>
      <c r="F109" s="8">
        <f>+Données!I109</f>
        <v>384606.3</v>
      </c>
      <c r="G109" s="8">
        <f>+Données!J109</f>
        <v>624375.05000000005</v>
      </c>
      <c r="H109" s="8">
        <f>Données!U109</f>
        <v>-462529.99</v>
      </c>
      <c r="I109" s="154">
        <f>Données!V109</f>
        <v>0</v>
      </c>
      <c r="J109" s="154">
        <f>Données!W109</f>
        <v>-48182.400000000001</v>
      </c>
      <c r="K109" s="8">
        <f>+Données!Q109</f>
        <v>230723.20000000001</v>
      </c>
      <c r="L109" s="350">
        <f t="shared" si="4"/>
        <v>28817125.220000003</v>
      </c>
      <c r="M109" s="8">
        <f>+Données!F109</f>
        <v>0</v>
      </c>
      <c r="N109" s="8">
        <f>+Données!K109</f>
        <v>342617.05</v>
      </c>
      <c r="O109" s="8">
        <f>(Données!L109/Données!Y109)*1</f>
        <v>2428685.31</v>
      </c>
      <c r="P109" s="350">
        <f t="shared" si="5"/>
        <v>31588427.580000002</v>
      </c>
      <c r="Q109" s="176">
        <f>+Données!X109</f>
        <v>64.5</v>
      </c>
      <c r="R109" s="350">
        <f t="shared" si="6"/>
        <v>489743.06325581396</v>
      </c>
    </row>
    <row r="110" spans="1:18" x14ac:dyDescent="0.25">
      <c r="A110" s="7">
        <f>Données!A110</f>
        <v>5585</v>
      </c>
      <c r="B110" s="27" t="str">
        <f>Données!B110</f>
        <v>Jouxtens-Mézery</v>
      </c>
      <c r="C110" s="8">
        <f>Données!C110+Données!D110</f>
        <v>11084977.16</v>
      </c>
      <c r="D110" s="8">
        <f>+Données!G110+Données!H110+Données!S110</f>
        <v>75039.009999999995</v>
      </c>
      <c r="E110" s="8">
        <f>+Données!E110</f>
        <v>0</v>
      </c>
      <c r="F110" s="8">
        <f>+Données!I110</f>
        <v>575098.6</v>
      </c>
      <c r="G110" s="8">
        <f>+Données!J110</f>
        <v>123355.29</v>
      </c>
      <c r="H110" s="8">
        <f>Données!U110</f>
        <v>-24206.23</v>
      </c>
      <c r="I110" s="154">
        <f>Données!V110</f>
        <v>0</v>
      </c>
      <c r="J110" s="154">
        <f>Données!W110</f>
        <v>-21529.38</v>
      </c>
      <c r="K110" s="8">
        <f>+Données!Q110</f>
        <v>12084.04</v>
      </c>
      <c r="L110" s="350">
        <f t="shared" si="4"/>
        <v>11824818.489999996</v>
      </c>
      <c r="M110" s="8">
        <f>+Données!F110</f>
        <v>0</v>
      </c>
      <c r="N110" s="8">
        <f>+Données!K110</f>
        <v>7799</v>
      </c>
      <c r="O110" s="8">
        <f>(Données!L110/Données!Y110)*1</f>
        <v>591167.35</v>
      </c>
      <c r="P110" s="350">
        <f t="shared" si="5"/>
        <v>12423784.839999996</v>
      </c>
      <c r="Q110" s="176">
        <f>+Données!X110</f>
        <v>59</v>
      </c>
      <c r="R110" s="350">
        <f t="shared" si="6"/>
        <v>210572.62440677959</v>
      </c>
    </row>
    <row r="111" spans="1:18" x14ac:dyDescent="0.25">
      <c r="A111" s="7">
        <f>Données!A111</f>
        <v>5586</v>
      </c>
      <c r="B111" s="27" t="str">
        <f>Données!B111</f>
        <v>Lausanne</v>
      </c>
      <c r="C111" s="8">
        <f>Données!C111+Données!D111</f>
        <v>349831717.95999998</v>
      </c>
      <c r="D111" s="8">
        <f>+Données!G111+Données!H111+Données!S111</f>
        <v>112313254.56999999</v>
      </c>
      <c r="E111" s="8">
        <f>+Données!E111</f>
        <v>0</v>
      </c>
      <c r="F111" s="8">
        <f>+Données!I111</f>
        <v>4416616.38</v>
      </c>
      <c r="G111" s="8">
        <f>+Données!J111</f>
        <v>26043977.149999999</v>
      </c>
      <c r="H111" s="8">
        <f>Données!U111</f>
        <v>-7524770.8200000003</v>
      </c>
      <c r="I111" s="154">
        <f>Données!V111</f>
        <v>0</v>
      </c>
      <c r="J111" s="154">
        <f>Données!W111</f>
        <v>-1986114.97</v>
      </c>
      <c r="K111" s="8">
        <f>+Données!Q111</f>
        <v>2478909.39</v>
      </c>
      <c r="L111" s="350">
        <f t="shared" si="4"/>
        <v>485573589.65999991</v>
      </c>
      <c r="M111" s="8">
        <f>+Données!F111</f>
        <v>0</v>
      </c>
      <c r="N111" s="8">
        <f>+Données!K111</f>
        <v>6615252.75</v>
      </c>
      <c r="O111" s="8">
        <f>(Données!L111/Données!Y111)*1</f>
        <v>31471707.366666663</v>
      </c>
      <c r="P111" s="350">
        <f t="shared" si="5"/>
        <v>523660549.77666658</v>
      </c>
      <c r="Q111" s="176">
        <f>+Données!X111</f>
        <v>78.5</v>
      </c>
      <c r="R111" s="350">
        <f t="shared" si="6"/>
        <v>6670835.0290021216</v>
      </c>
    </row>
    <row r="112" spans="1:18" x14ac:dyDescent="0.25">
      <c r="A112" s="7">
        <f>Données!A112</f>
        <v>5587</v>
      </c>
      <c r="B112" s="27" t="str">
        <f>Données!B112</f>
        <v>Le Mont-sur-Lausanne</v>
      </c>
      <c r="C112" s="8">
        <f>Données!C112+Données!D112</f>
        <v>29204739.629999999</v>
      </c>
      <c r="D112" s="8">
        <f>+Données!G112+Données!H112+Données!S112</f>
        <v>2541908.21</v>
      </c>
      <c r="E112" s="8">
        <f>+Données!E112</f>
        <v>0</v>
      </c>
      <c r="F112" s="8">
        <f>+Données!I112</f>
        <v>275234.95</v>
      </c>
      <c r="G112" s="8">
        <f>+Données!J112</f>
        <v>534999.24</v>
      </c>
      <c r="H112" s="8">
        <f>Données!U112</f>
        <v>-210338.26</v>
      </c>
      <c r="I112" s="154">
        <f>Données!V112</f>
        <v>0</v>
      </c>
      <c r="J112" s="154">
        <f>Données!W112</f>
        <v>-27002.71</v>
      </c>
      <c r="K112" s="8">
        <f>+Données!Q112</f>
        <v>62316.08</v>
      </c>
      <c r="L112" s="350">
        <f t="shared" si="4"/>
        <v>32381857.139999993</v>
      </c>
      <c r="M112" s="8">
        <f>+Données!F112</f>
        <v>0</v>
      </c>
      <c r="N112" s="8">
        <f>+Données!K112</f>
        <v>366915.15</v>
      </c>
      <c r="O112" s="8">
        <f>(Données!L112/Données!Y112)*1</f>
        <v>2826894.875</v>
      </c>
      <c r="P112" s="350">
        <f t="shared" si="5"/>
        <v>35575667.164999992</v>
      </c>
      <c r="Q112" s="176">
        <f>+Données!X112</f>
        <v>73.5</v>
      </c>
      <c r="R112" s="350">
        <f t="shared" si="6"/>
        <v>484022.6825170067</v>
      </c>
    </row>
    <row r="113" spans="1:18" x14ac:dyDescent="0.25">
      <c r="A113" s="7">
        <f>Données!A113</f>
        <v>5588</v>
      </c>
      <c r="B113" s="27" t="str">
        <f>Données!B113</f>
        <v>Paudex</v>
      </c>
      <c r="C113" s="8">
        <f>Données!C113+Données!D113</f>
        <v>6542660.4299999997</v>
      </c>
      <c r="D113" s="8">
        <f>+Données!G113+Données!H113+Données!S113</f>
        <v>971795.81</v>
      </c>
      <c r="E113" s="8">
        <f>+Données!E113</f>
        <v>0</v>
      </c>
      <c r="F113" s="8">
        <f>+Données!I113</f>
        <v>697545.62</v>
      </c>
      <c r="G113" s="8">
        <f>+Données!J113</f>
        <v>382480.49</v>
      </c>
      <c r="H113" s="8">
        <f>Données!U113</f>
        <v>-9392.98</v>
      </c>
      <c r="I113" s="154">
        <f>Données!V113</f>
        <v>0</v>
      </c>
      <c r="J113" s="154">
        <f>Données!W113</f>
        <v>-57193.65</v>
      </c>
      <c r="K113" s="8">
        <f>+Données!Q113</f>
        <v>7826.85</v>
      </c>
      <c r="L113" s="350">
        <f t="shared" si="4"/>
        <v>8535722.5699999984</v>
      </c>
      <c r="M113" s="8">
        <f>+Données!F113</f>
        <v>0</v>
      </c>
      <c r="N113" s="8">
        <f>+Données!K113</f>
        <v>46010.95</v>
      </c>
      <c r="O113" s="8">
        <f>(Données!L113/Données!Y113)*1</f>
        <v>564997.57142857148</v>
      </c>
      <c r="P113" s="350">
        <f t="shared" si="5"/>
        <v>9146731.0914285686</v>
      </c>
      <c r="Q113" s="176">
        <f>+Données!X113</f>
        <v>66.5</v>
      </c>
      <c r="R113" s="350">
        <f t="shared" si="6"/>
        <v>137544.82844253487</v>
      </c>
    </row>
    <row r="114" spans="1:18" x14ac:dyDescent="0.25">
      <c r="A114" s="7">
        <f>Données!A114</f>
        <v>5589</v>
      </c>
      <c r="B114" s="27" t="str">
        <f>Données!B114</f>
        <v>Prilly</v>
      </c>
      <c r="C114" s="8">
        <f>Données!C114+Données!D114</f>
        <v>21008316.559999999</v>
      </c>
      <c r="D114" s="8">
        <f>+Données!G114+Données!H114+Données!S114</f>
        <v>4180654.2</v>
      </c>
      <c r="E114" s="8">
        <f>+Données!E114</f>
        <v>0</v>
      </c>
      <c r="F114" s="8">
        <f>+Données!I114</f>
        <v>84190.25</v>
      </c>
      <c r="G114" s="8">
        <f>+Données!J114</f>
        <v>1456662.44</v>
      </c>
      <c r="H114" s="8">
        <f>Données!U114</f>
        <v>-383235.47</v>
      </c>
      <c r="I114" s="154">
        <f>Données!V114</f>
        <v>0</v>
      </c>
      <c r="J114" s="154">
        <f>Données!W114</f>
        <v>-6772.24</v>
      </c>
      <c r="K114" s="8">
        <f>+Données!Q114</f>
        <v>141535.81</v>
      </c>
      <c r="L114" s="350">
        <f t="shared" si="4"/>
        <v>26481351.550000001</v>
      </c>
      <c r="M114" s="8">
        <f>+Données!F114</f>
        <v>0</v>
      </c>
      <c r="N114" s="8">
        <f>+Données!K114</f>
        <v>425656</v>
      </c>
      <c r="O114" s="8">
        <f>(Données!L114/Données!Y114)*1</f>
        <v>2395534.9615384615</v>
      </c>
      <c r="P114" s="350">
        <f t="shared" si="5"/>
        <v>29302542.511538461</v>
      </c>
      <c r="Q114" s="176">
        <f>+Données!X114</f>
        <v>72.5</v>
      </c>
      <c r="R114" s="350">
        <f t="shared" si="6"/>
        <v>404173.00015915121</v>
      </c>
    </row>
    <row r="115" spans="1:18" x14ac:dyDescent="0.25">
      <c r="A115" s="7">
        <f>Données!A115</f>
        <v>5590</v>
      </c>
      <c r="B115" s="27" t="str">
        <f>Données!B115</f>
        <v>Pully</v>
      </c>
      <c r="C115" s="8">
        <f>Données!C115+Données!D115</f>
        <v>72431114.079999998</v>
      </c>
      <c r="D115" s="8">
        <f>+Données!G115+Données!H115+Données!S115</f>
        <v>4791257.26</v>
      </c>
      <c r="E115" s="8">
        <f>+Données!E115</f>
        <v>0</v>
      </c>
      <c r="F115" s="8">
        <f>+Données!I115</f>
        <v>2335527.14</v>
      </c>
      <c r="G115" s="8">
        <f>+Données!J115</f>
        <v>1272358.1399999999</v>
      </c>
      <c r="H115" s="8">
        <f>Données!U115</f>
        <v>-498047.88</v>
      </c>
      <c r="I115" s="154">
        <f>Données!V115</f>
        <v>0</v>
      </c>
      <c r="J115" s="154">
        <f>Données!W115</f>
        <v>-1231121.6399999999</v>
      </c>
      <c r="K115" s="8">
        <f>+Données!Q115</f>
        <v>203865.32</v>
      </c>
      <c r="L115" s="350">
        <f t="shared" si="4"/>
        <v>79304952.420000002</v>
      </c>
      <c r="M115" s="8">
        <f>+Données!F115</f>
        <v>0</v>
      </c>
      <c r="N115" s="8">
        <f>+Données!K115</f>
        <v>412106.55</v>
      </c>
      <c r="O115" s="8">
        <f>(Données!L115/Données!Y115)*1</f>
        <v>5463912.5</v>
      </c>
      <c r="P115" s="350">
        <f t="shared" si="5"/>
        <v>85180971.469999999</v>
      </c>
      <c r="Q115" s="176">
        <f>+Données!X115</f>
        <v>61</v>
      </c>
      <c r="R115" s="350">
        <f t="shared" si="6"/>
        <v>1396409.3683606556</v>
      </c>
    </row>
    <row r="116" spans="1:18" x14ac:dyDescent="0.25">
      <c r="A116" s="7">
        <f>Données!A116</f>
        <v>5591</v>
      </c>
      <c r="B116" s="27" t="str">
        <f>Données!B116</f>
        <v>Renens</v>
      </c>
      <c r="C116" s="8">
        <f>Données!C116+Données!D116</f>
        <v>32009025.34</v>
      </c>
      <c r="D116" s="8">
        <f>+Données!G116+Données!H116+Données!S116</f>
        <v>6744010.9299999997</v>
      </c>
      <c r="E116" s="8">
        <f>+Données!E116</f>
        <v>0</v>
      </c>
      <c r="F116" s="8">
        <f>+Données!I116</f>
        <v>0</v>
      </c>
      <c r="G116" s="8">
        <f>+Données!J116</f>
        <v>3001968.75</v>
      </c>
      <c r="H116" s="8">
        <f>Données!U116</f>
        <v>-1349093.16</v>
      </c>
      <c r="I116" s="154">
        <f>Données!V116</f>
        <v>0</v>
      </c>
      <c r="J116" s="154">
        <f>Données!W116</f>
        <v>-11657.28</v>
      </c>
      <c r="K116" s="8">
        <f>+Données!Q116</f>
        <v>341109.08</v>
      </c>
      <c r="L116" s="350">
        <f t="shared" si="4"/>
        <v>40735363.659999996</v>
      </c>
      <c r="M116" s="8">
        <f>+Données!F116</f>
        <v>0</v>
      </c>
      <c r="N116" s="8">
        <f>+Données!K116</f>
        <v>907219.95</v>
      </c>
      <c r="O116" s="8">
        <f>(Données!L116/Données!Y116)*1</f>
        <v>4005920.3928571432</v>
      </c>
      <c r="P116" s="350">
        <f t="shared" si="5"/>
        <v>45648504.002857141</v>
      </c>
      <c r="Q116" s="176">
        <f>+Données!X116</f>
        <v>77</v>
      </c>
      <c r="R116" s="350">
        <f t="shared" si="6"/>
        <v>592837.71432282007</v>
      </c>
    </row>
    <row r="117" spans="1:18" x14ac:dyDescent="0.25">
      <c r="A117" s="7">
        <f>Données!A117</f>
        <v>5592</v>
      </c>
      <c r="B117" s="27" t="str">
        <f>Données!B117</f>
        <v>Romanel-sur-Lausanne</v>
      </c>
      <c r="C117" s="8">
        <f>Données!C117+Données!D117</f>
        <v>6541025.0899999999</v>
      </c>
      <c r="D117" s="8">
        <f>+Données!G117+Données!H117+Données!S117</f>
        <v>379643</v>
      </c>
      <c r="E117" s="8">
        <f>+Données!E117</f>
        <v>0</v>
      </c>
      <c r="F117" s="8">
        <f>+Données!I117</f>
        <v>-45356.85</v>
      </c>
      <c r="G117" s="8">
        <f>+Données!J117</f>
        <v>225493.06</v>
      </c>
      <c r="H117" s="8">
        <f>Données!U117</f>
        <v>-96637.86</v>
      </c>
      <c r="I117" s="154">
        <f>Données!V117</f>
        <v>0</v>
      </c>
      <c r="J117" s="154">
        <f>Données!W117</f>
        <v>-5525.39</v>
      </c>
      <c r="K117" s="8">
        <f>+Données!Q117</f>
        <v>32450.22</v>
      </c>
      <c r="L117" s="350">
        <f t="shared" si="4"/>
        <v>7031091.2699999996</v>
      </c>
      <c r="M117" s="8">
        <f>+Données!F117</f>
        <v>0</v>
      </c>
      <c r="N117" s="8">
        <f>+Données!K117</f>
        <v>161525.35</v>
      </c>
      <c r="O117" s="8">
        <f>(Données!L117/Données!Y117)*1</f>
        <v>816207.24</v>
      </c>
      <c r="P117" s="350">
        <f t="shared" si="5"/>
        <v>8008823.8599999994</v>
      </c>
      <c r="Q117" s="176">
        <f>+Données!X117</f>
        <v>70.5</v>
      </c>
      <c r="R117" s="350">
        <f t="shared" si="6"/>
        <v>113600.3384397163</v>
      </c>
    </row>
    <row r="118" spans="1:18" x14ac:dyDescent="0.25">
      <c r="A118" s="7">
        <f>Données!A118</f>
        <v>5601</v>
      </c>
      <c r="B118" s="27" t="str">
        <f>Données!B118</f>
        <v>Chexbres</v>
      </c>
      <c r="C118" s="8">
        <f>Données!C118+Données!D118</f>
        <v>6418493.0700000003</v>
      </c>
      <c r="D118" s="8">
        <f>+Données!G118+Données!H118+Données!S118</f>
        <v>93697.459999999992</v>
      </c>
      <c r="E118" s="8">
        <f>+Données!E118</f>
        <v>0</v>
      </c>
      <c r="F118" s="8">
        <f>+Données!I118</f>
        <v>0</v>
      </c>
      <c r="G118" s="8">
        <f>+Données!J118</f>
        <v>131129.57999999999</v>
      </c>
      <c r="H118" s="8">
        <f>Données!U118</f>
        <v>-69891.5</v>
      </c>
      <c r="I118" s="154">
        <f>Données!V118</f>
        <v>0</v>
      </c>
      <c r="J118" s="154">
        <f>Données!W118</f>
        <v>-6622.34</v>
      </c>
      <c r="K118" s="8">
        <f>+Données!Q118</f>
        <v>30442.58</v>
      </c>
      <c r="L118" s="350">
        <f t="shared" si="4"/>
        <v>6597248.8500000006</v>
      </c>
      <c r="M118" s="8">
        <f>+Données!F118</f>
        <v>0</v>
      </c>
      <c r="N118" s="8">
        <f>+Données!K118</f>
        <v>27519.95</v>
      </c>
      <c r="O118" s="8">
        <f>(Données!L118/Données!Y118)*1</f>
        <v>531188.69999999995</v>
      </c>
      <c r="P118" s="350">
        <f t="shared" si="5"/>
        <v>7155957.5000000009</v>
      </c>
      <c r="Q118" s="176">
        <f>+Données!X118</f>
        <v>67.5</v>
      </c>
      <c r="R118" s="350">
        <f t="shared" si="6"/>
        <v>106014.1851851852</v>
      </c>
    </row>
    <row r="119" spans="1:18" x14ac:dyDescent="0.25">
      <c r="A119" s="7">
        <f>Données!A119</f>
        <v>5604</v>
      </c>
      <c r="B119" s="27" t="str">
        <f>Données!B119</f>
        <v>Forel (Lavaux)</v>
      </c>
      <c r="C119" s="8">
        <f>Données!C119+Données!D119</f>
        <v>4170762.6100000003</v>
      </c>
      <c r="D119" s="8">
        <f>+Données!G119+Données!H119+Données!S119</f>
        <v>265026.14</v>
      </c>
      <c r="E119" s="8">
        <f>+Données!E119</f>
        <v>0</v>
      </c>
      <c r="F119" s="8">
        <f>+Données!I119</f>
        <v>0</v>
      </c>
      <c r="G119" s="8">
        <f>+Données!J119</f>
        <v>54026.31</v>
      </c>
      <c r="H119" s="8">
        <f>Données!U119</f>
        <v>-101263.12</v>
      </c>
      <c r="I119" s="154">
        <f>Données!V119</f>
        <v>0</v>
      </c>
      <c r="J119" s="154">
        <f>Données!W119</f>
        <v>-611.53</v>
      </c>
      <c r="K119" s="8">
        <f>+Données!Q119</f>
        <v>56537.36</v>
      </c>
      <c r="L119" s="350">
        <f t="shared" si="4"/>
        <v>4444477.7699999996</v>
      </c>
      <c r="M119" s="8">
        <f>+Données!F119</f>
        <v>0</v>
      </c>
      <c r="N119" s="8">
        <f>+Données!K119</f>
        <v>30025.15</v>
      </c>
      <c r="O119" s="8">
        <f>(Données!L119/Données!Y119)*1</f>
        <v>421616</v>
      </c>
      <c r="P119" s="350">
        <f t="shared" si="5"/>
        <v>4896118.92</v>
      </c>
      <c r="Q119" s="176">
        <f>+Données!X119</f>
        <v>69</v>
      </c>
      <c r="R119" s="350">
        <f t="shared" si="6"/>
        <v>70958.245217391304</v>
      </c>
    </row>
    <row r="120" spans="1:18" x14ac:dyDescent="0.25">
      <c r="A120" s="7">
        <f>Données!A120</f>
        <v>5606</v>
      </c>
      <c r="B120" s="27" t="str">
        <f>Données!B120</f>
        <v>Lutry</v>
      </c>
      <c r="C120" s="8">
        <f>Données!C120+Données!D120</f>
        <v>44086369.909999996</v>
      </c>
      <c r="D120" s="8">
        <f>+Données!G120+Données!H120+Données!S120</f>
        <v>5766185.6900000004</v>
      </c>
      <c r="E120" s="8">
        <f>+Données!E120</f>
        <v>0</v>
      </c>
      <c r="F120" s="8">
        <f>+Données!I120</f>
        <v>1212906.26</v>
      </c>
      <c r="G120" s="8">
        <f>+Données!J120</f>
        <v>752716.53</v>
      </c>
      <c r="H120" s="8">
        <f>Données!U120</f>
        <v>-461209.8</v>
      </c>
      <c r="I120" s="154">
        <f>Données!V120</f>
        <v>0</v>
      </c>
      <c r="J120" s="154">
        <f>Données!W120</f>
        <v>-98634.42</v>
      </c>
      <c r="K120" s="8">
        <f>+Données!Q120</f>
        <v>80465.960000000006</v>
      </c>
      <c r="L120" s="350">
        <f t="shared" si="4"/>
        <v>51338800.129999995</v>
      </c>
      <c r="M120" s="8">
        <f>+Données!F120</f>
        <v>0</v>
      </c>
      <c r="N120" s="8">
        <f>+Données!K120</f>
        <v>146921.60000000001</v>
      </c>
      <c r="O120" s="8">
        <f>(Données!L120/Données!Y120)*1</f>
        <v>3458520.3571428573</v>
      </c>
      <c r="P120" s="350">
        <f t="shared" si="5"/>
        <v>54944242.087142855</v>
      </c>
      <c r="Q120" s="176">
        <f>+Données!X120</f>
        <v>54</v>
      </c>
      <c r="R120" s="350">
        <f t="shared" si="6"/>
        <v>1017485.9645767196</v>
      </c>
    </row>
    <row r="121" spans="1:18" x14ac:dyDescent="0.25">
      <c r="A121" s="7">
        <f>Données!A121</f>
        <v>5607</v>
      </c>
      <c r="B121" s="27" t="str">
        <f>Données!B121</f>
        <v>Puidoux</v>
      </c>
      <c r="C121" s="8">
        <f>Données!C121+Données!D121</f>
        <v>6540424.0199999996</v>
      </c>
      <c r="D121" s="8">
        <f>+Données!G121+Données!H121+Données!S121</f>
        <v>614961.49000000011</v>
      </c>
      <c r="E121" s="8">
        <f>+Données!E121</f>
        <v>0</v>
      </c>
      <c r="F121" s="8">
        <f>+Données!I121</f>
        <v>8.5</v>
      </c>
      <c r="G121" s="8">
        <f>+Données!J121</f>
        <v>146986.91</v>
      </c>
      <c r="H121" s="8">
        <f>Données!U121</f>
        <v>-51057.17</v>
      </c>
      <c r="I121" s="154">
        <f>Données!V121</f>
        <v>0</v>
      </c>
      <c r="J121" s="154">
        <f>Données!W121</f>
        <v>-3024.38</v>
      </c>
      <c r="K121" s="8">
        <f>+Données!Q121</f>
        <v>3935.43</v>
      </c>
      <c r="L121" s="350">
        <f t="shared" si="4"/>
        <v>7252234.7999999998</v>
      </c>
      <c r="M121" s="8">
        <f>+Données!F121</f>
        <v>0</v>
      </c>
      <c r="N121" s="8">
        <f>+Données!K121</f>
        <v>35256.9</v>
      </c>
      <c r="O121" s="8">
        <f>(Données!L121/Données!Y121)*1</f>
        <v>760495.47826086963</v>
      </c>
      <c r="P121" s="350">
        <f t="shared" si="5"/>
        <v>8047987.1782608703</v>
      </c>
      <c r="Q121" s="176">
        <f>+Données!X121</f>
        <v>68.5</v>
      </c>
      <c r="R121" s="350">
        <f t="shared" si="6"/>
        <v>117488.86391621709</v>
      </c>
    </row>
    <row r="122" spans="1:18" x14ac:dyDescent="0.25">
      <c r="A122" s="7">
        <f>Données!A122</f>
        <v>5609</v>
      </c>
      <c r="B122" s="27" t="str">
        <f>Données!B122</f>
        <v>Rivaz</v>
      </c>
      <c r="C122" s="8">
        <f>Données!C122+Données!D122</f>
        <v>837599.57000000007</v>
      </c>
      <c r="D122" s="8">
        <f>+Données!G122+Données!H122+Données!S122</f>
        <v>9845.7500000000018</v>
      </c>
      <c r="E122" s="8">
        <f>+Données!E122</f>
        <v>0</v>
      </c>
      <c r="F122" s="8">
        <f>+Données!I122</f>
        <v>0</v>
      </c>
      <c r="G122" s="8">
        <f>+Données!J122</f>
        <v>21318.27</v>
      </c>
      <c r="H122" s="8">
        <f>Données!U122</f>
        <v>-4521.76</v>
      </c>
      <c r="I122" s="154">
        <f>Données!V122</f>
        <v>0</v>
      </c>
      <c r="J122" s="154">
        <f>Données!W122</f>
        <v>-585.5</v>
      </c>
      <c r="K122" s="8">
        <f>+Données!Q122</f>
        <v>0</v>
      </c>
      <c r="L122" s="350">
        <f t="shared" si="4"/>
        <v>863656.33000000007</v>
      </c>
      <c r="M122" s="8">
        <f>+Données!F122</f>
        <v>0</v>
      </c>
      <c r="N122" s="8">
        <f>+Données!K122</f>
        <v>1050.4000000000001</v>
      </c>
      <c r="O122" s="8">
        <f>(Données!L122/Données!Y122)*1</f>
        <v>60957.9</v>
      </c>
      <c r="P122" s="350">
        <f t="shared" si="5"/>
        <v>925664.63000000012</v>
      </c>
      <c r="Q122" s="176">
        <f>+Données!X122</f>
        <v>62</v>
      </c>
      <c r="R122" s="350">
        <f t="shared" si="6"/>
        <v>14930.074677419358</v>
      </c>
    </row>
    <row r="123" spans="1:18" x14ac:dyDescent="0.25">
      <c r="A123" s="7">
        <f>Données!A123</f>
        <v>5610</v>
      </c>
      <c r="B123" s="27" t="str">
        <f>Données!B123</f>
        <v>St-Saphorin (Lavaux)</v>
      </c>
      <c r="C123" s="8">
        <f>Données!C123+Données!D123</f>
        <v>1367005.6099999999</v>
      </c>
      <c r="D123" s="8">
        <f>+Données!G123+Données!H123+Données!S123</f>
        <v>28267.859999999997</v>
      </c>
      <c r="E123" s="8">
        <f>+Données!E123</f>
        <v>0</v>
      </c>
      <c r="F123" s="8">
        <f>+Données!I123</f>
        <v>689.599999999999</v>
      </c>
      <c r="G123" s="8">
        <f>+Données!J123</f>
        <v>32843.82</v>
      </c>
      <c r="H123" s="8">
        <f>Données!U123</f>
        <v>-4930.59</v>
      </c>
      <c r="I123" s="154">
        <f>Données!V123</f>
        <v>0</v>
      </c>
      <c r="J123" s="154">
        <f>Données!W123</f>
        <v>-127.45</v>
      </c>
      <c r="K123" s="8">
        <f>+Données!Q123</f>
        <v>0</v>
      </c>
      <c r="L123" s="350">
        <f t="shared" si="4"/>
        <v>1423748.85</v>
      </c>
      <c r="M123" s="8">
        <f>+Données!F123</f>
        <v>0</v>
      </c>
      <c r="N123" s="8">
        <f>+Données!K123</f>
        <v>6721.15</v>
      </c>
      <c r="O123" s="8">
        <f>(Données!L123/Données!Y123)*1</f>
        <v>105028.33333333334</v>
      </c>
      <c r="P123" s="350">
        <f t="shared" si="5"/>
        <v>1535498.3333333333</v>
      </c>
      <c r="Q123" s="176">
        <f>+Données!X123</f>
        <v>72</v>
      </c>
      <c r="R123" s="350">
        <f t="shared" si="6"/>
        <v>21326.365740740741</v>
      </c>
    </row>
    <row r="124" spans="1:18" x14ac:dyDescent="0.25">
      <c r="A124" s="7">
        <f>Données!A124</f>
        <v>5611</v>
      </c>
      <c r="B124" s="27" t="str">
        <f>Données!B124</f>
        <v>Savigny</v>
      </c>
      <c r="C124" s="8">
        <f>Données!C124+Données!D124</f>
        <v>8362892.5199999996</v>
      </c>
      <c r="D124" s="8">
        <f>+Données!G124+Données!H124+Données!S124</f>
        <v>331065.11000000004</v>
      </c>
      <c r="E124" s="8">
        <f>+Données!E124</f>
        <v>0</v>
      </c>
      <c r="F124" s="8">
        <f>+Données!I124</f>
        <v>194791.07</v>
      </c>
      <c r="G124" s="8">
        <f>+Données!J124</f>
        <v>142647.49</v>
      </c>
      <c r="H124" s="8">
        <f>Données!U124</f>
        <v>-84373.38</v>
      </c>
      <c r="I124" s="154">
        <f>Données!V124</f>
        <v>0</v>
      </c>
      <c r="J124" s="154">
        <f>Données!W124</f>
        <v>-1362.76</v>
      </c>
      <c r="K124" s="8">
        <f>+Données!Q124</f>
        <v>1434.81</v>
      </c>
      <c r="L124" s="350">
        <f t="shared" si="4"/>
        <v>8947094.8599999994</v>
      </c>
      <c r="M124" s="8">
        <f>+Données!F124</f>
        <v>0</v>
      </c>
      <c r="N124" s="8">
        <f>+Données!K124</f>
        <v>-11676.65</v>
      </c>
      <c r="O124" s="8">
        <f>(Données!L124/Données!Y124)*1</f>
        <v>698764.375</v>
      </c>
      <c r="P124" s="350">
        <f t="shared" si="5"/>
        <v>9634182.584999999</v>
      </c>
      <c r="Q124" s="176">
        <f>+Données!X124</f>
        <v>69</v>
      </c>
      <c r="R124" s="350">
        <f t="shared" si="6"/>
        <v>139625.83456521737</v>
      </c>
    </row>
    <row r="125" spans="1:18" x14ac:dyDescent="0.25">
      <c r="A125" s="7">
        <f>Données!A125</f>
        <v>5613</v>
      </c>
      <c r="B125" s="27" t="str">
        <f>Données!B125</f>
        <v>Bourg-en-Lavaux</v>
      </c>
      <c r="C125" s="8">
        <f>Données!C125+Données!D125</f>
        <v>20412078.120000001</v>
      </c>
      <c r="D125" s="8">
        <f>+Données!G125+Données!H125+Données!S125</f>
        <v>186971.81</v>
      </c>
      <c r="E125" s="8">
        <f>+Données!E125</f>
        <v>0</v>
      </c>
      <c r="F125" s="8">
        <f>+Données!I125</f>
        <v>161532.93</v>
      </c>
      <c r="G125" s="8">
        <f>+Données!J125</f>
        <v>580976.21</v>
      </c>
      <c r="H125" s="8">
        <f>Données!U125</f>
        <v>-69130.13</v>
      </c>
      <c r="I125" s="154">
        <f>Données!V125</f>
        <v>0</v>
      </c>
      <c r="J125" s="154">
        <f>Données!W125</f>
        <v>-36807.72</v>
      </c>
      <c r="K125" s="8">
        <f>+Données!Q125</f>
        <v>77821.679999999993</v>
      </c>
      <c r="L125" s="350">
        <f t="shared" si="4"/>
        <v>21313442.900000002</v>
      </c>
      <c r="M125" s="8">
        <f>+Données!F125</f>
        <v>0</v>
      </c>
      <c r="N125" s="8">
        <f>+Données!K125</f>
        <v>33459.9</v>
      </c>
      <c r="O125" s="8">
        <f>(Données!L125/Données!Y125)*1</f>
        <v>1603345.0333333332</v>
      </c>
      <c r="P125" s="350">
        <f t="shared" si="5"/>
        <v>22950247.833333336</v>
      </c>
      <c r="Q125" s="176">
        <f>+Données!X125</f>
        <v>62.5</v>
      </c>
      <c r="R125" s="350">
        <f t="shared" si="6"/>
        <v>367203.96533333336</v>
      </c>
    </row>
    <row r="126" spans="1:18" x14ac:dyDescent="0.25">
      <c r="A126" s="7">
        <f>Données!A126</f>
        <v>5621</v>
      </c>
      <c r="B126" s="27" t="str">
        <f>Données!B126</f>
        <v>Aclens</v>
      </c>
      <c r="C126" s="8">
        <f>Données!C126+Données!D126</f>
        <v>1364439.1800000002</v>
      </c>
      <c r="D126" s="8">
        <f>+Données!G126+Données!H126+Données!S126</f>
        <v>624615.21</v>
      </c>
      <c r="E126" s="8">
        <f>+Données!E126</f>
        <v>0</v>
      </c>
      <c r="F126" s="8">
        <f>+Données!I126</f>
        <v>0</v>
      </c>
      <c r="G126" s="8">
        <f>+Données!J126</f>
        <v>105751.2</v>
      </c>
      <c r="H126" s="8">
        <f>Données!U126</f>
        <v>-6670.87</v>
      </c>
      <c r="I126" s="154">
        <f>Données!V126</f>
        <v>0</v>
      </c>
      <c r="J126" s="154">
        <f>Données!W126</f>
        <v>-50.25</v>
      </c>
      <c r="K126" s="8">
        <f>+Données!Q126</f>
        <v>2940.49</v>
      </c>
      <c r="L126" s="350">
        <f t="shared" si="4"/>
        <v>2091024.96</v>
      </c>
      <c r="M126" s="8">
        <f>+Données!F126</f>
        <v>0</v>
      </c>
      <c r="N126" s="8">
        <f>+Données!K126</f>
        <v>35902.75</v>
      </c>
      <c r="O126" s="8">
        <f>(Données!L126/Données!Y126)*1</f>
        <v>303164.77272727271</v>
      </c>
      <c r="P126" s="350">
        <f t="shared" si="5"/>
        <v>2430092.4827272724</v>
      </c>
      <c r="Q126" s="176">
        <f>+Données!X126</f>
        <v>62</v>
      </c>
      <c r="R126" s="350">
        <f t="shared" si="6"/>
        <v>39195.040043988265</v>
      </c>
    </row>
    <row r="127" spans="1:18" x14ac:dyDescent="0.25">
      <c r="A127" s="7">
        <f>Données!A127</f>
        <v>5622</v>
      </c>
      <c r="B127" s="27" t="str">
        <f>Données!B127</f>
        <v>Bremblens</v>
      </c>
      <c r="C127" s="8">
        <f>Données!C127+Données!D127</f>
        <v>1876017.49</v>
      </c>
      <c r="D127" s="8">
        <f>+Données!G127+Données!H127+Données!S127</f>
        <v>73408.58</v>
      </c>
      <c r="E127" s="8">
        <f>+Données!E127</f>
        <v>0</v>
      </c>
      <c r="F127" s="8">
        <f>+Données!I127</f>
        <v>0</v>
      </c>
      <c r="G127" s="8">
        <f>+Données!J127</f>
        <v>18105.21</v>
      </c>
      <c r="H127" s="8">
        <f>Données!U127</f>
        <v>-23464.13</v>
      </c>
      <c r="I127" s="154">
        <f>Données!V127</f>
        <v>0</v>
      </c>
      <c r="J127" s="154">
        <f>Données!W127</f>
        <v>-340.64</v>
      </c>
      <c r="K127" s="8">
        <f>+Données!Q127</f>
        <v>0</v>
      </c>
      <c r="L127" s="350">
        <f t="shared" si="4"/>
        <v>1943726.5100000002</v>
      </c>
      <c r="M127" s="8">
        <f>+Données!F127</f>
        <v>0</v>
      </c>
      <c r="N127" s="8">
        <f>+Données!K127</f>
        <v>-5671.9</v>
      </c>
      <c r="O127" s="8">
        <f>(Données!L127/Données!Y127)*1</f>
        <v>159874.5</v>
      </c>
      <c r="P127" s="350">
        <f t="shared" si="5"/>
        <v>2097929.1100000003</v>
      </c>
      <c r="Q127" s="176">
        <f>+Données!X127</f>
        <v>68</v>
      </c>
      <c r="R127" s="350">
        <f t="shared" si="6"/>
        <v>30851.898676470591</v>
      </c>
    </row>
    <row r="128" spans="1:18" x14ac:dyDescent="0.25">
      <c r="A128" s="7">
        <f>Données!A128</f>
        <v>5623</v>
      </c>
      <c r="B128" s="27" t="str">
        <f>Données!B128</f>
        <v>Buchillon</v>
      </c>
      <c r="C128" s="8">
        <f>Données!C128+Données!D128</f>
        <v>3927262.58</v>
      </c>
      <c r="D128" s="8">
        <f>+Données!G128+Données!H128+Données!S128</f>
        <v>161029.44</v>
      </c>
      <c r="E128" s="8">
        <f>+Données!E128</f>
        <v>0</v>
      </c>
      <c r="F128" s="8">
        <f>+Données!I128</f>
        <v>161315.03</v>
      </c>
      <c r="G128" s="8">
        <f>+Données!J128</f>
        <v>35154.949999999997</v>
      </c>
      <c r="H128" s="8">
        <f>Données!U128</f>
        <v>-6749.01</v>
      </c>
      <c r="I128" s="154">
        <f>Données!V128</f>
        <v>0</v>
      </c>
      <c r="J128" s="154">
        <f>Données!W128</f>
        <v>-52075.94</v>
      </c>
      <c r="K128" s="8">
        <f>+Données!Q128</f>
        <v>68.2</v>
      </c>
      <c r="L128" s="350">
        <f t="shared" si="4"/>
        <v>4226005.25</v>
      </c>
      <c r="M128" s="8">
        <f>+Données!F128</f>
        <v>0</v>
      </c>
      <c r="N128" s="8">
        <f>+Données!K128</f>
        <v>3049</v>
      </c>
      <c r="O128" s="8">
        <f>(Données!L128/Données!Y128)*1</f>
        <v>367777.35</v>
      </c>
      <c r="P128" s="350">
        <f t="shared" si="5"/>
        <v>4596831.5999999996</v>
      </c>
      <c r="Q128" s="176">
        <f>+Données!X128</f>
        <v>52</v>
      </c>
      <c r="R128" s="350">
        <f t="shared" si="6"/>
        <v>88400.607692307691</v>
      </c>
    </row>
    <row r="129" spans="1:18" x14ac:dyDescent="0.25">
      <c r="A129" s="7">
        <f>Données!A129</f>
        <v>5624</v>
      </c>
      <c r="B129" s="27" t="str">
        <f>Données!B129</f>
        <v>Bussigny</v>
      </c>
      <c r="C129" s="8">
        <f>Données!C129+Données!D129</f>
        <v>17531816.370000001</v>
      </c>
      <c r="D129" s="8">
        <f>+Données!G129+Données!H129+Données!S129</f>
        <v>3404781.2399999998</v>
      </c>
      <c r="E129" s="8">
        <f>+Données!E129</f>
        <v>0</v>
      </c>
      <c r="F129" s="8">
        <f>+Données!I129</f>
        <v>0</v>
      </c>
      <c r="G129" s="8">
        <f>+Données!J129</f>
        <v>901078.31</v>
      </c>
      <c r="H129" s="8">
        <f>Données!U129</f>
        <v>-250394.66</v>
      </c>
      <c r="I129" s="154">
        <f>Données!V129</f>
        <v>0</v>
      </c>
      <c r="J129" s="154">
        <f>Données!W129</f>
        <v>-2625.03</v>
      </c>
      <c r="K129" s="8">
        <f>+Données!Q129</f>
        <v>22798.04</v>
      </c>
      <c r="L129" s="350">
        <f t="shared" si="4"/>
        <v>21607454.269999996</v>
      </c>
      <c r="M129" s="8">
        <f>+Données!F129</f>
        <v>0</v>
      </c>
      <c r="N129" s="8">
        <f>+Données!K129</f>
        <v>498778.2</v>
      </c>
      <c r="O129" s="8">
        <f>(Données!L129/Données!Y129)*1</f>
        <v>2535946.84</v>
      </c>
      <c r="P129" s="350">
        <f t="shared" si="5"/>
        <v>24642179.309999995</v>
      </c>
      <c r="Q129" s="176">
        <f>+Données!X129</f>
        <v>62.5</v>
      </c>
      <c r="R129" s="350">
        <f t="shared" si="6"/>
        <v>394274.86895999993</v>
      </c>
    </row>
    <row r="130" spans="1:18" x14ac:dyDescent="0.25">
      <c r="A130" s="7">
        <f>Données!A130</f>
        <v>5627</v>
      </c>
      <c r="B130" s="27" t="str">
        <f>Données!B130</f>
        <v>Chavannes-près-Renens</v>
      </c>
      <c r="C130" s="8">
        <f>Données!C130+Données!D130</f>
        <v>11132312.120000001</v>
      </c>
      <c r="D130" s="8">
        <f>+Données!G130+Données!H130+Données!S130</f>
        <v>1225667.9100000001</v>
      </c>
      <c r="E130" s="8">
        <f>+Données!E130</f>
        <v>0</v>
      </c>
      <c r="F130" s="8">
        <f>+Données!I130</f>
        <v>0</v>
      </c>
      <c r="G130" s="8">
        <f>+Données!J130</f>
        <v>1043045.66</v>
      </c>
      <c r="H130" s="8">
        <f>Données!U130</f>
        <v>-344405.42</v>
      </c>
      <c r="I130" s="154">
        <f>Données!V130</f>
        <v>0</v>
      </c>
      <c r="J130" s="154">
        <f>Données!W130</f>
        <v>-1864.13</v>
      </c>
      <c r="K130" s="8">
        <f>+Données!Q130</f>
        <v>70635.490000000005</v>
      </c>
      <c r="L130" s="350">
        <f t="shared" si="4"/>
        <v>13125391.630000001</v>
      </c>
      <c r="M130" s="8">
        <f>+Données!F130</f>
        <v>0</v>
      </c>
      <c r="N130" s="8">
        <f>+Données!K130</f>
        <v>343110.65</v>
      </c>
      <c r="O130" s="8">
        <f>(Données!L130/Données!Y130)*1</f>
        <v>1154051.4000000001</v>
      </c>
      <c r="P130" s="350">
        <f t="shared" si="5"/>
        <v>14622553.680000002</v>
      </c>
      <c r="Q130" s="176">
        <f>+Données!X130</f>
        <v>77.5</v>
      </c>
      <c r="R130" s="350">
        <f t="shared" si="6"/>
        <v>188678.11200000002</v>
      </c>
    </row>
    <row r="131" spans="1:18" x14ac:dyDescent="0.25">
      <c r="A131" s="7">
        <f>Données!A131</f>
        <v>5628</v>
      </c>
      <c r="B131" s="27" t="str">
        <f>Données!B131</f>
        <v>Chigny</v>
      </c>
      <c r="C131" s="8">
        <f>Données!C131+Données!D131</f>
        <v>1576307.52</v>
      </c>
      <c r="D131" s="8">
        <f>+Données!G131+Données!H131+Données!S131</f>
        <v>10318.98</v>
      </c>
      <c r="E131" s="8">
        <f>+Données!E131</f>
        <v>0</v>
      </c>
      <c r="F131" s="8">
        <f>+Données!I131</f>
        <v>0</v>
      </c>
      <c r="G131" s="8">
        <f>+Données!J131</f>
        <v>21662.06</v>
      </c>
      <c r="H131" s="8">
        <f>Données!U131</f>
        <v>-4830.5</v>
      </c>
      <c r="I131" s="154">
        <f>Données!V131</f>
        <v>0</v>
      </c>
      <c r="J131" s="154">
        <f>Données!W131</f>
        <v>-1707.8</v>
      </c>
      <c r="K131" s="8">
        <f>+Données!Q131</f>
        <v>0</v>
      </c>
      <c r="L131" s="350">
        <f t="shared" si="4"/>
        <v>1601750.26</v>
      </c>
      <c r="M131" s="8">
        <f>+Données!F131</f>
        <v>0</v>
      </c>
      <c r="N131" s="8">
        <f>+Données!K131</f>
        <v>859.5</v>
      </c>
      <c r="O131" s="8">
        <f>(Données!L131/Données!Y131)*1</f>
        <v>110279.5</v>
      </c>
      <c r="P131" s="350">
        <f t="shared" si="5"/>
        <v>1712889.26</v>
      </c>
      <c r="Q131" s="176">
        <f>+Données!X131</f>
        <v>62</v>
      </c>
      <c r="R131" s="350">
        <f t="shared" si="6"/>
        <v>27627.246129032257</v>
      </c>
    </row>
    <row r="132" spans="1:18" x14ac:dyDescent="0.25">
      <c r="A132" s="7">
        <f>Données!A132</f>
        <v>5629</v>
      </c>
      <c r="B132" s="27" t="str">
        <f>Données!B132</f>
        <v>Clarmont</v>
      </c>
      <c r="C132" s="8">
        <f>Données!C132+Données!D132</f>
        <v>650930.39999999991</v>
      </c>
      <c r="D132" s="8">
        <f>+Données!G132+Données!H132+Données!S132</f>
        <v>21174.769999999997</v>
      </c>
      <c r="E132" s="8">
        <f>+Données!E132</f>
        <v>0</v>
      </c>
      <c r="F132" s="8">
        <f>+Données!I132</f>
        <v>0</v>
      </c>
      <c r="G132" s="8">
        <f>+Données!J132</f>
        <v>7142.14</v>
      </c>
      <c r="H132" s="8">
        <f>Données!U132</f>
        <v>-1080.8399999999999</v>
      </c>
      <c r="I132" s="154">
        <f>Données!V132</f>
        <v>0</v>
      </c>
      <c r="J132" s="154">
        <f>Données!W132</f>
        <v>0</v>
      </c>
      <c r="K132" s="8">
        <f>+Données!Q132</f>
        <v>0</v>
      </c>
      <c r="L132" s="350">
        <f t="shared" si="4"/>
        <v>678166.47</v>
      </c>
      <c r="M132" s="8">
        <f>+Données!F132</f>
        <v>0</v>
      </c>
      <c r="N132" s="8">
        <f>+Données!K132</f>
        <v>386.55</v>
      </c>
      <c r="O132" s="8">
        <f>(Données!L132/Données!Y132)*1</f>
        <v>38891.550000000003</v>
      </c>
      <c r="P132" s="350">
        <f t="shared" si="5"/>
        <v>717444.57000000007</v>
      </c>
      <c r="Q132" s="176">
        <f>+Données!X132</f>
        <v>72</v>
      </c>
      <c r="R132" s="350">
        <f t="shared" si="6"/>
        <v>9964.5079166666674</v>
      </c>
    </row>
    <row r="133" spans="1:18" x14ac:dyDescent="0.25">
      <c r="A133" s="7">
        <f>Données!A133</f>
        <v>5631</v>
      </c>
      <c r="B133" s="27" t="str">
        <f>Données!B133</f>
        <v>Denens</v>
      </c>
      <c r="C133" s="8">
        <f>Données!C133+Données!D133</f>
        <v>2506204.8600000003</v>
      </c>
      <c r="D133" s="8">
        <f>+Données!G133+Données!H133+Données!S133</f>
        <v>-12833.4</v>
      </c>
      <c r="E133" s="8">
        <f>+Données!E133</f>
        <v>0</v>
      </c>
      <c r="F133" s="8">
        <f>+Données!I133</f>
        <v>184625.8</v>
      </c>
      <c r="G133" s="8">
        <f>+Données!J133</f>
        <v>-38180.25</v>
      </c>
      <c r="H133" s="8">
        <f>Données!U133</f>
        <v>-21275.119999999999</v>
      </c>
      <c r="I133" s="154">
        <f>Données!V133</f>
        <v>0</v>
      </c>
      <c r="J133" s="154">
        <f>Données!W133</f>
        <v>-1480.83</v>
      </c>
      <c r="K133" s="8">
        <f>+Données!Q133</f>
        <v>33.72</v>
      </c>
      <c r="L133" s="350">
        <f t="shared" si="4"/>
        <v>2617094.7800000003</v>
      </c>
      <c r="M133" s="8">
        <f>+Données!F133</f>
        <v>0</v>
      </c>
      <c r="N133" s="8">
        <f>+Données!K133</f>
        <v>-2036.35</v>
      </c>
      <c r="O133" s="8">
        <f>(Données!L133/Données!Y133)*1</f>
        <v>221495.85</v>
      </c>
      <c r="P133" s="350">
        <f t="shared" si="5"/>
        <v>2836554.2800000003</v>
      </c>
      <c r="Q133" s="176">
        <f>+Données!X133</f>
        <v>68</v>
      </c>
      <c r="R133" s="350">
        <f t="shared" si="6"/>
        <v>41714.033529411769</v>
      </c>
    </row>
    <row r="134" spans="1:18" x14ac:dyDescent="0.25">
      <c r="A134" s="7">
        <f>Données!A134</f>
        <v>5632</v>
      </c>
      <c r="B134" s="27" t="str">
        <f>Données!B134</f>
        <v>Denges</v>
      </c>
      <c r="C134" s="8">
        <f>Données!C134+Données!D134</f>
        <v>4162978.58</v>
      </c>
      <c r="D134" s="8">
        <f>+Données!G134+Données!H134+Données!S134</f>
        <v>275097.47000000003</v>
      </c>
      <c r="E134" s="8">
        <f>+Données!E134</f>
        <v>0</v>
      </c>
      <c r="F134" s="8">
        <f>+Données!I134</f>
        <v>0</v>
      </c>
      <c r="G134" s="8">
        <f>+Données!J134</f>
        <v>240064.74</v>
      </c>
      <c r="H134" s="8">
        <f>Données!U134</f>
        <v>-34863.69</v>
      </c>
      <c r="I134" s="154">
        <f>Données!V134</f>
        <v>0</v>
      </c>
      <c r="J134" s="154">
        <f>Données!W134</f>
        <v>-3359.45</v>
      </c>
      <c r="K134" s="8">
        <f>+Données!Q134</f>
        <v>319.43</v>
      </c>
      <c r="L134" s="350">
        <f t="shared" si="4"/>
        <v>4640237.0799999991</v>
      </c>
      <c r="M134" s="8">
        <f>+Données!F134</f>
        <v>0</v>
      </c>
      <c r="N134" s="8">
        <f>+Données!K134</f>
        <v>43382.95</v>
      </c>
      <c r="O134" s="8">
        <f>(Données!L134/Données!Y134)*1</f>
        <v>377997.9</v>
      </c>
      <c r="P134" s="350">
        <f t="shared" si="5"/>
        <v>5061617.93</v>
      </c>
      <c r="Q134" s="176">
        <f>+Données!X134</f>
        <v>62</v>
      </c>
      <c r="R134" s="350">
        <f t="shared" si="6"/>
        <v>81638.998870967742</v>
      </c>
    </row>
    <row r="135" spans="1:18" x14ac:dyDescent="0.25">
      <c r="A135" s="7">
        <f>Données!A135</f>
        <v>5633</v>
      </c>
      <c r="B135" s="27" t="str">
        <f>Données!B135</f>
        <v>Echandens</v>
      </c>
      <c r="C135" s="8">
        <f>Données!C135+Données!D135</f>
        <v>7709366.1499999994</v>
      </c>
      <c r="D135" s="8">
        <f>+Données!G135+Données!H135+Données!S135</f>
        <v>545314.11</v>
      </c>
      <c r="E135" s="8">
        <f>+Données!E135</f>
        <v>0</v>
      </c>
      <c r="F135" s="8">
        <f>+Données!I135</f>
        <v>0</v>
      </c>
      <c r="G135" s="8">
        <f>+Données!J135</f>
        <v>209258.7</v>
      </c>
      <c r="H135" s="8">
        <f>Données!U135</f>
        <v>-72342.539999999994</v>
      </c>
      <c r="I135" s="154">
        <f>Données!V135</f>
        <v>0</v>
      </c>
      <c r="J135" s="154">
        <f>Données!W135</f>
        <v>-22444.35</v>
      </c>
      <c r="K135" s="8">
        <f>+Données!Q135</f>
        <v>-8001.33</v>
      </c>
      <c r="L135" s="350">
        <f t="shared" ref="L135:L198" si="7">SUM(C135:K135)</f>
        <v>8361150.7400000002</v>
      </c>
      <c r="M135" s="8">
        <f>+Données!F135</f>
        <v>0</v>
      </c>
      <c r="N135" s="8">
        <f>+Données!K135</f>
        <v>12737.45</v>
      </c>
      <c r="O135" s="8">
        <f>(Données!L135/Données!Y135)*1</f>
        <v>690714.4</v>
      </c>
      <c r="P135" s="350">
        <f t="shared" ref="P135:P198" si="8">SUM(L135:O135)</f>
        <v>9064602.5899999999</v>
      </c>
      <c r="Q135" s="176">
        <f>+Données!X135</f>
        <v>60.5</v>
      </c>
      <c r="R135" s="350">
        <f t="shared" ref="R135:R198" si="9">P135/Q135</f>
        <v>149828.14198347108</v>
      </c>
    </row>
    <row r="136" spans="1:18" x14ac:dyDescent="0.25">
      <c r="A136" s="7">
        <f>Données!A136</f>
        <v>5634</v>
      </c>
      <c r="B136" s="27" t="str">
        <f>Données!B136</f>
        <v>Echichens</v>
      </c>
      <c r="C136" s="8">
        <f>Données!C136+Données!D136</f>
        <v>11205499.540000001</v>
      </c>
      <c r="D136" s="8">
        <f>+Données!G136+Données!H136+Données!S136</f>
        <v>84658.97</v>
      </c>
      <c r="E136" s="8">
        <f>+Données!E136</f>
        <v>0</v>
      </c>
      <c r="F136" s="8">
        <f>+Données!I136</f>
        <v>31390.35</v>
      </c>
      <c r="G136" s="8">
        <f>+Données!J136</f>
        <v>89514.71</v>
      </c>
      <c r="H136" s="8">
        <f>Données!U136</f>
        <v>-102104.03</v>
      </c>
      <c r="I136" s="154">
        <f>Données!V136</f>
        <v>0</v>
      </c>
      <c r="J136" s="154">
        <f>Données!W136</f>
        <v>-11144</v>
      </c>
      <c r="K136" s="8">
        <f>+Données!Q136</f>
        <v>243.8</v>
      </c>
      <c r="L136" s="350">
        <f t="shared" si="7"/>
        <v>11298059.340000004</v>
      </c>
      <c r="M136" s="8">
        <f>+Données!F136</f>
        <v>0</v>
      </c>
      <c r="N136" s="8">
        <f>+Données!K136</f>
        <v>27518.25</v>
      </c>
      <c r="O136" s="8">
        <f>(Données!L136/Données!Y136)*1</f>
        <v>761438.6</v>
      </c>
      <c r="P136" s="350">
        <f t="shared" si="8"/>
        <v>12087016.190000003</v>
      </c>
      <c r="Q136" s="176">
        <f>+Données!X136</f>
        <v>66</v>
      </c>
      <c r="R136" s="350">
        <f t="shared" si="9"/>
        <v>183136.60893939398</v>
      </c>
    </row>
    <row r="137" spans="1:18" x14ac:dyDescent="0.25">
      <c r="A137" s="7">
        <f>Données!A137</f>
        <v>5635</v>
      </c>
      <c r="B137" s="27" t="str">
        <f>Données!B137</f>
        <v>Ecublens</v>
      </c>
      <c r="C137" s="8">
        <f>Données!C137+Données!D137</f>
        <v>22229929.5</v>
      </c>
      <c r="D137" s="8">
        <f>+Données!G137+Données!H137+Données!S137</f>
        <v>5238993.24</v>
      </c>
      <c r="E137" s="8">
        <f>+Données!E137</f>
        <v>0</v>
      </c>
      <c r="F137" s="8">
        <f>+Données!I137</f>
        <v>0</v>
      </c>
      <c r="G137" s="8">
        <f>+Données!J137</f>
        <v>1797106.7</v>
      </c>
      <c r="H137" s="8">
        <f>Données!U137</f>
        <v>-334886.88</v>
      </c>
      <c r="I137" s="154">
        <f>Données!V137</f>
        <v>0</v>
      </c>
      <c r="J137" s="154">
        <f>Données!W137</f>
        <v>-50924.25</v>
      </c>
      <c r="K137" s="8">
        <f>+Données!Q137</f>
        <v>101600.35</v>
      </c>
      <c r="L137" s="350">
        <f t="shared" si="7"/>
        <v>28981818.660000004</v>
      </c>
      <c r="M137" s="8">
        <f>+Données!F137</f>
        <v>0</v>
      </c>
      <c r="N137" s="8">
        <f>+Données!K137</f>
        <v>595772.35</v>
      </c>
      <c r="O137" s="8">
        <f>(Données!L137/Données!Y137)*1</f>
        <v>2678562.7083333335</v>
      </c>
      <c r="P137" s="350">
        <f t="shared" si="8"/>
        <v>32256153.718333337</v>
      </c>
      <c r="Q137" s="176">
        <f>+Données!X137</f>
        <v>62.5</v>
      </c>
      <c r="R137" s="350">
        <f t="shared" si="9"/>
        <v>516098.45949333342</v>
      </c>
    </row>
    <row r="138" spans="1:18" x14ac:dyDescent="0.25">
      <c r="A138" s="7">
        <f>Données!A138</f>
        <v>5636</v>
      </c>
      <c r="B138" s="27" t="str">
        <f>Données!B138</f>
        <v>Etoy</v>
      </c>
      <c r="C138" s="8">
        <f>Données!C138+Données!D138</f>
        <v>7205954.6299999999</v>
      </c>
      <c r="D138" s="8">
        <f>+Données!G138+Données!H138+Données!S138</f>
        <v>2392036.94</v>
      </c>
      <c r="E138" s="8">
        <f>+Données!E138</f>
        <v>0</v>
      </c>
      <c r="F138" s="8">
        <f>+Données!I138</f>
        <v>-30375.35</v>
      </c>
      <c r="G138" s="8">
        <f>+Données!J138</f>
        <v>466665.45</v>
      </c>
      <c r="H138" s="8">
        <f>Données!U138</f>
        <v>-153262.98000000001</v>
      </c>
      <c r="I138" s="154">
        <f>Données!V138</f>
        <v>0</v>
      </c>
      <c r="J138" s="154">
        <f>Données!W138</f>
        <v>-4237.0200000000004</v>
      </c>
      <c r="K138" s="8">
        <f>+Données!Q138</f>
        <v>26419.23</v>
      </c>
      <c r="L138" s="350">
        <f t="shared" si="7"/>
        <v>9903200.9000000004</v>
      </c>
      <c r="M138" s="8">
        <f>+Données!F138</f>
        <v>0</v>
      </c>
      <c r="N138" s="8">
        <f>+Données!K138</f>
        <v>227402.65</v>
      </c>
      <c r="O138" s="8">
        <f>(Données!L138/Données!Y138)*1</f>
        <v>1234985.1499999999</v>
      </c>
      <c r="P138" s="350">
        <f t="shared" si="8"/>
        <v>11365588.700000001</v>
      </c>
      <c r="Q138" s="176">
        <f>+Données!X138</f>
        <v>60</v>
      </c>
      <c r="R138" s="350">
        <f t="shared" si="9"/>
        <v>189426.47833333336</v>
      </c>
    </row>
    <row r="139" spans="1:18" x14ac:dyDescent="0.25">
      <c r="A139" s="7">
        <f>Données!A139</f>
        <v>5637</v>
      </c>
      <c r="B139" s="27" t="str">
        <f>Données!B139</f>
        <v>Lavigny</v>
      </c>
      <c r="C139" s="8">
        <f>Données!C139+Données!D139</f>
        <v>2316520.5</v>
      </c>
      <c r="D139" s="8">
        <f>+Données!G139+Données!H139+Données!S139</f>
        <v>50994.770000000004</v>
      </c>
      <c r="E139" s="8">
        <f>+Données!E139</f>
        <v>0</v>
      </c>
      <c r="F139" s="8">
        <f>+Données!I139</f>
        <v>0</v>
      </c>
      <c r="G139" s="8">
        <f>+Données!J139</f>
        <v>129469.89</v>
      </c>
      <c r="H139" s="8">
        <f>Données!U139</f>
        <v>-55283.46</v>
      </c>
      <c r="I139" s="154">
        <f>Données!V139</f>
        <v>0</v>
      </c>
      <c r="J139" s="154">
        <f>Données!W139</f>
        <v>-937.31</v>
      </c>
      <c r="K139" s="8">
        <f>+Données!Q139</f>
        <v>610.61</v>
      </c>
      <c r="L139" s="350">
        <f t="shared" si="7"/>
        <v>2441375</v>
      </c>
      <c r="M139" s="8">
        <f>+Données!F139</f>
        <v>0</v>
      </c>
      <c r="N139" s="8">
        <f>+Données!K139</f>
        <v>8415.35</v>
      </c>
      <c r="O139" s="8">
        <f>(Données!L139/Données!Y139)*1</f>
        <v>199617</v>
      </c>
      <c r="P139" s="350">
        <f t="shared" si="8"/>
        <v>2649407.35</v>
      </c>
      <c r="Q139" s="176">
        <f>+Données!X139</f>
        <v>73</v>
      </c>
      <c r="R139" s="350">
        <f t="shared" si="9"/>
        <v>36293.251369863014</v>
      </c>
    </row>
    <row r="140" spans="1:18" x14ac:dyDescent="0.25">
      <c r="A140" s="7">
        <f>Données!A140</f>
        <v>5638</v>
      </c>
      <c r="B140" s="27" t="str">
        <f>Données!B140</f>
        <v>Lonay</v>
      </c>
      <c r="C140" s="8">
        <f>Données!C140+Données!D140</f>
        <v>6891773.6500000004</v>
      </c>
      <c r="D140" s="8">
        <f>+Données!G140+Données!H140+Données!S140</f>
        <v>574320.85</v>
      </c>
      <c r="E140" s="8">
        <f>+Données!E140</f>
        <v>0</v>
      </c>
      <c r="F140" s="8">
        <f>+Données!I140</f>
        <v>71005.399999999994</v>
      </c>
      <c r="G140" s="8">
        <f>+Données!J140</f>
        <v>185754.57</v>
      </c>
      <c r="H140" s="8">
        <f>Données!U140</f>
        <v>-60883.78</v>
      </c>
      <c r="I140" s="154">
        <f>Données!V140</f>
        <v>0</v>
      </c>
      <c r="J140" s="154">
        <f>Données!W140</f>
        <v>-17990.169999999998</v>
      </c>
      <c r="K140" s="8">
        <f>+Données!Q140</f>
        <v>31883.33</v>
      </c>
      <c r="L140" s="350">
        <f t="shared" si="7"/>
        <v>7675863.8500000006</v>
      </c>
      <c r="M140" s="8">
        <f>+Données!F140</f>
        <v>0</v>
      </c>
      <c r="N140" s="8">
        <f>+Données!K140</f>
        <v>75992.850000000006</v>
      </c>
      <c r="O140" s="8">
        <f>(Données!L140/Données!Y140)*1</f>
        <v>711845.4</v>
      </c>
      <c r="P140" s="350">
        <f t="shared" si="8"/>
        <v>8463702.0999999996</v>
      </c>
      <c r="Q140" s="176">
        <f>+Données!X140</f>
        <v>55</v>
      </c>
      <c r="R140" s="350">
        <f t="shared" si="9"/>
        <v>153885.49272727271</v>
      </c>
    </row>
    <row r="141" spans="1:18" x14ac:dyDescent="0.25">
      <c r="A141" s="7">
        <f>Données!A141</f>
        <v>5639</v>
      </c>
      <c r="B141" s="27" t="str">
        <f>Données!B141</f>
        <v>Lully</v>
      </c>
      <c r="C141" s="8">
        <f>Données!C141+Données!D141</f>
        <v>2887344.6399999997</v>
      </c>
      <c r="D141" s="8">
        <f>+Données!G141+Données!H141+Données!S141</f>
        <v>71890.600000000006</v>
      </c>
      <c r="E141" s="8">
        <f>+Données!E141</f>
        <v>0</v>
      </c>
      <c r="F141" s="8">
        <f>+Données!I141</f>
        <v>0</v>
      </c>
      <c r="G141" s="8">
        <f>+Données!J141</f>
        <v>17788.330000000002</v>
      </c>
      <c r="H141" s="8">
        <f>Données!U141</f>
        <v>-3344.64</v>
      </c>
      <c r="I141" s="154">
        <f>Données!V141</f>
        <v>0</v>
      </c>
      <c r="J141" s="154">
        <f>Données!W141</f>
        <v>-1876.2</v>
      </c>
      <c r="K141" s="8">
        <f>+Données!Q141</f>
        <v>415.77</v>
      </c>
      <c r="L141" s="350">
        <f t="shared" si="7"/>
        <v>2972218.4999999995</v>
      </c>
      <c r="M141" s="8">
        <f>+Données!F141</f>
        <v>0</v>
      </c>
      <c r="N141" s="8">
        <f>+Données!K141</f>
        <v>2807.35</v>
      </c>
      <c r="O141" s="8">
        <f>(Données!L141/Données!Y141)*1</f>
        <v>211689.24</v>
      </c>
      <c r="P141" s="350">
        <f t="shared" si="8"/>
        <v>3186715.09</v>
      </c>
      <c r="Q141" s="176">
        <f>+Données!X141</f>
        <v>61</v>
      </c>
      <c r="R141" s="350">
        <f t="shared" si="9"/>
        <v>52241.230983606554</v>
      </c>
    </row>
    <row r="142" spans="1:18" x14ac:dyDescent="0.25">
      <c r="A142" s="7">
        <f>Données!A142</f>
        <v>5640</v>
      </c>
      <c r="B142" s="27" t="str">
        <f>Données!B142</f>
        <v>Lussy-sur-Morges</v>
      </c>
      <c r="C142" s="8">
        <f>Données!C142+Données!D142</f>
        <v>3245280.63</v>
      </c>
      <c r="D142" s="8">
        <f>+Données!G142+Données!H142+Données!S142</f>
        <v>76556.22</v>
      </c>
      <c r="E142" s="8">
        <f>+Données!E142</f>
        <v>0</v>
      </c>
      <c r="F142" s="8">
        <f>+Données!I142</f>
        <v>104668.49</v>
      </c>
      <c r="G142" s="8">
        <f>+Données!J142</f>
        <v>74315.009999999995</v>
      </c>
      <c r="H142" s="8">
        <f>Données!U142</f>
        <v>-4352.1499999999996</v>
      </c>
      <c r="I142" s="154">
        <f>Données!V142</f>
        <v>0</v>
      </c>
      <c r="J142" s="154">
        <f>Données!W142</f>
        <v>-6689.35</v>
      </c>
      <c r="K142" s="8">
        <f>+Données!Q142</f>
        <v>5572.33</v>
      </c>
      <c r="L142" s="350">
        <f t="shared" si="7"/>
        <v>3495351.18</v>
      </c>
      <c r="M142" s="8">
        <f>+Données!F142</f>
        <v>0</v>
      </c>
      <c r="N142" s="8">
        <f>+Données!K142</f>
        <v>10925.25</v>
      </c>
      <c r="O142" s="8">
        <f>(Données!L142/Données!Y142)*1</f>
        <v>219923.65</v>
      </c>
      <c r="P142" s="350">
        <f t="shared" si="8"/>
        <v>3726200.08</v>
      </c>
      <c r="Q142" s="176">
        <f>+Données!X142</f>
        <v>64.5</v>
      </c>
      <c r="R142" s="350">
        <f t="shared" si="9"/>
        <v>57770.543875968993</v>
      </c>
    </row>
    <row r="143" spans="1:18" x14ac:dyDescent="0.25">
      <c r="A143" s="7">
        <f>Données!A143</f>
        <v>5642</v>
      </c>
      <c r="B143" s="27" t="str">
        <f>Données!B143</f>
        <v>Morges</v>
      </c>
      <c r="C143" s="8">
        <f>Données!C143+Données!D143</f>
        <v>46347955.920000002</v>
      </c>
      <c r="D143" s="8">
        <f>+Données!G143+Données!H143+Données!S143</f>
        <v>9156052.3899999987</v>
      </c>
      <c r="E143" s="8">
        <f>+Données!E143</f>
        <v>0</v>
      </c>
      <c r="F143" s="8">
        <f>+Données!I143</f>
        <v>266429.24</v>
      </c>
      <c r="G143" s="8">
        <f>+Données!J143</f>
        <v>2400215.56</v>
      </c>
      <c r="H143" s="8">
        <f>Données!U143</f>
        <v>-609512.84</v>
      </c>
      <c r="I143" s="154">
        <f>Données!V143</f>
        <v>0</v>
      </c>
      <c r="J143" s="154">
        <f>Données!W143</f>
        <v>-40416.22</v>
      </c>
      <c r="K143" s="8">
        <f>+Données!Q143</f>
        <v>120064.25</v>
      </c>
      <c r="L143" s="350">
        <f t="shared" si="7"/>
        <v>57640788.300000004</v>
      </c>
      <c r="M143" s="8">
        <f>+Données!F143</f>
        <v>0</v>
      </c>
      <c r="N143" s="8">
        <f>+Données!K143</f>
        <v>527538.19999999995</v>
      </c>
      <c r="O143" s="8">
        <f>(Données!L143/Données!Y143)*1</f>
        <v>3517820.55</v>
      </c>
      <c r="P143" s="350">
        <f t="shared" si="8"/>
        <v>61686147.050000004</v>
      </c>
      <c r="Q143" s="176">
        <f>+Données!X143</f>
        <v>67</v>
      </c>
      <c r="R143" s="350">
        <f t="shared" si="9"/>
        <v>920688.7619402986</v>
      </c>
    </row>
    <row r="144" spans="1:18" x14ac:dyDescent="0.25">
      <c r="A144" s="7">
        <f>Données!A144</f>
        <v>5643</v>
      </c>
      <c r="B144" s="27" t="str">
        <f>Données!B144</f>
        <v>Préverenges</v>
      </c>
      <c r="C144" s="8">
        <f>Données!C144+Données!D144</f>
        <v>13427367.569999998</v>
      </c>
      <c r="D144" s="8">
        <f>+Données!G144+Données!H144+Données!S144</f>
        <v>488073.45</v>
      </c>
      <c r="E144" s="8">
        <f>+Données!E144</f>
        <v>0</v>
      </c>
      <c r="F144" s="8">
        <f>+Données!I144</f>
        <v>358963.77</v>
      </c>
      <c r="G144" s="8">
        <f>+Données!J144</f>
        <v>412475.28</v>
      </c>
      <c r="H144" s="8">
        <f>Données!U144</f>
        <v>-132251.26999999999</v>
      </c>
      <c r="I144" s="154">
        <f>Données!V144</f>
        <v>0</v>
      </c>
      <c r="J144" s="154">
        <f>Données!W144</f>
        <v>-40065.440000000002</v>
      </c>
      <c r="K144" s="8">
        <f>+Données!Q144</f>
        <v>10506.74</v>
      </c>
      <c r="L144" s="350">
        <f t="shared" si="7"/>
        <v>14525070.099999998</v>
      </c>
      <c r="M144" s="8">
        <f>+Données!F144</f>
        <v>0</v>
      </c>
      <c r="N144" s="8">
        <f>+Données!K144</f>
        <v>108863.1</v>
      </c>
      <c r="O144" s="8">
        <f>(Données!L144/Données!Y144)*1</f>
        <v>1160950.95</v>
      </c>
      <c r="P144" s="350">
        <f t="shared" si="8"/>
        <v>15794884.149999997</v>
      </c>
      <c r="Q144" s="176">
        <f>+Données!X144</f>
        <v>62.5</v>
      </c>
      <c r="R144" s="350">
        <f t="shared" si="9"/>
        <v>252718.14639999994</v>
      </c>
    </row>
    <row r="145" spans="1:18" x14ac:dyDescent="0.25">
      <c r="A145" s="7">
        <f>Données!A145</f>
        <v>5645</v>
      </c>
      <c r="B145" s="27" t="str">
        <f>Données!B145</f>
        <v>Romanel-sur-Morges</v>
      </c>
      <c r="C145" s="8">
        <f>Données!C145+Données!D145</f>
        <v>1086034.58</v>
      </c>
      <c r="D145" s="8">
        <f>+Données!G145+Données!H145+Données!S145</f>
        <v>81581.23000000001</v>
      </c>
      <c r="E145" s="8">
        <f>+Données!E145</f>
        <v>0</v>
      </c>
      <c r="F145" s="8">
        <f>+Données!I145</f>
        <v>0</v>
      </c>
      <c r="G145" s="8">
        <f>+Données!J145</f>
        <v>-12613.84</v>
      </c>
      <c r="H145" s="8">
        <f>Données!U145</f>
        <v>-7648.22</v>
      </c>
      <c r="I145" s="154">
        <f>Données!V145</f>
        <v>0</v>
      </c>
      <c r="J145" s="154">
        <f>Données!W145</f>
        <v>-667.21</v>
      </c>
      <c r="K145" s="8">
        <f>+Données!Q145</f>
        <v>60.08</v>
      </c>
      <c r="L145" s="350">
        <f t="shared" si="7"/>
        <v>1146746.6200000001</v>
      </c>
      <c r="M145" s="8">
        <f>+Données!F145</f>
        <v>0</v>
      </c>
      <c r="N145" s="8">
        <f>+Données!K145</f>
        <v>21580.5</v>
      </c>
      <c r="O145" s="8">
        <f>(Données!L145/Données!Y145)*1</f>
        <v>162671.5</v>
      </c>
      <c r="P145" s="350">
        <f t="shared" si="8"/>
        <v>1330998.6200000001</v>
      </c>
      <c r="Q145" s="176">
        <f>+Données!X145</f>
        <v>56</v>
      </c>
      <c r="R145" s="350">
        <f t="shared" si="9"/>
        <v>23767.8325</v>
      </c>
    </row>
    <row r="146" spans="1:18" x14ac:dyDescent="0.25">
      <c r="A146" s="7">
        <f>Données!A146</f>
        <v>5646</v>
      </c>
      <c r="B146" s="27" t="str">
        <f>Données!B146</f>
        <v>Saint-Prex</v>
      </c>
      <c r="C146" s="8">
        <f>Données!C146+Données!D146</f>
        <v>17459212.149999999</v>
      </c>
      <c r="D146" s="8">
        <f>+Données!G146+Données!H146+Données!S146</f>
        <v>10236028.42</v>
      </c>
      <c r="E146" s="8">
        <f>+Données!E146</f>
        <v>0</v>
      </c>
      <c r="F146" s="8">
        <f>+Données!I146</f>
        <v>675909.13</v>
      </c>
      <c r="G146" s="8">
        <f>+Données!J146</f>
        <v>328610.83</v>
      </c>
      <c r="H146" s="8">
        <f>Données!U146</f>
        <v>-171672.91</v>
      </c>
      <c r="I146" s="154">
        <f>Données!V146</f>
        <v>0</v>
      </c>
      <c r="J146" s="154">
        <f>Données!W146</f>
        <v>-22144.55</v>
      </c>
      <c r="K146" s="8">
        <f>+Données!Q146</f>
        <v>19039.990000000002</v>
      </c>
      <c r="L146" s="350">
        <f t="shared" si="7"/>
        <v>28524983.059999995</v>
      </c>
      <c r="M146" s="8">
        <f>+Données!F146</f>
        <v>0</v>
      </c>
      <c r="N146" s="8">
        <f>+Données!K146</f>
        <v>162060.35</v>
      </c>
      <c r="O146" s="8">
        <f>(Données!L146/Données!Y146)*1</f>
        <v>1723890.875</v>
      </c>
      <c r="P146" s="350">
        <f t="shared" si="8"/>
        <v>30410934.284999996</v>
      </c>
      <c r="Q146" s="176">
        <f>+Données!X146</f>
        <v>59</v>
      </c>
      <c r="R146" s="350">
        <f t="shared" si="9"/>
        <v>515439.56415254233</v>
      </c>
    </row>
    <row r="147" spans="1:18" x14ac:dyDescent="0.25">
      <c r="A147" s="7">
        <f>Données!A147</f>
        <v>5648</v>
      </c>
      <c r="B147" s="27" t="str">
        <f>Données!B147</f>
        <v>Saint-Sulpice</v>
      </c>
      <c r="C147" s="8">
        <f>Données!C147+Données!D147</f>
        <v>19127148.02</v>
      </c>
      <c r="D147" s="8">
        <f>+Données!G147+Données!H147+Données!S147</f>
        <v>936655.57</v>
      </c>
      <c r="E147" s="8">
        <f>+Données!E147</f>
        <v>0</v>
      </c>
      <c r="F147" s="8">
        <f>+Données!I147</f>
        <v>246593.19</v>
      </c>
      <c r="G147" s="8">
        <f>+Données!J147</f>
        <v>839949.43</v>
      </c>
      <c r="H147" s="8">
        <f>Données!U147</f>
        <v>-184047.47</v>
      </c>
      <c r="I147" s="154">
        <f>Données!V147</f>
        <v>0</v>
      </c>
      <c r="J147" s="154">
        <f>Données!W147</f>
        <v>-131761.34</v>
      </c>
      <c r="K147" s="8">
        <f>+Données!Q147</f>
        <v>28144.13</v>
      </c>
      <c r="L147" s="350">
        <f t="shared" si="7"/>
        <v>20862681.530000001</v>
      </c>
      <c r="M147" s="8">
        <f>+Données!F147</f>
        <v>0</v>
      </c>
      <c r="N147" s="8">
        <f>+Données!K147</f>
        <v>235136.3</v>
      </c>
      <c r="O147" s="8">
        <f>(Données!L147/Données!Y147)*1</f>
        <v>1838657.8625</v>
      </c>
      <c r="P147" s="350">
        <f t="shared" si="8"/>
        <v>22936475.692500003</v>
      </c>
      <c r="Q147" s="176">
        <f>+Données!X147</f>
        <v>55</v>
      </c>
      <c r="R147" s="350">
        <f t="shared" si="9"/>
        <v>417026.83077272732</v>
      </c>
    </row>
    <row r="148" spans="1:18" x14ac:dyDescent="0.25">
      <c r="A148" s="7">
        <f>Données!A148</f>
        <v>5649</v>
      </c>
      <c r="B148" s="27" t="str">
        <f>Données!B148</f>
        <v>Tolochenaz</v>
      </c>
      <c r="C148" s="8">
        <f>Données!C148+Données!D148</f>
        <v>4462137.25</v>
      </c>
      <c r="D148" s="8">
        <f>+Données!G148+Données!H148+Données!S148</f>
        <v>15475110.470000001</v>
      </c>
      <c r="E148" s="8">
        <f>+Données!E148</f>
        <v>0</v>
      </c>
      <c r="F148" s="8">
        <f>+Données!I148</f>
        <v>58975.95</v>
      </c>
      <c r="G148" s="8">
        <f>+Données!J148</f>
        <v>526595.52</v>
      </c>
      <c r="H148" s="8">
        <f>Données!U148</f>
        <v>-62186.33</v>
      </c>
      <c r="I148" s="154">
        <f>Données!V148</f>
        <v>0</v>
      </c>
      <c r="J148" s="154">
        <f>Données!W148</f>
        <v>-4216.2700000000004</v>
      </c>
      <c r="K148" s="8">
        <f>+Données!Q148</f>
        <v>5469.7</v>
      </c>
      <c r="L148" s="350">
        <f t="shared" si="7"/>
        <v>20461886.289999999</v>
      </c>
      <c r="M148" s="8">
        <f>+Données!F148</f>
        <v>0</v>
      </c>
      <c r="N148" s="8">
        <f>+Données!K148</f>
        <v>58417.15</v>
      </c>
      <c r="O148" s="8">
        <f>(Données!L148/Données!Y148)*1</f>
        <v>577018.80000000005</v>
      </c>
      <c r="P148" s="350">
        <f t="shared" si="8"/>
        <v>21097322.239999998</v>
      </c>
      <c r="Q148" s="176">
        <f>+Données!X148</f>
        <v>64</v>
      </c>
      <c r="R148" s="350">
        <f t="shared" si="9"/>
        <v>329645.65999999997</v>
      </c>
    </row>
    <row r="149" spans="1:18" x14ac:dyDescent="0.25">
      <c r="A149" s="7">
        <f>Données!A149</f>
        <v>5650</v>
      </c>
      <c r="B149" s="27" t="str">
        <f>Données!B149</f>
        <v>Vaux-sur-Morges</v>
      </c>
      <c r="C149" s="8">
        <f>Données!C149+Données!D149</f>
        <v>5011849.93</v>
      </c>
      <c r="D149" s="8">
        <f>+Données!G149+Données!H149+Données!S149</f>
        <v>9250.1800000000021</v>
      </c>
      <c r="E149" s="8">
        <f>+Données!E149</f>
        <v>0</v>
      </c>
      <c r="F149" s="8">
        <f>+Données!I149</f>
        <v>0</v>
      </c>
      <c r="G149" s="8">
        <f>+Données!J149</f>
        <v>-4147.5600000000004</v>
      </c>
      <c r="H149" s="8">
        <f>Données!U149</f>
        <v>-0.02</v>
      </c>
      <c r="I149" s="154">
        <f>Données!V149</f>
        <v>0</v>
      </c>
      <c r="J149" s="154">
        <f>Données!W149</f>
        <v>-435.55</v>
      </c>
      <c r="K149" s="8">
        <f>+Données!Q149</f>
        <v>0</v>
      </c>
      <c r="L149" s="350">
        <f t="shared" si="7"/>
        <v>5016516.9800000004</v>
      </c>
      <c r="M149" s="8">
        <f>+Données!F149</f>
        <v>0</v>
      </c>
      <c r="N149" s="8">
        <f>+Données!K149</f>
        <v>0</v>
      </c>
      <c r="O149" s="8">
        <f>(Données!L149/Données!Y149)*1</f>
        <v>46316</v>
      </c>
      <c r="P149" s="350">
        <f t="shared" si="8"/>
        <v>5062832.9800000004</v>
      </c>
      <c r="Q149" s="176">
        <f>+Données!X149</f>
        <v>56</v>
      </c>
      <c r="R149" s="350">
        <f t="shared" si="9"/>
        <v>90407.731785714292</v>
      </c>
    </row>
    <row r="150" spans="1:18" x14ac:dyDescent="0.25">
      <c r="A150" s="7">
        <f>Données!A150</f>
        <v>5651</v>
      </c>
      <c r="B150" s="27" t="str">
        <f>Données!B150</f>
        <v>Villars-Sainte-Croix</v>
      </c>
      <c r="C150" s="8">
        <f>Données!C150+Données!D150</f>
        <v>2427255.2600000002</v>
      </c>
      <c r="D150" s="8">
        <f>+Données!G150+Données!H150+Données!S150</f>
        <v>599771.48</v>
      </c>
      <c r="E150" s="8">
        <f>+Données!E150</f>
        <v>0</v>
      </c>
      <c r="F150" s="8">
        <f>+Données!I150</f>
        <v>0</v>
      </c>
      <c r="G150" s="8">
        <f>+Données!J150</f>
        <v>59028.82</v>
      </c>
      <c r="H150" s="8">
        <f>Données!U150</f>
        <v>-433097.85</v>
      </c>
      <c r="I150" s="154">
        <f>Données!V150</f>
        <v>0</v>
      </c>
      <c r="J150" s="154">
        <f>Données!W150</f>
        <v>-943.98</v>
      </c>
      <c r="K150" s="8">
        <f>+Données!Q150</f>
        <v>341300.04</v>
      </c>
      <c r="L150" s="350">
        <f t="shared" si="7"/>
        <v>2993313.77</v>
      </c>
      <c r="M150" s="8">
        <f>+Données!F150</f>
        <v>0</v>
      </c>
      <c r="N150" s="8">
        <f>+Données!K150</f>
        <v>3066.7</v>
      </c>
      <c r="O150" s="8">
        <f>(Données!L150/Données!Y150)*1</f>
        <v>377858.7</v>
      </c>
      <c r="P150" s="350">
        <f t="shared" si="8"/>
        <v>3374239.1700000004</v>
      </c>
      <c r="Q150" s="176">
        <f>+Données!X150</f>
        <v>60.5</v>
      </c>
      <c r="R150" s="350">
        <f t="shared" si="9"/>
        <v>55772.548264462814</v>
      </c>
    </row>
    <row r="151" spans="1:18" x14ac:dyDescent="0.25">
      <c r="A151" s="7">
        <f>Données!A151</f>
        <v>5652</v>
      </c>
      <c r="B151" s="27" t="str">
        <f>Données!B151</f>
        <v>Villars-sous-Yens</v>
      </c>
      <c r="C151" s="8">
        <f>Données!C151+Données!D151</f>
        <v>1823192.0499999998</v>
      </c>
      <c r="D151" s="8">
        <f>+Données!G151+Données!H151+Données!S151</f>
        <v>9142.0799999999981</v>
      </c>
      <c r="E151" s="8">
        <f>+Données!E151</f>
        <v>0</v>
      </c>
      <c r="F151" s="8">
        <f>+Données!I151</f>
        <v>0</v>
      </c>
      <c r="G151" s="8">
        <f>+Données!J151</f>
        <v>41549.61</v>
      </c>
      <c r="H151" s="8">
        <f>Données!U151</f>
        <v>-17013.669999999998</v>
      </c>
      <c r="I151" s="154">
        <f>Données!V151</f>
        <v>0</v>
      </c>
      <c r="J151" s="154">
        <f>Données!W151</f>
        <v>-2458.98</v>
      </c>
      <c r="K151" s="8">
        <f>+Données!Q151</f>
        <v>697.31</v>
      </c>
      <c r="L151" s="350">
        <f t="shared" si="7"/>
        <v>1855108.4000000001</v>
      </c>
      <c r="M151" s="8">
        <f>+Données!F151</f>
        <v>0</v>
      </c>
      <c r="N151" s="8">
        <f>+Données!K151</f>
        <v>854.15</v>
      </c>
      <c r="O151" s="8">
        <f>(Données!L151/Données!Y151)*1</f>
        <v>116778.29166666669</v>
      </c>
      <c r="P151" s="350">
        <f t="shared" si="8"/>
        <v>1972740.8416666668</v>
      </c>
      <c r="Q151" s="176">
        <f>+Données!X151</f>
        <v>76</v>
      </c>
      <c r="R151" s="350">
        <f t="shared" si="9"/>
        <v>25957.116337719301</v>
      </c>
    </row>
    <row r="152" spans="1:18" x14ac:dyDescent="0.25">
      <c r="A152" s="7">
        <f>Données!A152</f>
        <v>5653</v>
      </c>
      <c r="B152" s="27" t="str">
        <f>Données!B152</f>
        <v>Vufflens-le-Château</v>
      </c>
      <c r="C152" s="8">
        <f>Données!C152+Données!D152</f>
        <v>3739330.83</v>
      </c>
      <c r="D152" s="8">
        <f>+Données!G152+Données!H152+Données!S152</f>
        <v>35481.699999999997</v>
      </c>
      <c r="E152" s="8">
        <f>+Données!E152</f>
        <v>0</v>
      </c>
      <c r="F152" s="8">
        <f>+Données!I152</f>
        <v>154696.4</v>
      </c>
      <c r="G152" s="8">
        <f>+Données!J152</f>
        <v>15596.85</v>
      </c>
      <c r="H152" s="8">
        <f>Données!U152</f>
        <v>-406.57</v>
      </c>
      <c r="I152" s="154">
        <f>Données!V152</f>
        <v>0</v>
      </c>
      <c r="J152" s="154">
        <f>Données!W152</f>
        <v>-25790.98</v>
      </c>
      <c r="K152" s="8">
        <f>+Données!Q152</f>
        <v>133.04</v>
      </c>
      <c r="L152" s="350">
        <f t="shared" si="7"/>
        <v>3919041.2700000005</v>
      </c>
      <c r="M152" s="8">
        <f>+Données!F152</f>
        <v>0</v>
      </c>
      <c r="N152" s="8">
        <f>+Données!K152</f>
        <v>-15452.85</v>
      </c>
      <c r="O152" s="8">
        <f>(Données!L152/Données!Y152)*1</f>
        <v>270180.99999999994</v>
      </c>
      <c r="P152" s="350">
        <f t="shared" si="8"/>
        <v>4173769.4200000004</v>
      </c>
      <c r="Q152" s="176">
        <f>+Données!X152</f>
        <v>58.5</v>
      </c>
      <c r="R152" s="350">
        <f t="shared" si="9"/>
        <v>71346.485811965817</v>
      </c>
    </row>
    <row r="153" spans="1:18" x14ac:dyDescent="0.25">
      <c r="A153" s="7">
        <f>Données!A153</f>
        <v>5654</v>
      </c>
      <c r="B153" s="27" t="str">
        <f>Données!B153</f>
        <v>Vullierens</v>
      </c>
      <c r="C153" s="8">
        <f>Données!C153+Données!D153</f>
        <v>1427354.16</v>
      </c>
      <c r="D153" s="8">
        <f>+Données!G153+Données!H153+Données!S153</f>
        <v>16373.57</v>
      </c>
      <c r="E153" s="8">
        <f>+Données!E153</f>
        <v>0</v>
      </c>
      <c r="F153" s="8">
        <f>+Données!I153</f>
        <v>0</v>
      </c>
      <c r="G153" s="8">
        <f>+Données!J153</f>
        <v>25957.38</v>
      </c>
      <c r="H153" s="8">
        <f>Données!U153</f>
        <v>-10079.64</v>
      </c>
      <c r="I153" s="154">
        <f>Données!V153</f>
        <v>0</v>
      </c>
      <c r="J153" s="154">
        <f>Données!W153</f>
        <v>-315.85000000000002</v>
      </c>
      <c r="K153" s="8">
        <f>+Données!Q153</f>
        <v>0</v>
      </c>
      <c r="L153" s="350">
        <f t="shared" si="7"/>
        <v>1459289.6199999999</v>
      </c>
      <c r="M153" s="8">
        <f>+Données!F153</f>
        <v>0</v>
      </c>
      <c r="N153" s="8">
        <f>+Données!K153</f>
        <v>1821.5</v>
      </c>
      <c r="O153" s="8">
        <f>(Données!L153/Données!Y153)*1</f>
        <v>115215.45</v>
      </c>
      <c r="P153" s="350">
        <f t="shared" si="8"/>
        <v>1576326.5699999998</v>
      </c>
      <c r="Q153" s="176">
        <f>+Données!X153</f>
        <v>76</v>
      </c>
      <c r="R153" s="350">
        <f t="shared" si="9"/>
        <v>20741.139078947366</v>
      </c>
    </row>
    <row r="154" spans="1:18" x14ac:dyDescent="0.25">
      <c r="A154" s="7">
        <f>Données!A154</f>
        <v>5655</v>
      </c>
      <c r="B154" s="27" t="str">
        <f>Données!B154</f>
        <v>Yens</v>
      </c>
      <c r="C154" s="8">
        <f>Données!C154+Données!D154</f>
        <v>5227833.88</v>
      </c>
      <c r="D154" s="8">
        <f>+Données!G154+Données!H154+Données!S154</f>
        <v>71306.790000000008</v>
      </c>
      <c r="E154" s="8">
        <f>+Données!E154</f>
        <v>0</v>
      </c>
      <c r="F154" s="8">
        <f>+Données!I154</f>
        <v>66010.45</v>
      </c>
      <c r="G154" s="8">
        <f>+Données!J154</f>
        <v>68413.63</v>
      </c>
      <c r="H154" s="8">
        <f>Données!U154</f>
        <v>-57546.9</v>
      </c>
      <c r="I154" s="154">
        <f>Données!V154</f>
        <v>0</v>
      </c>
      <c r="J154" s="154">
        <f>Données!W154</f>
        <v>-4584.29</v>
      </c>
      <c r="K154" s="8">
        <f>+Données!Q154</f>
        <v>-1151.07</v>
      </c>
      <c r="L154" s="350">
        <f t="shared" si="7"/>
        <v>5370282.4899999993</v>
      </c>
      <c r="M154" s="8">
        <f>+Données!F154</f>
        <v>0</v>
      </c>
      <c r="N154" s="8">
        <f>+Données!K154</f>
        <v>11954.3</v>
      </c>
      <c r="O154" s="8">
        <f>(Données!L154/Données!Y154)*1</f>
        <v>444149</v>
      </c>
      <c r="P154" s="350">
        <f t="shared" si="8"/>
        <v>5826385.7899999991</v>
      </c>
      <c r="Q154" s="176">
        <f>+Données!X154</f>
        <v>71.5</v>
      </c>
      <c r="R154" s="350">
        <f t="shared" si="9"/>
        <v>81487.913146853141</v>
      </c>
    </row>
    <row r="155" spans="1:18" x14ac:dyDescent="0.25">
      <c r="A155" s="7">
        <f>Données!A155</f>
        <v>5656</v>
      </c>
      <c r="B155" s="27" t="str">
        <f>Données!B155</f>
        <v>Hautemorges</v>
      </c>
      <c r="C155" s="8">
        <f>Données!C155+Données!D155</f>
        <v>10791305.289999999</v>
      </c>
      <c r="D155" s="8">
        <f>+Données!G155+Données!H155+Données!S155</f>
        <v>327689.73</v>
      </c>
      <c r="E155" s="8">
        <f>+Données!E155</f>
        <v>0</v>
      </c>
      <c r="F155" s="8">
        <f>+Données!I155</f>
        <v>113352.09</v>
      </c>
      <c r="G155" s="8">
        <f>+Données!J155</f>
        <v>249232.87</v>
      </c>
      <c r="H155" s="8">
        <f>Données!U155</f>
        <v>-155731.18</v>
      </c>
      <c r="I155" s="154">
        <f>Données!V155</f>
        <v>0</v>
      </c>
      <c r="J155" s="154">
        <f>Données!W155</f>
        <v>-13161.42</v>
      </c>
      <c r="K155" s="8">
        <f>+Données!Q155</f>
        <v>19360.830000000002</v>
      </c>
      <c r="L155" s="350">
        <f t="shared" si="7"/>
        <v>11332048.209999999</v>
      </c>
      <c r="M155" s="8">
        <f>+Données!F155</f>
        <v>0</v>
      </c>
      <c r="N155" s="8">
        <f>+Données!K155</f>
        <v>29945.5</v>
      </c>
      <c r="O155" s="8">
        <f>(Données!L155/Données!Y155)*1</f>
        <v>885531.1</v>
      </c>
      <c r="P155" s="350">
        <f t="shared" si="8"/>
        <v>12247524.809999999</v>
      </c>
      <c r="Q155" s="176">
        <f>+Données!X155</f>
        <v>72.5</v>
      </c>
      <c r="R155" s="350">
        <f t="shared" si="9"/>
        <v>168931.37668965515</v>
      </c>
    </row>
    <row r="156" spans="1:18" x14ac:dyDescent="0.25">
      <c r="A156" s="7">
        <f>Données!A156</f>
        <v>5661</v>
      </c>
      <c r="B156" s="27" t="str">
        <f>Données!B156</f>
        <v>Boulens</v>
      </c>
      <c r="C156" s="8">
        <f>Données!C156+Données!D156</f>
        <v>719179.04</v>
      </c>
      <c r="D156" s="8">
        <f>+Données!G156+Données!H156+Données!S156</f>
        <v>10123.76</v>
      </c>
      <c r="E156" s="8">
        <f>+Données!E156</f>
        <v>0</v>
      </c>
      <c r="F156" s="8">
        <f>+Données!I156</f>
        <v>0</v>
      </c>
      <c r="G156" s="8">
        <f>+Données!J156</f>
        <v>13189.56</v>
      </c>
      <c r="H156" s="8">
        <f>Données!U156</f>
        <v>-15944.9</v>
      </c>
      <c r="I156" s="154">
        <f>Données!V156</f>
        <v>0</v>
      </c>
      <c r="J156" s="154">
        <f>Données!W156</f>
        <v>0</v>
      </c>
      <c r="K156" s="8">
        <f>+Données!Q156</f>
        <v>0</v>
      </c>
      <c r="L156" s="350">
        <f t="shared" si="7"/>
        <v>726547.46000000008</v>
      </c>
      <c r="M156" s="8">
        <f>+Données!F156</f>
        <v>0</v>
      </c>
      <c r="N156" s="8">
        <f>+Données!K156</f>
        <v>555</v>
      </c>
      <c r="O156" s="8">
        <f>(Données!L156/Données!Y156)*1</f>
        <v>60017</v>
      </c>
      <c r="P156" s="350">
        <f t="shared" si="8"/>
        <v>787119.46000000008</v>
      </c>
      <c r="Q156" s="176">
        <f>+Données!X156</f>
        <v>71.5</v>
      </c>
      <c r="R156" s="350">
        <f t="shared" si="9"/>
        <v>11008.663776223777</v>
      </c>
    </row>
    <row r="157" spans="1:18" x14ac:dyDescent="0.25">
      <c r="A157" s="7">
        <f>Données!A157</f>
        <v>5663</v>
      </c>
      <c r="B157" s="27" t="str">
        <f>Données!B157</f>
        <v>Bussy-sur-Moudon</v>
      </c>
      <c r="C157" s="8">
        <f>Données!C157+Données!D157</f>
        <v>464602.37</v>
      </c>
      <c r="D157" s="8">
        <f>+Données!G157+Données!H157+Données!S157</f>
        <v>-2230.35</v>
      </c>
      <c r="E157" s="8">
        <f>+Données!E157</f>
        <v>0</v>
      </c>
      <c r="F157" s="8">
        <f>+Données!I157</f>
        <v>0</v>
      </c>
      <c r="G157" s="8">
        <f>+Données!J157</f>
        <v>7475.8</v>
      </c>
      <c r="H157" s="8">
        <f>Données!U157</f>
        <v>-10255.459999999999</v>
      </c>
      <c r="I157" s="154">
        <f>Données!V157</f>
        <v>0</v>
      </c>
      <c r="J157" s="154">
        <f>Données!W157</f>
        <v>0</v>
      </c>
      <c r="K157" s="8">
        <f>+Données!Q157</f>
        <v>12732.51</v>
      </c>
      <c r="L157" s="350">
        <f t="shared" si="7"/>
        <v>472324.87</v>
      </c>
      <c r="M157" s="8">
        <f>+Données!F157</f>
        <v>1330</v>
      </c>
      <c r="N157" s="8">
        <f>+Données!K157</f>
        <v>325.2</v>
      </c>
      <c r="O157" s="8">
        <f>(Données!L157/Données!Y157)*1</f>
        <v>33423.15</v>
      </c>
      <c r="P157" s="350">
        <f t="shared" si="8"/>
        <v>507403.22000000003</v>
      </c>
      <c r="Q157" s="176">
        <f>+Données!X157</f>
        <v>78.5</v>
      </c>
      <c r="R157" s="350">
        <f t="shared" si="9"/>
        <v>6463.7352866242045</v>
      </c>
    </row>
    <row r="158" spans="1:18" x14ac:dyDescent="0.25">
      <c r="A158" s="7">
        <f>Données!A158</f>
        <v>5665</v>
      </c>
      <c r="B158" s="27" t="str">
        <f>Données!B158</f>
        <v>Chavannes-sur-Moudon</v>
      </c>
      <c r="C158" s="8">
        <f>Données!C158+Données!D158</f>
        <v>363744.81</v>
      </c>
      <c r="D158" s="8">
        <f>+Données!G158+Données!H158+Données!S158</f>
        <v>3672.02</v>
      </c>
      <c r="E158" s="8">
        <f>+Données!E158</f>
        <v>0</v>
      </c>
      <c r="F158" s="8">
        <f>+Données!I158</f>
        <v>0</v>
      </c>
      <c r="G158" s="8">
        <f>+Données!J158</f>
        <v>9616.44</v>
      </c>
      <c r="H158" s="8">
        <f>Données!U158</f>
        <v>-717.74</v>
      </c>
      <c r="I158" s="154">
        <f>Données!V158</f>
        <v>0</v>
      </c>
      <c r="J158" s="154">
        <f>Données!W158</f>
        <v>0</v>
      </c>
      <c r="K158" s="8">
        <f>+Données!Q158</f>
        <v>120.89</v>
      </c>
      <c r="L158" s="350">
        <f t="shared" si="7"/>
        <v>376436.42000000004</v>
      </c>
      <c r="M158" s="8">
        <f>+Données!F158</f>
        <v>0</v>
      </c>
      <c r="N158" s="8">
        <f>+Données!K158</f>
        <v>54.5</v>
      </c>
      <c r="O158" s="8">
        <f>(Données!L158/Données!Y158)*1</f>
        <v>28565.4</v>
      </c>
      <c r="P158" s="350">
        <f t="shared" si="8"/>
        <v>405056.32000000007</v>
      </c>
      <c r="Q158" s="176">
        <f>+Données!X158</f>
        <v>70</v>
      </c>
      <c r="R158" s="350">
        <f t="shared" si="9"/>
        <v>5786.518857142858</v>
      </c>
    </row>
    <row r="159" spans="1:18" x14ac:dyDescent="0.25">
      <c r="A159" s="7">
        <f>Données!A159</f>
        <v>5669</v>
      </c>
      <c r="B159" s="27" t="str">
        <f>Données!B159</f>
        <v>Curtilles</v>
      </c>
      <c r="C159" s="8">
        <f>Données!C159+Données!D159</f>
        <v>571182.61</v>
      </c>
      <c r="D159" s="8">
        <f>+Données!G159+Données!H159+Données!S159</f>
        <v>375.789999999999</v>
      </c>
      <c r="E159" s="8">
        <f>+Données!E159</f>
        <v>0</v>
      </c>
      <c r="F159" s="8">
        <f>+Données!I159</f>
        <v>0</v>
      </c>
      <c r="G159" s="8">
        <f>+Données!J159</f>
        <v>2535.21</v>
      </c>
      <c r="H159" s="8">
        <f>Données!U159</f>
        <v>-7428.06</v>
      </c>
      <c r="I159" s="154">
        <f>Données!V159</f>
        <v>0</v>
      </c>
      <c r="J159" s="154">
        <f>Données!W159</f>
        <v>-84.3</v>
      </c>
      <c r="K159" s="8">
        <f>+Données!Q159</f>
        <v>0</v>
      </c>
      <c r="L159" s="350">
        <f t="shared" si="7"/>
        <v>566581.24999999988</v>
      </c>
      <c r="M159" s="8">
        <f>+Données!F159</f>
        <v>0</v>
      </c>
      <c r="N159" s="8">
        <f>+Données!K159</f>
        <v>255.7</v>
      </c>
      <c r="O159" s="8">
        <f>(Données!L159/Données!Y159)*1</f>
        <v>48408.800000000003</v>
      </c>
      <c r="P159" s="350">
        <f t="shared" si="8"/>
        <v>615245.74999999988</v>
      </c>
      <c r="Q159" s="176">
        <f>+Données!X159</f>
        <v>73</v>
      </c>
      <c r="R159" s="350">
        <f t="shared" si="9"/>
        <v>8428.0239726027376</v>
      </c>
    </row>
    <row r="160" spans="1:18" x14ac:dyDescent="0.25">
      <c r="A160" s="7">
        <f>Données!A160</f>
        <v>5671</v>
      </c>
      <c r="B160" s="27" t="str">
        <f>Données!B160</f>
        <v>Dompierre</v>
      </c>
      <c r="C160" s="8">
        <f>Données!C160+Données!D160</f>
        <v>481896</v>
      </c>
      <c r="D160" s="8">
        <f>+Données!G160+Données!H160+Données!S160</f>
        <v>6827.51</v>
      </c>
      <c r="E160" s="8">
        <f>+Données!E160</f>
        <v>0</v>
      </c>
      <c r="F160" s="8">
        <f>+Données!I160</f>
        <v>0</v>
      </c>
      <c r="G160" s="8">
        <f>+Données!J160</f>
        <v>4571.75</v>
      </c>
      <c r="H160" s="8">
        <f>Données!U160</f>
        <v>-9450.3799999999992</v>
      </c>
      <c r="I160" s="154">
        <f>Données!V160</f>
        <v>0</v>
      </c>
      <c r="J160" s="154">
        <f>Données!W160</f>
        <v>0</v>
      </c>
      <c r="K160" s="8">
        <f>+Données!Q160</f>
        <v>5400.68</v>
      </c>
      <c r="L160" s="350">
        <f t="shared" si="7"/>
        <v>489245.56</v>
      </c>
      <c r="M160" s="8">
        <f>+Données!F160</f>
        <v>2150</v>
      </c>
      <c r="N160" s="8">
        <f>+Données!K160</f>
        <v>223.5</v>
      </c>
      <c r="O160" s="8">
        <f>(Données!L160/Données!Y160)*1</f>
        <v>34982.800000000003</v>
      </c>
      <c r="P160" s="350">
        <f t="shared" si="8"/>
        <v>526601.86</v>
      </c>
      <c r="Q160" s="176">
        <f>+Données!X160</f>
        <v>78</v>
      </c>
      <c r="R160" s="350">
        <f t="shared" si="9"/>
        <v>6751.3058974358974</v>
      </c>
    </row>
    <row r="161" spans="1:18" x14ac:dyDescent="0.25">
      <c r="A161" s="7">
        <f>Données!A161</f>
        <v>5673</v>
      </c>
      <c r="B161" s="27" t="str">
        <f>Données!B161</f>
        <v>Hermenches</v>
      </c>
      <c r="C161" s="8">
        <f>Données!C161+Données!D161</f>
        <v>657331.81999999995</v>
      </c>
      <c r="D161" s="8">
        <f>+Données!G161+Données!H161+Données!S161</f>
        <v>5237.5200000000004</v>
      </c>
      <c r="E161" s="8">
        <f>+Données!E161</f>
        <v>0</v>
      </c>
      <c r="F161" s="8">
        <f>+Données!I161</f>
        <v>0</v>
      </c>
      <c r="G161" s="8">
        <f>+Données!J161</f>
        <v>-165.79</v>
      </c>
      <c r="H161" s="8">
        <f>Données!U161</f>
        <v>-5636.18</v>
      </c>
      <c r="I161" s="154">
        <f>Données!V161</f>
        <v>0</v>
      </c>
      <c r="J161" s="154">
        <f>Données!W161</f>
        <v>-74.55</v>
      </c>
      <c r="K161" s="8">
        <f>+Données!Q161</f>
        <v>2579.54</v>
      </c>
      <c r="L161" s="350">
        <f t="shared" si="7"/>
        <v>659272.35999999987</v>
      </c>
      <c r="M161" s="8">
        <f>+Données!F161</f>
        <v>2240</v>
      </c>
      <c r="N161" s="8">
        <f>+Données!K161</f>
        <v>408</v>
      </c>
      <c r="O161" s="8">
        <f>(Données!L161/Données!Y161)*1</f>
        <v>49188.5</v>
      </c>
      <c r="P161" s="350">
        <f t="shared" si="8"/>
        <v>711108.85999999987</v>
      </c>
      <c r="Q161" s="176">
        <f>+Données!X161</f>
        <v>73.5</v>
      </c>
      <c r="R161" s="350">
        <f t="shared" si="9"/>
        <v>9674.9504761904736</v>
      </c>
    </row>
    <row r="162" spans="1:18" x14ac:dyDescent="0.25">
      <c r="A162" s="7">
        <f>Données!A162</f>
        <v>5674</v>
      </c>
      <c r="B162" s="27" t="str">
        <f>Données!B162</f>
        <v>Lovatens</v>
      </c>
      <c r="C162" s="8">
        <f>Données!C162+Données!D162</f>
        <v>244740.93</v>
      </c>
      <c r="D162" s="8">
        <f>+Données!G162+Données!H162+Données!S162</f>
        <v>379.37</v>
      </c>
      <c r="E162" s="8">
        <f>+Données!E162</f>
        <v>0</v>
      </c>
      <c r="F162" s="8">
        <f>+Données!I162</f>
        <v>0</v>
      </c>
      <c r="G162" s="8">
        <f>+Données!J162</f>
        <v>122.21</v>
      </c>
      <c r="H162" s="8">
        <f>Données!U162</f>
        <v>-943.13</v>
      </c>
      <c r="I162" s="154">
        <f>Données!V162</f>
        <v>0</v>
      </c>
      <c r="J162" s="154">
        <f>Données!W162</f>
        <v>-137.80000000000001</v>
      </c>
      <c r="K162" s="8">
        <f>+Données!Q162</f>
        <v>0</v>
      </c>
      <c r="L162" s="350">
        <f t="shared" si="7"/>
        <v>244161.58</v>
      </c>
      <c r="M162" s="8">
        <f>+Données!F162</f>
        <v>0</v>
      </c>
      <c r="N162" s="8">
        <f>+Données!K162</f>
        <v>64.099999999999994</v>
      </c>
      <c r="O162" s="8">
        <f>(Données!L162/Données!Y162)*1</f>
        <v>21195</v>
      </c>
      <c r="P162" s="350">
        <f t="shared" si="8"/>
        <v>265420.68</v>
      </c>
      <c r="Q162" s="176">
        <f>+Données!X162</f>
        <v>75</v>
      </c>
      <c r="R162" s="350">
        <f t="shared" si="9"/>
        <v>3538.9423999999999</v>
      </c>
    </row>
    <row r="163" spans="1:18" x14ac:dyDescent="0.25">
      <c r="A163" s="7">
        <f>Données!A163</f>
        <v>5675</v>
      </c>
      <c r="B163" s="27" t="str">
        <f>Données!B163</f>
        <v>Lucens</v>
      </c>
      <c r="C163" s="8">
        <f>Données!C163+Données!D163</f>
        <v>5263050.57</v>
      </c>
      <c r="D163" s="8">
        <f>+Données!G163+Données!H163+Données!S163</f>
        <v>369456.67000000004</v>
      </c>
      <c r="E163" s="8">
        <f>+Données!E163</f>
        <v>0</v>
      </c>
      <c r="F163" s="8">
        <f>+Données!I163</f>
        <v>0</v>
      </c>
      <c r="G163" s="8">
        <f>+Données!J163</f>
        <v>280868.17</v>
      </c>
      <c r="H163" s="8">
        <f>Données!U163</f>
        <v>-227428.09</v>
      </c>
      <c r="I163" s="154">
        <f>Données!V163</f>
        <v>0</v>
      </c>
      <c r="J163" s="154">
        <f>Données!W163</f>
        <v>-1963.57</v>
      </c>
      <c r="K163" s="8">
        <f>+Données!Q163</f>
        <v>38604.35</v>
      </c>
      <c r="L163" s="350">
        <f t="shared" si="7"/>
        <v>5722588.0999999996</v>
      </c>
      <c r="M163" s="8">
        <f>+Données!F163</f>
        <v>0</v>
      </c>
      <c r="N163" s="8">
        <f>+Données!K163</f>
        <v>58545</v>
      </c>
      <c r="O163" s="8">
        <f>(Données!L163/Données!Y163)*1</f>
        <v>668436.90909090906</v>
      </c>
      <c r="P163" s="350">
        <f t="shared" si="8"/>
        <v>6449570.0090909088</v>
      </c>
      <c r="Q163" s="176">
        <f>+Données!X163</f>
        <v>69.5</v>
      </c>
      <c r="R163" s="350">
        <f t="shared" si="9"/>
        <v>92799.568476128188</v>
      </c>
    </row>
    <row r="164" spans="1:18" x14ac:dyDescent="0.25">
      <c r="A164" s="7">
        <f>Données!A164</f>
        <v>5678</v>
      </c>
      <c r="B164" s="27" t="str">
        <f>Données!B164</f>
        <v>Moudon</v>
      </c>
      <c r="C164" s="8">
        <f>Données!C164+Données!D164</f>
        <v>7413659.8900000006</v>
      </c>
      <c r="D164" s="8">
        <f>+Données!G164+Données!H164+Données!S164</f>
        <v>889647.09000000008</v>
      </c>
      <c r="E164" s="8">
        <f>+Données!E164</f>
        <v>0</v>
      </c>
      <c r="F164" s="8">
        <f>+Données!I164</f>
        <v>0</v>
      </c>
      <c r="G164" s="8">
        <f>+Données!J164</f>
        <v>443201.87</v>
      </c>
      <c r="H164" s="8">
        <f>Données!U164</f>
        <v>-352863.06</v>
      </c>
      <c r="I164" s="154">
        <f>Données!V164</f>
        <v>0</v>
      </c>
      <c r="J164" s="154">
        <f>Données!W164</f>
        <v>-2020.57</v>
      </c>
      <c r="K164" s="8">
        <f>+Données!Q164</f>
        <v>106648.87</v>
      </c>
      <c r="L164" s="350">
        <f t="shared" si="7"/>
        <v>8498274.089999998</v>
      </c>
      <c r="M164" s="8">
        <f>+Données!F164</f>
        <v>35058.9</v>
      </c>
      <c r="N164" s="8">
        <f>+Données!K164</f>
        <v>45101.55</v>
      </c>
      <c r="O164" s="8">
        <f>(Données!L164/Données!Y164)*1</f>
        <v>894845.5</v>
      </c>
      <c r="P164" s="350">
        <f t="shared" si="8"/>
        <v>9473280.0399999991</v>
      </c>
      <c r="Q164" s="176">
        <f>+Données!X164</f>
        <v>72.5</v>
      </c>
      <c r="R164" s="350">
        <f t="shared" si="9"/>
        <v>130665.93158620689</v>
      </c>
    </row>
    <row r="165" spans="1:18" x14ac:dyDescent="0.25">
      <c r="A165" s="7">
        <f>Données!A165</f>
        <v>5680</v>
      </c>
      <c r="B165" s="27" t="str">
        <f>Données!B165</f>
        <v>Ogens</v>
      </c>
      <c r="C165" s="8">
        <f>Données!C165+Données!D165</f>
        <v>616180.87</v>
      </c>
      <c r="D165" s="8">
        <f>+Données!G165+Données!H165+Données!S165</f>
        <v>110390.21</v>
      </c>
      <c r="E165" s="8">
        <f>+Données!E165</f>
        <v>0</v>
      </c>
      <c r="F165" s="8">
        <f>+Données!I165</f>
        <v>0</v>
      </c>
      <c r="G165" s="8">
        <f>+Données!J165</f>
        <v>22372.31</v>
      </c>
      <c r="H165" s="8">
        <f>Données!U165</f>
        <v>-20425.57</v>
      </c>
      <c r="I165" s="154">
        <f>Données!V165</f>
        <v>0</v>
      </c>
      <c r="J165" s="154">
        <f>Données!W165</f>
        <v>0</v>
      </c>
      <c r="K165" s="8">
        <f>+Données!Q165</f>
        <v>0</v>
      </c>
      <c r="L165" s="350">
        <f t="shared" si="7"/>
        <v>728517.82000000007</v>
      </c>
      <c r="M165" s="8">
        <f>+Données!F165</f>
        <v>0</v>
      </c>
      <c r="N165" s="8">
        <f>+Données!K165</f>
        <v>625</v>
      </c>
      <c r="O165" s="8">
        <f>(Données!L165/Données!Y165)*1</f>
        <v>58321.733333333337</v>
      </c>
      <c r="P165" s="350">
        <f t="shared" si="8"/>
        <v>787464.55333333346</v>
      </c>
      <c r="Q165" s="176">
        <f>+Données!X165</f>
        <v>78</v>
      </c>
      <c r="R165" s="350">
        <f t="shared" si="9"/>
        <v>10095.699401709404</v>
      </c>
    </row>
    <row r="166" spans="1:18" x14ac:dyDescent="0.25">
      <c r="A166" s="7">
        <f>Données!A166</f>
        <v>5683</v>
      </c>
      <c r="B166" s="27" t="str">
        <f>Données!B166</f>
        <v>Prévonloup</v>
      </c>
      <c r="C166" s="8">
        <f>Données!C166+Données!D166</f>
        <v>328573.61000000004</v>
      </c>
      <c r="D166" s="8">
        <f>+Données!G166+Données!H166+Données!S166</f>
        <v>5459.4000000000005</v>
      </c>
      <c r="E166" s="8">
        <f>+Données!E166</f>
        <v>0</v>
      </c>
      <c r="F166" s="8">
        <f>+Données!I166</f>
        <v>0</v>
      </c>
      <c r="G166" s="8">
        <f>+Données!J166</f>
        <v>10522.58</v>
      </c>
      <c r="H166" s="8">
        <f>Données!U166</f>
        <v>-2777.64</v>
      </c>
      <c r="I166" s="154">
        <f>Données!V166</f>
        <v>0</v>
      </c>
      <c r="J166" s="154">
        <f>Données!W166</f>
        <v>-0.61</v>
      </c>
      <c r="K166" s="8">
        <f>+Données!Q166</f>
        <v>0</v>
      </c>
      <c r="L166" s="350">
        <f t="shared" si="7"/>
        <v>341777.34000000008</v>
      </c>
      <c r="M166" s="8">
        <f>+Données!F166</f>
        <v>0</v>
      </c>
      <c r="N166" s="8">
        <f>+Données!K166</f>
        <v>2220.5</v>
      </c>
      <c r="O166" s="8">
        <f>(Données!L166/Données!Y166)*1</f>
        <v>31663</v>
      </c>
      <c r="P166" s="350">
        <f t="shared" si="8"/>
        <v>375660.84000000008</v>
      </c>
      <c r="Q166" s="176">
        <f>+Données!X166</f>
        <v>72.5</v>
      </c>
      <c r="R166" s="350">
        <f t="shared" si="9"/>
        <v>5181.5288275862076</v>
      </c>
    </row>
    <row r="167" spans="1:18" x14ac:dyDescent="0.25">
      <c r="A167" s="7">
        <f>Données!A167</f>
        <v>5684</v>
      </c>
      <c r="B167" s="27" t="str">
        <f>Données!B167</f>
        <v>Rossenges</v>
      </c>
      <c r="C167" s="8">
        <f>Données!C167+Données!D167</f>
        <v>249884.09000000003</v>
      </c>
      <c r="D167" s="8">
        <f>+Données!G167+Données!H167+Données!S167</f>
        <v>1251.79</v>
      </c>
      <c r="E167" s="8">
        <f>+Données!E167</f>
        <v>0</v>
      </c>
      <c r="F167" s="8">
        <f>+Données!I167</f>
        <v>0</v>
      </c>
      <c r="G167" s="8">
        <f>+Données!J167</f>
        <v>12748.25</v>
      </c>
      <c r="H167" s="8">
        <f>Données!U167</f>
        <v>-19.18</v>
      </c>
      <c r="I167" s="154">
        <f>Données!V167</f>
        <v>0</v>
      </c>
      <c r="J167" s="154">
        <f>Données!W167</f>
        <v>0</v>
      </c>
      <c r="K167" s="8">
        <f>+Données!Q167</f>
        <v>0</v>
      </c>
      <c r="L167" s="350">
        <f t="shared" si="7"/>
        <v>263864.95</v>
      </c>
      <c r="M167" s="8">
        <f>+Données!F167</f>
        <v>0</v>
      </c>
      <c r="N167" s="8">
        <f>+Données!K167</f>
        <v>0</v>
      </c>
      <c r="O167" s="8">
        <f>(Données!L167/Données!Y167)*1</f>
        <v>13632.625</v>
      </c>
      <c r="P167" s="350">
        <f t="shared" si="8"/>
        <v>277497.57500000001</v>
      </c>
      <c r="Q167" s="176">
        <f>+Données!X167</f>
        <v>75</v>
      </c>
      <c r="R167" s="350">
        <f t="shared" si="9"/>
        <v>3699.9676666666669</v>
      </c>
    </row>
    <row r="168" spans="1:18" x14ac:dyDescent="0.25">
      <c r="A168" s="7">
        <f>Données!A168</f>
        <v>5688</v>
      </c>
      <c r="B168" s="27" t="str">
        <f>Données!B168</f>
        <v>Syens</v>
      </c>
      <c r="C168" s="8">
        <f>Données!C168+Données!D168</f>
        <v>295167.05</v>
      </c>
      <c r="D168" s="8">
        <f>+Données!G168+Données!H168+Données!S168</f>
        <v>7126.03</v>
      </c>
      <c r="E168" s="8">
        <f>+Données!E168</f>
        <v>0</v>
      </c>
      <c r="F168" s="8">
        <f>+Données!I168</f>
        <v>0</v>
      </c>
      <c r="G168" s="8">
        <f>+Données!J168</f>
        <v>16049.15</v>
      </c>
      <c r="H168" s="8">
        <f>Données!U168</f>
        <v>-55.55</v>
      </c>
      <c r="I168" s="154">
        <f>Données!V168</f>
        <v>0</v>
      </c>
      <c r="J168" s="154">
        <f>Données!W168</f>
        <v>0</v>
      </c>
      <c r="K168" s="8">
        <f>+Données!Q168</f>
        <v>0</v>
      </c>
      <c r="L168" s="350">
        <f t="shared" si="7"/>
        <v>318286.68000000005</v>
      </c>
      <c r="M168" s="8">
        <f>+Données!F168</f>
        <v>0</v>
      </c>
      <c r="N168" s="8">
        <f>+Données!K168</f>
        <v>105</v>
      </c>
      <c r="O168" s="8">
        <f>(Données!L168/Données!Y168)*1</f>
        <v>24608.3</v>
      </c>
      <c r="P168" s="350">
        <f t="shared" si="8"/>
        <v>342999.98000000004</v>
      </c>
      <c r="Q168" s="176">
        <f>+Données!X168</f>
        <v>65</v>
      </c>
      <c r="R168" s="350">
        <f t="shared" si="9"/>
        <v>5276.9227692307695</v>
      </c>
    </row>
    <row r="169" spans="1:18" x14ac:dyDescent="0.25">
      <c r="A169" s="7">
        <f>Données!A169</f>
        <v>5690</v>
      </c>
      <c r="B169" s="27" t="str">
        <f>Données!B169</f>
        <v>Villars-le-Comte</v>
      </c>
      <c r="C169" s="8">
        <f>Données!C169+Données!D169</f>
        <v>279093.19</v>
      </c>
      <c r="D169" s="8">
        <f>+Données!G169+Données!H169+Données!S169</f>
        <v>1645.83</v>
      </c>
      <c r="E169" s="8">
        <f>+Données!E169</f>
        <v>0</v>
      </c>
      <c r="F169" s="8">
        <f>+Données!I169</f>
        <v>0</v>
      </c>
      <c r="G169" s="8">
        <f>+Données!J169</f>
        <v>0</v>
      </c>
      <c r="H169" s="8">
        <f>Données!U169</f>
        <v>-65</v>
      </c>
      <c r="I169" s="154">
        <f>Données!V169</f>
        <v>0</v>
      </c>
      <c r="J169" s="154">
        <f>Données!W169</f>
        <v>0</v>
      </c>
      <c r="K169" s="8">
        <f>+Données!Q169</f>
        <v>0</v>
      </c>
      <c r="L169" s="350">
        <f t="shared" si="7"/>
        <v>280674.02</v>
      </c>
      <c r="M169" s="8">
        <f>+Données!F169</f>
        <v>800</v>
      </c>
      <c r="N169" s="8">
        <f>+Données!K169</f>
        <v>184.1</v>
      </c>
      <c r="O169" s="8">
        <f>(Données!L169/Données!Y169)*1</f>
        <v>21537.416666666668</v>
      </c>
      <c r="P169" s="350">
        <f t="shared" si="8"/>
        <v>303195.53666666668</v>
      </c>
      <c r="Q169" s="176">
        <f>+Données!X169</f>
        <v>70</v>
      </c>
      <c r="R169" s="350">
        <f t="shared" si="9"/>
        <v>4331.3648095238095</v>
      </c>
    </row>
    <row r="170" spans="1:18" x14ac:dyDescent="0.25">
      <c r="A170" s="7">
        <f>Données!A170</f>
        <v>5692</v>
      </c>
      <c r="B170" s="27" t="str">
        <f>Données!B170</f>
        <v>Vucherens</v>
      </c>
      <c r="C170" s="8">
        <f>Données!C170+Données!D170</f>
        <v>1359882.9700000002</v>
      </c>
      <c r="D170" s="8">
        <f>+Données!G170+Données!H170+Données!S170</f>
        <v>10377.42</v>
      </c>
      <c r="E170" s="8">
        <f>+Données!E170</f>
        <v>0</v>
      </c>
      <c r="F170" s="8">
        <f>+Données!I170</f>
        <v>0</v>
      </c>
      <c r="G170" s="8">
        <f>+Données!J170</f>
        <v>6340.52</v>
      </c>
      <c r="H170" s="8">
        <f>Données!U170</f>
        <v>-31726.07</v>
      </c>
      <c r="I170" s="154">
        <f>Données!V170</f>
        <v>0</v>
      </c>
      <c r="J170" s="154">
        <f>Données!W170</f>
        <v>-19.45</v>
      </c>
      <c r="K170" s="8">
        <f>+Données!Q170</f>
        <v>0</v>
      </c>
      <c r="L170" s="350">
        <f t="shared" si="7"/>
        <v>1344855.3900000001</v>
      </c>
      <c r="M170" s="8">
        <f>+Données!F170</f>
        <v>0</v>
      </c>
      <c r="N170" s="8">
        <f>+Données!K170</f>
        <v>3062.05</v>
      </c>
      <c r="O170" s="8">
        <f>(Données!L170/Données!Y170)*1</f>
        <v>111093.4</v>
      </c>
      <c r="P170" s="350">
        <f t="shared" si="8"/>
        <v>1459010.84</v>
      </c>
      <c r="Q170" s="176">
        <f>+Données!X170</f>
        <v>77</v>
      </c>
      <c r="R170" s="350">
        <f t="shared" si="9"/>
        <v>18948.19272727273</v>
      </c>
    </row>
    <row r="171" spans="1:18" x14ac:dyDescent="0.25">
      <c r="A171" s="7">
        <f>Données!A171</f>
        <v>5693</v>
      </c>
      <c r="B171" s="27" t="str">
        <f>Données!B171</f>
        <v>Montanaire</v>
      </c>
      <c r="C171" s="8">
        <f>Données!C171+Données!D171</f>
        <v>5057202.22</v>
      </c>
      <c r="D171" s="8">
        <f>+Données!G171+Données!H171+Données!S171</f>
        <v>161997.21</v>
      </c>
      <c r="E171" s="8">
        <f>+Données!E171</f>
        <v>0</v>
      </c>
      <c r="F171" s="8">
        <f>+Données!I171</f>
        <v>0</v>
      </c>
      <c r="G171" s="8">
        <f>+Données!J171</f>
        <v>73235.490000000005</v>
      </c>
      <c r="H171" s="8">
        <f>Données!U171</f>
        <v>-145624.10999999999</v>
      </c>
      <c r="I171" s="154">
        <f>Données!V171</f>
        <v>0</v>
      </c>
      <c r="J171" s="154">
        <f>Données!W171</f>
        <v>-345.86</v>
      </c>
      <c r="K171" s="8">
        <f>+Données!Q171</f>
        <v>3859.79</v>
      </c>
      <c r="L171" s="350">
        <f t="shared" si="7"/>
        <v>5150324.7399999993</v>
      </c>
      <c r="M171" s="8">
        <f>+Données!F171</f>
        <v>0</v>
      </c>
      <c r="N171" s="8">
        <f>+Données!K171</f>
        <v>8525.6</v>
      </c>
      <c r="O171" s="8">
        <f>(Données!L171/Données!Y171)*1</f>
        <v>446483.3</v>
      </c>
      <c r="P171" s="350">
        <f t="shared" si="8"/>
        <v>5605333.6399999987</v>
      </c>
      <c r="Q171" s="176">
        <f>+Données!X171</f>
        <v>70</v>
      </c>
      <c r="R171" s="350">
        <f t="shared" si="9"/>
        <v>80076.194857142837</v>
      </c>
    </row>
    <row r="172" spans="1:18" x14ac:dyDescent="0.25">
      <c r="A172" s="7">
        <f>Données!A172</f>
        <v>5701</v>
      </c>
      <c r="B172" s="27" t="str">
        <f>Données!B172</f>
        <v>Arnex-sur-Nyon</v>
      </c>
      <c r="C172" s="8">
        <f>Données!C172+Données!D172</f>
        <v>747871.74</v>
      </c>
      <c r="D172" s="8">
        <f>+Données!G172+Données!H172+Données!S172</f>
        <v>4274.5</v>
      </c>
      <c r="E172" s="8">
        <f>+Données!E172</f>
        <v>0</v>
      </c>
      <c r="F172" s="8">
        <f>+Données!I172</f>
        <v>65333.35</v>
      </c>
      <c r="G172" s="8">
        <f>+Données!J172</f>
        <v>22572</v>
      </c>
      <c r="H172" s="8">
        <f>Données!U172</f>
        <v>-1746.75</v>
      </c>
      <c r="I172" s="154">
        <f>Données!V172</f>
        <v>0</v>
      </c>
      <c r="J172" s="154">
        <f>Données!W172</f>
        <v>-3065.26</v>
      </c>
      <c r="K172" s="8">
        <f>+Données!Q172</f>
        <v>0</v>
      </c>
      <c r="L172" s="350">
        <f t="shared" si="7"/>
        <v>835239.58</v>
      </c>
      <c r="M172" s="8">
        <f>+Données!F172</f>
        <v>0</v>
      </c>
      <c r="N172" s="8">
        <f>+Données!K172</f>
        <v>508.25</v>
      </c>
      <c r="O172" s="8">
        <f>(Données!L172/Données!Y172)*1</f>
        <v>74026.600000000006</v>
      </c>
      <c r="P172" s="350">
        <f t="shared" si="8"/>
        <v>909774.42999999993</v>
      </c>
      <c r="Q172" s="176">
        <f>+Données!X172</f>
        <v>70</v>
      </c>
      <c r="R172" s="350">
        <f t="shared" si="9"/>
        <v>12996.777571428571</v>
      </c>
    </row>
    <row r="173" spans="1:18" x14ac:dyDescent="0.25">
      <c r="A173" s="7">
        <f>Données!A173</f>
        <v>5702</v>
      </c>
      <c r="B173" s="27" t="str">
        <f>Données!B173</f>
        <v>Arzier-Le Muids</v>
      </c>
      <c r="C173" s="8">
        <f>Données!C173+Données!D173</f>
        <v>10529914.510000002</v>
      </c>
      <c r="D173" s="8">
        <f>+Données!G173+Données!H173+Données!S173</f>
        <v>143759.4</v>
      </c>
      <c r="E173" s="8">
        <f>+Données!E173</f>
        <v>0</v>
      </c>
      <c r="F173" s="8">
        <f>+Données!I173</f>
        <v>444158.53</v>
      </c>
      <c r="G173" s="8">
        <f>+Données!J173</f>
        <v>62657.440000000002</v>
      </c>
      <c r="H173" s="8">
        <f>Données!U173</f>
        <v>-30015.07</v>
      </c>
      <c r="I173" s="154">
        <f>Données!V173</f>
        <v>0</v>
      </c>
      <c r="J173" s="154">
        <f>Données!W173</f>
        <v>-17723.080000000002</v>
      </c>
      <c r="K173" s="8">
        <f>+Données!Q173</f>
        <v>12993.13</v>
      </c>
      <c r="L173" s="350">
        <f t="shared" si="7"/>
        <v>11145744.860000001</v>
      </c>
      <c r="M173" s="8">
        <f>+Données!F173</f>
        <v>0</v>
      </c>
      <c r="N173" s="8">
        <f>+Données!K173</f>
        <v>19238.150000000001</v>
      </c>
      <c r="O173" s="8">
        <f>(Données!L173/Données!Y173)*1</f>
        <v>865907.20000000007</v>
      </c>
      <c r="P173" s="350">
        <f t="shared" si="8"/>
        <v>12030890.210000001</v>
      </c>
      <c r="Q173" s="176">
        <f>+Données!X173</f>
        <v>64</v>
      </c>
      <c r="R173" s="350">
        <f t="shared" si="9"/>
        <v>187982.65953125001</v>
      </c>
    </row>
    <row r="174" spans="1:18" x14ac:dyDescent="0.25">
      <c r="A174" s="7">
        <f>Données!A174</f>
        <v>5703</v>
      </c>
      <c r="B174" s="27" t="str">
        <f>Données!B174</f>
        <v>Bassins</v>
      </c>
      <c r="C174" s="8">
        <f>Données!C174+Données!D174</f>
        <v>4179846.31</v>
      </c>
      <c r="D174" s="8">
        <f>+Données!G174+Données!H174+Données!S174</f>
        <v>52088.29</v>
      </c>
      <c r="E174" s="8">
        <f>+Données!E174</f>
        <v>0</v>
      </c>
      <c r="F174" s="8">
        <f>+Données!I174</f>
        <v>0</v>
      </c>
      <c r="G174" s="8">
        <f>+Données!J174</f>
        <v>182230.27</v>
      </c>
      <c r="H174" s="8">
        <f>Données!U174</f>
        <v>-17221.099999999999</v>
      </c>
      <c r="I174" s="154">
        <f>Données!V174</f>
        <v>0</v>
      </c>
      <c r="J174" s="154">
        <f>Données!W174</f>
        <v>-1754.91</v>
      </c>
      <c r="K174" s="8">
        <f>+Données!Q174</f>
        <v>4661.6099999999997</v>
      </c>
      <c r="L174" s="350">
        <f t="shared" si="7"/>
        <v>4399850.47</v>
      </c>
      <c r="M174" s="8">
        <f>+Données!F174</f>
        <v>0</v>
      </c>
      <c r="N174" s="8">
        <f>+Données!K174</f>
        <v>250.75</v>
      </c>
      <c r="O174" s="8">
        <f>(Données!L174/Données!Y174)*1</f>
        <v>344347.53571428574</v>
      </c>
      <c r="P174" s="350">
        <f t="shared" si="8"/>
        <v>4744448.7557142852</v>
      </c>
      <c r="Q174" s="176">
        <f>+Données!X174</f>
        <v>72.5</v>
      </c>
      <c r="R174" s="350">
        <f t="shared" si="9"/>
        <v>65440.672492610829</v>
      </c>
    </row>
    <row r="175" spans="1:18" x14ac:dyDescent="0.25">
      <c r="A175" s="7">
        <f>Données!A175</f>
        <v>5704</v>
      </c>
      <c r="B175" s="27" t="str">
        <f>Données!B175</f>
        <v>Begnins</v>
      </c>
      <c r="C175" s="8">
        <f>Données!C175+Données!D175</f>
        <v>7218276.71</v>
      </c>
      <c r="D175" s="8">
        <f>+Données!G175+Données!H175+Données!S175</f>
        <v>-21956.5</v>
      </c>
      <c r="E175" s="8">
        <f>+Données!E175</f>
        <v>0</v>
      </c>
      <c r="F175" s="8">
        <f>+Données!I175</f>
        <v>259453.95</v>
      </c>
      <c r="G175" s="8">
        <f>+Données!J175</f>
        <v>107342.65</v>
      </c>
      <c r="H175" s="8">
        <f>Données!U175</f>
        <v>-12433.37</v>
      </c>
      <c r="I175" s="154">
        <f>Données!V175</f>
        <v>0</v>
      </c>
      <c r="J175" s="154">
        <f>Données!W175</f>
        <v>-7754.07</v>
      </c>
      <c r="K175" s="8">
        <f>+Données!Q175</f>
        <v>550.91999999999996</v>
      </c>
      <c r="L175" s="350">
        <f t="shared" si="7"/>
        <v>7543480.29</v>
      </c>
      <c r="M175" s="8">
        <f>+Données!F175</f>
        <v>0</v>
      </c>
      <c r="N175" s="8">
        <f>+Données!K175</f>
        <v>21403.05</v>
      </c>
      <c r="O175" s="8">
        <f>(Données!L175/Données!Y175)*1</f>
        <v>545538.53333333333</v>
      </c>
      <c r="P175" s="350">
        <f t="shared" si="8"/>
        <v>8110421.8733333331</v>
      </c>
      <c r="Q175" s="176">
        <f>+Données!X175</f>
        <v>62.5</v>
      </c>
      <c r="R175" s="350">
        <f t="shared" si="9"/>
        <v>129766.74997333332</v>
      </c>
    </row>
    <row r="176" spans="1:18" x14ac:dyDescent="0.25">
      <c r="A176" s="7">
        <f>Données!A176</f>
        <v>5705</v>
      </c>
      <c r="B176" s="27" t="str">
        <f>Données!B176</f>
        <v>Bogis-Bossey</v>
      </c>
      <c r="C176" s="8">
        <f>Données!C176+Données!D176</f>
        <v>3431698.5199999996</v>
      </c>
      <c r="D176" s="8">
        <f>+Données!G176+Données!H176+Données!S176</f>
        <v>54281.189999999995</v>
      </c>
      <c r="E176" s="8">
        <f>+Données!E176</f>
        <v>0</v>
      </c>
      <c r="F176" s="8">
        <f>+Données!I176</f>
        <v>40643.15</v>
      </c>
      <c r="G176" s="8">
        <f>+Données!J176</f>
        <v>55908.49</v>
      </c>
      <c r="H176" s="8">
        <f>Données!U176</f>
        <v>-16935.310000000001</v>
      </c>
      <c r="I176" s="154">
        <f>Données!V176</f>
        <v>0</v>
      </c>
      <c r="J176" s="154">
        <f>Données!W176</f>
        <v>-5341.23</v>
      </c>
      <c r="K176" s="8">
        <f>+Données!Q176</f>
        <v>573.07000000000005</v>
      </c>
      <c r="L176" s="350">
        <f t="shared" si="7"/>
        <v>3560827.8799999994</v>
      </c>
      <c r="M176" s="8">
        <f>+Données!F176</f>
        <v>0</v>
      </c>
      <c r="N176" s="8">
        <f>+Données!K176</f>
        <v>3484.75</v>
      </c>
      <c r="O176" s="8">
        <f>(Données!L176/Données!Y176)*1</f>
        <v>238427.2</v>
      </c>
      <c r="P176" s="350">
        <f t="shared" si="8"/>
        <v>3802739.8299999996</v>
      </c>
      <c r="Q176" s="176">
        <f>+Données!X176</f>
        <v>74.5</v>
      </c>
      <c r="R176" s="350">
        <f t="shared" si="9"/>
        <v>51043.487651006704</v>
      </c>
    </row>
    <row r="177" spans="1:18" x14ac:dyDescent="0.25">
      <c r="A177" s="7">
        <f>Données!A177</f>
        <v>5706</v>
      </c>
      <c r="B177" s="27" t="str">
        <f>Données!B177</f>
        <v>Borex</v>
      </c>
      <c r="C177" s="8">
        <f>Données!C177+Données!D177</f>
        <v>3564788.75</v>
      </c>
      <c r="D177" s="8">
        <f>+Données!G177+Données!H177+Données!S177</f>
        <v>31866.12</v>
      </c>
      <c r="E177" s="8">
        <f>+Données!E177</f>
        <v>0</v>
      </c>
      <c r="F177" s="8">
        <f>+Données!I177</f>
        <v>44894.05</v>
      </c>
      <c r="G177" s="8">
        <f>+Données!J177</f>
        <v>26641.87</v>
      </c>
      <c r="H177" s="8">
        <f>Données!U177</f>
        <v>-17075.64</v>
      </c>
      <c r="I177" s="154">
        <f>Données!V177</f>
        <v>0</v>
      </c>
      <c r="J177" s="154">
        <f>Données!W177</f>
        <v>-13118.28</v>
      </c>
      <c r="K177" s="8">
        <f>+Données!Q177</f>
        <v>0</v>
      </c>
      <c r="L177" s="350">
        <f t="shared" si="7"/>
        <v>3637996.87</v>
      </c>
      <c r="M177" s="8">
        <f>+Données!F177</f>
        <v>0</v>
      </c>
      <c r="N177" s="8">
        <f>+Données!K177</f>
        <v>10637.7</v>
      </c>
      <c r="O177" s="8">
        <f>(Données!L177/Données!Y177)*1</f>
        <v>292244.8</v>
      </c>
      <c r="P177" s="350">
        <f t="shared" si="8"/>
        <v>3940879.37</v>
      </c>
      <c r="Q177" s="176">
        <f>+Données!X177</f>
        <v>57</v>
      </c>
      <c r="R177" s="350">
        <f t="shared" si="9"/>
        <v>69138.234561403515</v>
      </c>
    </row>
    <row r="178" spans="1:18" x14ac:dyDescent="0.25">
      <c r="A178" s="7">
        <f>Données!A178</f>
        <v>5707</v>
      </c>
      <c r="B178" s="27" t="str">
        <f>Données!B178</f>
        <v>Chavannes-de-Bogis</v>
      </c>
      <c r="C178" s="8">
        <f>Données!C178+Données!D178</f>
        <v>3722955.89</v>
      </c>
      <c r="D178" s="8">
        <f>+Données!G178+Données!H178+Données!S178</f>
        <v>661968.4800000001</v>
      </c>
      <c r="E178" s="8">
        <f>+Données!E178</f>
        <v>0</v>
      </c>
      <c r="F178" s="8">
        <f>+Données!I178</f>
        <v>31747.15</v>
      </c>
      <c r="G178" s="8">
        <f>+Données!J178</f>
        <v>68265.009999999995</v>
      </c>
      <c r="H178" s="8">
        <f>Données!U178</f>
        <v>-14652.23</v>
      </c>
      <c r="I178" s="154">
        <f>Données!V178</f>
        <v>0</v>
      </c>
      <c r="J178" s="154">
        <f>Données!W178</f>
        <v>-4370.3100000000004</v>
      </c>
      <c r="K178" s="8">
        <f>+Données!Q178</f>
        <v>2803.59</v>
      </c>
      <c r="L178" s="350">
        <f t="shared" si="7"/>
        <v>4468717.58</v>
      </c>
      <c r="M178" s="8">
        <f>+Données!F178</f>
        <v>0</v>
      </c>
      <c r="N178" s="8">
        <f>+Données!K178</f>
        <v>69453.600000000006</v>
      </c>
      <c r="O178" s="8">
        <f>(Données!L178/Données!Y178)*1</f>
        <v>495943.03333333338</v>
      </c>
      <c r="P178" s="350">
        <f t="shared" si="8"/>
        <v>5034114.2133333329</v>
      </c>
      <c r="Q178" s="176">
        <f>+Données!X178</f>
        <v>58</v>
      </c>
      <c r="R178" s="350">
        <f t="shared" si="9"/>
        <v>86795.072643678155</v>
      </c>
    </row>
    <row r="179" spans="1:18" x14ac:dyDescent="0.25">
      <c r="A179" s="7">
        <f>Données!A179</f>
        <v>5708</v>
      </c>
      <c r="B179" s="27" t="str">
        <f>Données!B179</f>
        <v>Chavannes-des-Bois</v>
      </c>
      <c r="C179" s="8">
        <f>Données!C179+Données!D179</f>
        <v>4352222.1099999994</v>
      </c>
      <c r="D179" s="8">
        <f>+Données!G179+Données!H179+Données!S179</f>
        <v>109495.67</v>
      </c>
      <c r="E179" s="8">
        <f>+Données!E179</f>
        <v>0</v>
      </c>
      <c r="F179" s="8">
        <f>+Données!I179</f>
        <v>0</v>
      </c>
      <c r="G179" s="8">
        <f>+Données!J179</f>
        <v>39265.82</v>
      </c>
      <c r="H179" s="8">
        <f>Données!U179</f>
        <v>-116497.4</v>
      </c>
      <c r="I179" s="154">
        <f>Données!V179</f>
        <v>0</v>
      </c>
      <c r="J179" s="154">
        <f>Données!W179</f>
        <v>-14207.44</v>
      </c>
      <c r="K179" s="8">
        <f>+Données!Q179</f>
        <v>0</v>
      </c>
      <c r="L179" s="350">
        <f t="shared" si="7"/>
        <v>4370278.7599999988</v>
      </c>
      <c r="M179" s="8">
        <f>+Données!F179</f>
        <v>0</v>
      </c>
      <c r="N179" s="8">
        <f>+Données!K179</f>
        <v>12314.3</v>
      </c>
      <c r="O179" s="8">
        <f>(Données!L179/Données!Y179)*1</f>
        <v>296179.20000000001</v>
      </c>
      <c r="P179" s="350">
        <f t="shared" si="8"/>
        <v>4678772.2599999988</v>
      </c>
      <c r="Q179" s="176">
        <f>+Données!X179</f>
        <v>68</v>
      </c>
      <c r="R179" s="350">
        <f t="shared" si="9"/>
        <v>68805.474411764691</v>
      </c>
    </row>
    <row r="180" spans="1:18" x14ac:dyDescent="0.25">
      <c r="A180" s="7">
        <f>Données!A180</f>
        <v>5709</v>
      </c>
      <c r="B180" s="27" t="str">
        <f>Données!B180</f>
        <v>Chéserex</v>
      </c>
      <c r="C180" s="8">
        <f>Données!C180+Données!D180</f>
        <v>4062157.87</v>
      </c>
      <c r="D180" s="8">
        <f>+Données!G180+Données!H180+Données!S180</f>
        <v>32335.100000000002</v>
      </c>
      <c r="E180" s="8">
        <f>+Données!E180</f>
        <v>0</v>
      </c>
      <c r="F180" s="8">
        <f>+Données!I180</f>
        <v>572271.35</v>
      </c>
      <c r="G180" s="8">
        <f>+Données!J180</f>
        <v>126473.49</v>
      </c>
      <c r="H180" s="8">
        <f>Données!U180</f>
        <v>-12340.81</v>
      </c>
      <c r="I180" s="154">
        <f>Données!V180</f>
        <v>0</v>
      </c>
      <c r="J180" s="154">
        <f>Données!W180</f>
        <v>-3016.02</v>
      </c>
      <c r="K180" s="8">
        <f>+Données!Q180</f>
        <v>2596.36</v>
      </c>
      <c r="L180" s="350">
        <f t="shared" si="7"/>
        <v>4780477.3400000017</v>
      </c>
      <c r="M180" s="8">
        <f>+Données!F180</f>
        <v>0</v>
      </c>
      <c r="N180" s="8">
        <f>+Données!K180</f>
        <v>6559.15</v>
      </c>
      <c r="O180" s="8">
        <f>(Données!L180/Données!Y180)*1</f>
        <v>399004.85</v>
      </c>
      <c r="P180" s="350">
        <f t="shared" si="8"/>
        <v>5186041.3400000017</v>
      </c>
      <c r="Q180" s="176">
        <f>+Données!X180</f>
        <v>57</v>
      </c>
      <c r="R180" s="350">
        <f t="shared" si="9"/>
        <v>90983.181403508803</v>
      </c>
    </row>
    <row r="181" spans="1:18" x14ac:dyDescent="0.25">
      <c r="A181" s="7">
        <f>Données!A181</f>
        <v>5710</v>
      </c>
      <c r="B181" s="27" t="str">
        <f>Données!B181</f>
        <v>Coinsins</v>
      </c>
      <c r="C181" s="8">
        <f>Données!C181+Données!D181</f>
        <v>1275328.3599999999</v>
      </c>
      <c r="D181" s="8">
        <f>+Données!G181+Données!H181+Données!S181</f>
        <v>181691.40999999997</v>
      </c>
      <c r="E181" s="8">
        <f>+Données!E181</f>
        <v>0</v>
      </c>
      <c r="F181" s="8">
        <f>+Données!I181</f>
        <v>110957.8</v>
      </c>
      <c r="G181" s="8">
        <f>+Données!J181</f>
        <v>11943.66</v>
      </c>
      <c r="H181" s="8">
        <f>Données!U181</f>
        <v>-6007.97</v>
      </c>
      <c r="I181" s="154">
        <f>Données!V181</f>
        <v>0</v>
      </c>
      <c r="J181" s="154">
        <f>Données!W181</f>
        <v>-7040.39</v>
      </c>
      <c r="K181" s="8">
        <f>+Données!Q181</f>
        <v>5617.59</v>
      </c>
      <c r="L181" s="350">
        <f t="shared" si="7"/>
        <v>1572490.46</v>
      </c>
      <c r="M181" s="8">
        <f>+Données!F181</f>
        <v>0</v>
      </c>
      <c r="N181" s="8">
        <f>+Données!K181</f>
        <v>3534.45</v>
      </c>
      <c r="O181" s="8">
        <f>(Données!L181/Données!Y181)*1</f>
        <v>134861.79999999999</v>
      </c>
      <c r="P181" s="350">
        <f t="shared" si="8"/>
        <v>1710886.71</v>
      </c>
      <c r="Q181" s="176">
        <f>+Données!X181</f>
        <v>51</v>
      </c>
      <c r="R181" s="350">
        <f t="shared" si="9"/>
        <v>33546.798235294118</v>
      </c>
    </row>
    <row r="182" spans="1:18" x14ac:dyDescent="0.25">
      <c r="A182" s="7">
        <f>Données!A182</f>
        <v>5711</v>
      </c>
      <c r="B182" s="27" t="str">
        <f>Données!B182</f>
        <v>Commugny</v>
      </c>
      <c r="C182" s="8">
        <f>Données!C182+Données!D182</f>
        <v>16141775.32</v>
      </c>
      <c r="D182" s="8">
        <f>+Données!G182+Données!H182+Données!S182</f>
        <v>67758.25</v>
      </c>
      <c r="E182" s="8">
        <f>+Données!E182</f>
        <v>0</v>
      </c>
      <c r="F182" s="8">
        <f>+Données!I182</f>
        <v>209185.35</v>
      </c>
      <c r="G182" s="8">
        <f>+Données!J182</f>
        <v>40295.019999999997</v>
      </c>
      <c r="H182" s="8">
        <f>Données!U182</f>
        <v>-20130.099999999999</v>
      </c>
      <c r="I182" s="154">
        <f>Données!V182</f>
        <v>0</v>
      </c>
      <c r="J182" s="154">
        <f>Données!W182</f>
        <v>-25925.59</v>
      </c>
      <c r="K182" s="8">
        <f>+Données!Q182</f>
        <v>0</v>
      </c>
      <c r="L182" s="350">
        <f t="shared" si="7"/>
        <v>16412958.25</v>
      </c>
      <c r="M182" s="8">
        <f>+Données!F182</f>
        <v>0</v>
      </c>
      <c r="N182" s="8">
        <f>+Données!K182</f>
        <v>18240.3</v>
      </c>
      <c r="O182" s="8">
        <f>(Données!L182/Données!Y182)*1</f>
        <v>980029.61538461538</v>
      </c>
      <c r="P182" s="350">
        <f t="shared" si="8"/>
        <v>17411228.165384617</v>
      </c>
      <c r="Q182" s="176">
        <f>+Données!X182</f>
        <v>57</v>
      </c>
      <c r="R182" s="350">
        <f t="shared" si="9"/>
        <v>305460.14325236168</v>
      </c>
    </row>
    <row r="183" spans="1:18" x14ac:dyDescent="0.25">
      <c r="A183" s="7">
        <f>Données!A183</f>
        <v>5712</v>
      </c>
      <c r="B183" s="27" t="str">
        <f>Données!B183</f>
        <v>Coppet</v>
      </c>
      <c r="C183" s="8">
        <f>Données!C183+Données!D183</f>
        <v>19373197.859999999</v>
      </c>
      <c r="D183" s="8">
        <f>+Données!G183+Données!H183+Données!S183</f>
        <v>438903.58</v>
      </c>
      <c r="E183" s="8">
        <f>+Données!E183</f>
        <v>0</v>
      </c>
      <c r="F183" s="8">
        <f>+Données!I183</f>
        <v>1297891.26</v>
      </c>
      <c r="G183" s="8">
        <f>+Données!J183</f>
        <v>104926.78</v>
      </c>
      <c r="H183" s="8">
        <f>Données!U183</f>
        <v>-28182.14</v>
      </c>
      <c r="I183" s="154">
        <f>Données!V183</f>
        <v>0</v>
      </c>
      <c r="J183" s="154">
        <f>Données!W183</f>
        <v>-49800.53</v>
      </c>
      <c r="K183" s="8">
        <f>+Données!Q183</f>
        <v>747.53</v>
      </c>
      <c r="L183" s="350">
        <f t="shared" si="7"/>
        <v>21137684.34</v>
      </c>
      <c r="M183" s="8">
        <f>+Données!F183</f>
        <v>0</v>
      </c>
      <c r="N183" s="8">
        <f>+Données!K183</f>
        <v>40505.5</v>
      </c>
      <c r="O183" s="8">
        <f>(Données!L183/Données!Y183)*1</f>
        <v>1228936.4333333333</v>
      </c>
      <c r="P183" s="350">
        <f t="shared" si="8"/>
        <v>22407126.273333333</v>
      </c>
      <c r="Q183" s="176">
        <f>+Données!X183</f>
        <v>53</v>
      </c>
      <c r="R183" s="350">
        <f t="shared" si="9"/>
        <v>422775.96742138366</v>
      </c>
    </row>
    <row r="184" spans="1:18" x14ac:dyDescent="0.25">
      <c r="A184" s="7">
        <f>Données!A184</f>
        <v>5713</v>
      </c>
      <c r="B184" s="27" t="str">
        <f>Données!B184</f>
        <v>Crans</v>
      </c>
      <c r="C184" s="8">
        <f>Données!C184+Données!D184</f>
        <v>14810468.210000001</v>
      </c>
      <c r="D184" s="8">
        <f>+Données!G184+Données!H184+Données!S184</f>
        <v>70394.03</v>
      </c>
      <c r="E184" s="8">
        <f>+Données!E184</f>
        <v>0</v>
      </c>
      <c r="F184" s="8">
        <f>+Données!I184</f>
        <v>736044.95</v>
      </c>
      <c r="G184" s="8">
        <f>+Données!J184</f>
        <v>310875.25</v>
      </c>
      <c r="H184" s="8">
        <f>Données!U184</f>
        <v>-34553.79</v>
      </c>
      <c r="I184" s="154">
        <f>Données!V184</f>
        <v>0</v>
      </c>
      <c r="J184" s="154">
        <f>Données!W184</f>
        <v>-45810.239999999998</v>
      </c>
      <c r="K184" s="8">
        <f>+Données!Q184</f>
        <v>0</v>
      </c>
      <c r="L184" s="350">
        <f t="shared" si="7"/>
        <v>15847418.41</v>
      </c>
      <c r="M184" s="8">
        <f>+Données!F184</f>
        <v>0</v>
      </c>
      <c r="N184" s="8">
        <f>+Données!K184</f>
        <v>23710.65</v>
      </c>
      <c r="O184" s="8">
        <f>(Données!L184/Données!Y184)*1</f>
        <v>900695.9</v>
      </c>
      <c r="P184" s="350">
        <f t="shared" si="8"/>
        <v>16771824.960000001</v>
      </c>
      <c r="Q184" s="176">
        <f>+Données!X184</f>
        <v>59</v>
      </c>
      <c r="R184" s="350">
        <f t="shared" si="9"/>
        <v>284268.21966101695</v>
      </c>
    </row>
    <row r="185" spans="1:18" x14ac:dyDescent="0.25">
      <c r="A185" s="7">
        <f>Données!A185</f>
        <v>5714</v>
      </c>
      <c r="B185" s="27" t="str">
        <f>Données!B185</f>
        <v>Crassier</v>
      </c>
      <c r="C185" s="8">
        <f>Données!C185+Données!D185</f>
        <v>3662617.6700000004</v>
      </c>
      <c r="D185" s="8">
        <f>+Données!G185+Données!H185+Données!S185</f>
        <v>39752.660000000003</v>
      </c>
      <c r="E185" s="8">
        <f>+Données!E185</f>
        <v>0</v>
      </c>
      <c r="F185" s="8">
        <f>+Données!I185</f>
        <v>136399.54999999999</v>
      </c>
      <c r="G185" s="8">
        <f>+Données!J185</f>
        <v>15874.79</v>
      </c>
      <c r="H185" s="8">
        <f>Données!U185</f>
        <v>-40022.769999999997</v>
      </c>
      <c r="I185" s="154">
        <f>Données!V185</f>
        <v>0</v>
      </c>
      <c r="J185" s="154">
        <f>Données!W185</f>
        <v>-4233.3599999999997</v>
      </c>
      <c r="K185" s="8">
        <f>+Données!Q185</f>
        <v>36357.440000000002</v>
      </c>
      <c r="L185" s="350">
        <f t="shared" si="7"/>
        <v>3846745.9800000004</v>
      </c>
      <c r="M185" s="8">
        <f>+Données!F185</f>
        <v>0</v>
      </c>
      <c r="N185" s="8">
        <f>+Données!K185</f>
        <v>6086.2</v>
      </c>
      <c r="O185" s="8">
        <f>(Données!L185/Données!Y185)*1</f>
        <v>305025.65000000002</v>
      </c>
      <c r="P185" s="350">
        <f t="shared" si="8"/>
        <v>4157857.8300000005</v>
      </c>
      <c r="Q185" s="176">
        <f>+Données!X185</f>
        <v>66.5</v>
      </c>
      <c r="R185" s="350">
        <f t="shared" si="9"/>
        <v>62524.177894736851</v>
      </c>
    </row>
    <row r="186" spans="1:18" x14ac:dyDescent="0.25">
      <c r="A186" s="7">
        <f>Données!A186</f>
        <v>5715</v>
      </c>
      <c r="B186" s="27" t="str">
        <f>Données!B186</f>
        <v>Duillier</v>
      </c>
      <c r="C186" s="8">
        <f>Données!C186+Données!D186</f>
        <v>3623699.96</v>
      </c>
      <c r="D186" s="8">
        <f>+Données!G186+Données!H186+Données!S186</f>
        <v>50405.159999999996</v>
      </c>
      <c r="E186" s="8">
        <f>+Données!E186</f>
        <v>0</v>
      </c>
      <c r="F186" s="8">
        <f>+Données!I186</f>
        <v>0</v>
      </c>
      <c r="G186" s="8">
        <f>+Données!J186</f>
        <v>49327.61</v>
      </c>
      <c r="H186" s="8">
        <f>Données!U186</f>
        <v>-27142.51</v>
      </c>
      <c r="I186" s="154">
        <f>Données!V186</f>
        <v>0</v>
      </c>
      <c r="J186" s="154">
        <f>Données!W186</f>
        <v>-2589</v>
      </c>
      <c r="K186" s="8">
        <f>+Données!Q186</f>
        <v>260.89</v>
      </c>
      <c r="L186" s="350">
        <f t="shared" si="7"/>
        <v>3693962.1100000003</v>
      </c>
      <c r="M186" s="8">
        <f>+Données!F186</f>
        <v>0</v>
      </c>
      <c r="N186" s="8">
        <f>+Données!K186</f>
        <v>7927.5</v>
      </c>
      <c r="O186" s="8">
        <f>(Données!L186/Données!Y186)*1</f>
        <v>294377.59999999998</v>
      </c>
      <c r="P186" s="350">
        <f t="shared" si="8"/>
        <v>3996267.2100000004</v>
      </c>
      <c r="Q186" s="176">
        <f>+Données!X186</f>
        <v>66</v>
      </c>
      <c r="R186" s="350">
        <f t="shared" si="9"/>
        <v>60549.503181818189</v>
      </c>
    </row>
    <row r="187" spans="1:18" x14ac:dyDescent="0.25">
      <c r="A187" s="7">
        <f>Données!A187</f>
        <v>5716</v>
      </c>
      <c r="B187" s="27" t="str">
        <f>Données!B187</f>
        <v>Eysins</v>
      </c>
      <c r="C187" s="8">
        <f>Données!C187+Données!D187</f>
        <v>4717786.7699999996</v>
      </c>
      <c r="D187" s="8">
        <f>+Données!G187+Données!H187+Données!S187</f>
        <v>8017213.9099999992</v>
      </c>
      <c r="E187" s="8">
        <f>+Données!E187</f>
        <v>0</v>
      </c>
      <c r="F187" s="8">
        <f>+Données!I187</f>
        <v>0</v>
      </c>
      <c r="G187" s="8">
        <f>+Données!J187</f>
        <v>228445.41</v>
      </c>
      <c r="H187" s="8">
        <f>Données!U187</f>
        <v>-44876.97</v>
      </c>
      <c r="I187" s="154">
        <f>Données!V187</f>
        <v>0</v>
      </c>
      <c r="J187" s="154">
        <f>Données!W187</f>
        <v>-10034.41</v>
      </c>
      <c r="K187" s="8">
        <f>+Données!Q187</f>
        <v>29452.22</v>
      </c>
      <c r="L187" s="350">
        <f t="shared" si="7"/>
        <v>12937986.93</v>
      </c>
      <c r="M187" s="8">
        <f>+Données!F187</f>
        <v>0</v>
      </c>
      <c r="N187" s="8">
        <f>+Données!K187</f>
        <v>177434.5</v>
      </c>
      <c r="O187" s="8">
        <f>(Données!L187/Données!Y187)*1</f>
        <v>715313.1</v>
      </c>
      <c r="P187" s="350">
        <f t="shared" si="8"/>
        <v>13830734.529999999</v>
      </c>
      <c r="Q187" s="176">
        <f>+Données!X187</f>
        <v>59.5</v>
      </c>
      <c r="R187" s="350">
        <f t="shared" si="9"/>
        <v>232449.31983193275</v>
      </c>
    </row>
    <row r="188" spans="1:18" x14ac:dyDescent="0.25">
      <c r="A188" s="7">
        <f>Données!A188</f>
        <v>5717</v>
      </c>
      <c r="B188" s="27" t="str">
        <f>Données!B188</f>
        <v>Founex</v>
      </c>
      <c r="C188" s="8">
        <f>Données!C188+Données!D188</f>
        <v>17801491.510000002</v>
      </c>
      <c r="D188" s="8">
        <f>+Données!G188+Données!H188+Données!S188</f>
        <v>168575.91</v>
      </c>
      <c r="E188" s="8">
        <f>+Données!E188</f>
        <v>0</v>
      </c>
      <c r="F188" s="8">
        <f>+Données!I188</f>
        <v>914819</v>
      </c>
      <c r="G188" s="8">
        <f>+Données!J188</f>
        <v>436267.91</v>
      </c>
      <c r="H188" s="8">
        <f>Données!U188</f>
        <v>-84608.59</v>
      </c>
      <c r="I188" s="154">
        <f>Données!V188</f>
        <v>0</v>
      </c>
      <c r="J188" s="154">
        <f>Données!W188</f>
        <v>-69241.279999999999</v>
      </c>
      <c r="K188" s="8">
        <f>+Données!Q188</f>
        <v>2961.22</v>
      </c>
      <c r="L188" s="350">
        <f t="shared" si="7"/>
        <v>19170265.68</v>
      </c>
      <c r="M188" s="8">
        <f>+Données!F188</f>
        <v>0</v>
      </c>
      <c r="N188" s="8">
        <f>+Données!K188</f>
        <v>47285.5</v>
      </c>
      <c r="O188" s="8">
        <f>(Données!L188/Données!Y188)*1</f>
        <v>1392543.4</v>
      </c>
      <c r="P188" s="350">
        <f t="shared" si="8"/>
        <v>20610094.579999998</v>
      </c>
      <c r="Q188" s="176">
        <f>+Données!X188</f>
        <v>57</v>
      </c>
      <c r="R188" s="350">
        <f t="shared" si="9"/>
        <v>361580.60666666663</v>
      </c>
    </row>
    <row r="189" spans="1:18" x14ac:dyDescent="0.25">
      <c r="A189" s="7">
        <f>Données!A189</f>
        <v>5718</v>
      </c>
      <c r="B189" s="27" t="str">
        <f>Données!B189</f>
        <v>Genolier</v>
      </c>
      <c r="C189" s="8">
        <f>Données!C189+Données!D189</f>
        <v>9825120.8599999994</v>
      </c>
      <c r="D189" s="8">
        <f>+Données!G189+Données!H189+Données!S189</f>
        <v>619592.84</v>
      </c>
      <c r="E189" s="8">
        <f>+Données!E189</f>
        <v>0</v>
      </c>
      <c r="F189" s="8">
        <f>+Données!I189</f>
        <v>371967.78</v>
      </c>
      <c r="G189" s="8">
        <f>+Données!J189</f>
        <v>229837.45</v>
      </c>
      <c r="H189" s="8">
        <f>Données!U189</f>
        <v>-96453.06</v>
      </c>
      <c r="I189" s="154">
        <f>Données!V189</f>
        <v>0</v>
      </c>
      <c r="J189" s="154">
        <f>Données!W189</f>
        <v>-11514.28</v>
      </c>
      <c r="K189" s="8">
        <f>+Données!Q189</f>
        <v>508.93</v>
      </c>
      <c r="L189" s="350">
        <f t="shared" si="7"/>
        <v>10939060.519999998</v>
      </c>
      <c r="M189" s="8">
        <f>+Données!F189</f>
        <v>0</v>
      </c>
      <c r="N189" s="8">
        <f>+Données!K189</f>
        <v>44941.65</v>
      </c>
      <c r="O189" s="8">
        <f>(Données!L189/Données!Y189)*1</f>
        <v>713959.95</v>
      </c>
      <c r="P189" s="350">
        <f t="shared" si="8"/>
        <v>11697962.119999997</v>
      </c>
      <c r="Q189" s="176">
        <f>+Données!X189</f>
        <v>55</v>
      </c>
      <c r="R189" s="350">
        <f t="shared" si="9"/>
        <v>212690.22036363633</v>
      </c>
    </row>
    <row r="190" spans="1:18" x14ac:dyDescent="0.25">
      <c r="A190" s="7">
        <f>Données!A190</f>
        <v>5719</v>
      </c>
      <c r="B190" s="27" t="str">
        <f>Données!B190</f>
        <v>Gingins</v>
      </c>
      <c r="C190" s="8">
        <f>Données!C190+Données!D190</f>
        <v>6434448.25</v>
      </c>
      <c r="D190" s="8">
        <f>+Données!G190+Données!H190+Données!S190</f>
        <v>63154.16</v>
      </c>
      <c r="E190" s="8">
        <f>+Données!E190</f>
        <v>0</v>
      </c>
      <c r="F190" s="8">
        <f>+Données!I190</f>
        <v>241425.51</v>
      </c>
      <c r="G190" s="8">
        <f>+Données!J190</f>
        <v>61880.14</v>
      </c>
      <c r="H190" s="8">
        <f>Données!U190</f>
        <v>-51834.44</v>
      </c>
      <c r="I190" s="154">
        <f>Données!V190</f>
        <v>0</v>
      </c>
      <c r="J190" s="154">
        <f>Données!W190</f>
        <v>-6168.34</v>
      </c>
      <c r="K190" s="8">
        <f>+Données!Q190</f>
        <v>335.72</v>
      </c>
      <c r="L190" s="350">
        <f t="shared" si="7"/>
        <v>6743240.9999999991</v>
      </c>
      <c r="M190" s="8">
        <f>+Données!F190</f>
        <v>0</v>
      </c>
      <c r="N190" s="8">
        <f>+Données!K190</f>
        <v>14154.3</v>
      </c>
      <c r="O190" s="8">
        <f>(Données!L190/Données!Y190)*1</f>
        <v>439152.16666666669</v>
      </c>
      <c r="P190" s="350">
        <f t="shared" si="8"/>
        <v>7196547.4666666659</v>
      </c>
      <c r="Q190" s="176">
        <f>+Données!X190</f>
        <v>60</v>
      </c>
      <c r="R190" s="350">
        <f t="shared" si="9"/>
        <v>119942.45777777776</v>
      </c>
    </row>
    <row r="191" spans="1:18" x14ac:dyDescent="0.25">
      <c r="A191" s="7">
        <f>Données!A191</f>
        <v>5720</v>
      </c>
      <c r="B191" s="27" t="str">
        <f>Données!B191</f>
        <v>Givrins</v>
      </c>
      <c r="C191" s="8">
        <f>Données!C191+Données!D191</f>
        <v>4799685.29</v>
      </c>
      <c r="D191" s="8">
        <f>+Données!G191+Données!H191+Données!S191</f>
        <v>106188.43999999999</v>
      </c>
      <c r="E191" s="8">
        <f>+Données!E191</f>
        <v>0</v>
      </c>
      <c r="F191" s="8">
        <f>+Données!I191</f>
        <v>408093.5</v>
      </c>
      <c r="G191" s="8">
        <f>+Données!J191</f>
        <v>60011.1</v>
      </c>
      <c r="H191" s="8">
        <f>Données!U191</f>
        <v>-5671.59</v>
      </c>
      <c r="I191" s="154">
        <f>Données!V191</f>
        <v>0</v>
      </c>
      <c r="J191" s="154">
        <f>Données!W191</f>
        <v>-11420.29</v>
      </c>
      <c r="K191" s="8">
        <f>+Données!Q191</f>
        <v>291.77999999999997</v>
      </c>
      <c r="L191" s="350">
        <f t="shared" si="7"/>
        <v>5357178.2300000004</v>
      </c>
      <c r="M191" s="8">
        <f>+Données!F191</f>
        <v>0</v>
      </c>
      <c r="N191" s="8">
        <f>+Données!K191</f>
        <v>0</v>
      </c>
      <c r="O191" s="8">
        <f>(Données!L191/Données!Y191)*1</f>
        <v>328921.83333333337</v>
      </c>
      <c r="P191" s="350">
        <f t="shared" si="8"/>
        <v>5686100.0633333335</v>
      </c>
      <c r="Q191" s="176">
        <f>+Données!X191</f>
        <v>67</v>
      </c>
      <c r="R191" s="350">
        <f t="shared" si="9"/>
        <v>84867.165124378109</v>
      </c>
    </row>
    <row r="192" spans="1:18" x14ac:dyDescent="0.25">
      <c r="A192" s="7">
        <f>Données!A192</f>
        <v>5721</v>
      </c>
      <c r="B192" s="27" t="str">
        <f>Données!B192</f>
        <v>Gland</v>
      </c>
      <c r="C192" s="8">
        <f>Données!C192+Données!D192</f>
        <v>30859380.539999999</v>
      </c>
      <c r="D192" s="8">
        <f>+Données!G192+Données!H192+Données!S192</f>
        <v>6116144.0000000009</v>
      </c>
      <c r="E192" s="8">
        <f>+Données!E192</f>
        <v>0</v>
      </c>
      <c r="F192" s="8">
        <f>+Données!I192</f>
        <v>704264.29</v>
      </c>
      <c r="G192" s="8">
        <f>+Données!J192</f>
        <v>1106072.03</v>
      </c>
      <c r="H192" s="8">
        <f>Données!U192</f>
        <v>-394646.63</v>
      </c>
      <c r="I192" s="154">
        <f>Données!V192</f>
        <v>0</v>
      </c>
      <c r="J192" s="154">
        <f>Données!W192</f>
        <v>-82432.990000000005</v>
      </c>
      <c r="K192" s="8">
        <f>+Données!Q192</f>
        <v>72861.02</v>
      </c>
      <c r="L192" s="350">
        <f t="shared" si="7"/>
        <v>38381642.259999998</v>
      </c>
      <c r="M192" s="8">
        <f>+Données!F192</f>
        <v>0</v>
      </c>
      <c r="N192" s="8">
        <f>+Données!K192</f>
        <v>549055.4</v>
      </c>
      <c r="O192" s="8">
        <f>(Données!L192/Données!Y192)*1</f>
        <v>3092516.35</v>
      </c>
      <c r="P192" s="350">
        <f t="shared" si="8"/>
        <v>42023214.009999998</v>
      </c>
      <c r="Q192" s="176">
        <f>+Données!X192</f>
        <v>61</v>
      </c>
      <c r="R192" s="350">
        <f t="shared" si="9"/>
        <v>688905.14770491805</v>
      </c>
    </row>
    <row r="193" spans="1:18" x14ac:dyDescent="0.25">
      <c r="A193" s="7">
        <f>Données!A193</f>
        <v>5722</v>
      </c>
      <c r="B193" s="27" t="str">
        <f>Données!B193</f>
        <v>Grens</v>
      </c>
      <c r="C193" s="8">
        <f>Données!C193+Données!D193</f>
        <v>1180107.9099999999</v>
      </c>
      <c r="D193" s="8">
        <f>+Données!G193+Données!H193+Données!S193</f>
        <v>9474.99</v>
      </c>
      <c r="E193" s="8">
        <f>+Données!E193</f>
        <v>0</v>
      </c>
      <c r="F193" s="8">
        <f>+Données!I193</f>
        <v>0</v>
      </c>
      <c r="G193" s="8">
        <f>+Données!J193</f>
        <v>14617.75</v>
      </c>
      <c r="H193" s="8">
        <f>Données!U193</f>
        <v>-10329.219999999999</v>
      </c>
      <c r="I193" s="154">
        <f>Données!V193</f>
        <v>0</v>
      </c>
      <c r="J193" s="154">
        <f>Données!W193</f>
        <v>-1074.82</v>
      </c>
      <c r="K193" s="8">
        <f>+Données!Q193</f>
        <v>2111.5100000000002</v>
      </c>
      <c r="L193" s="350">
        <f t="shared" si="7"/>
        <v>1194908.1199999999</v>
      </c>
      <c r="M193" s="8">
        <f>+Données!F193</f>
        <v>0</v>
      </c>
      <c r="N193" s="8">
        <f>+Données!K193</f>
        <v>7610.1</v>
      </c>
      <c r="O193" s="8">
        <f>(Données!L193/Données!Y193)*1</f>
        <v>94063.05</v>
      </c>
      <c r="P193" s="350">
        <f t="shared" si="8"/>
        <v>1296581.27</v>
      </c>
      <c r="Q193" s="176">
        <f>+Données!X193</f>
        <v>62</v>
      </c>
      <c r="R193" s="350">
        <f t="shared" si="9"/>
        <v>20912.601129032257</v>
      </c>
    </row>
    <row r="194" spans="1:18" x14ac:dyDescent="0.25">
      <c r="A194" s="7">
        <f>Données!A194</f>
        <v>5723</v>
      </c>
      <c r="B194" s="27" t="str">
        <f>Données!B194</f>
        <v>Mies</v>
      </c>
      <c r="C194" s="8">
        <f>Données!C194+Données!D194</f>
        <v>11133994.670000002</v>
      </c>
      <c r="D194" s="8">
        <f>+Données!G194+Données!H194+Données!S194</f>
        <v>203308.9</v>
      </c>
      <c r="E194" s="8">
        <f>+Données!E194</f>
        <v>0</v>
      </c>
      <c r="F194" s="8">
        <f>+Données!I194</f>
        <v>811487.35</v>
      </c>
      <c r="G194" s="8">
        <f>+Données!J194</f>
        <v>116354.42</v>
      </c>
      <c r="H194" s="8">
        <f>Données!U194</f>
        <v>-19160.009999999998</v>
      </c>
      <c r="I194" s="154">
        <f>Données!V194</f>
        <v>0</v>
      </c>
      <c r="J194" s="154">
        <f>Données!W194</f>
        <v>-12142.06</v>
      </c>
      <c r="K194" s="8">
        <f>+Données!Q194</f>
        <v>1682.14</v>
      </c>
      <c r="L194" s="350">
        <f t="shared" si="7"/>
        <v>12235525.410000002</v>
      </c>
      <c r="M194" s="8">
        <f>+Données!F194</f>
        <v>0</v>
      </c>
      <c r="N194" s="8">
        <f>+Données!K194</f>
        <v>48197.35</v>
      </c>
      <c r="O194" s="8">
        <f>(Données!L194/Données!Y194)*1</f>
        <v>912216.75</v>
      </c>
      <c r="P194" s="350">
        <f t="shared" si="8"/>
        <v>13195939.510000002</v>
      </c>
      <c r="Q194" s="176">
        <f>+Données!X194</f>
        <v>52</v>
      </c>
      <c r="R194" s="350">
        <f t="shared" si="9"/>
        <v>253768.06750000003</v>
      </c>
    </row>
    <row r="195" spans="1:18" x14ac:dyDescent="0.25">
      <c r="A195" s="7">
        <f>Données!A195</f>
        <v>5724</v>
      </c>
      <c r="B195" s="27" t="str">
        <f>Données!B195</f>
        <v>Nyon</v>
      </c>
      <c r="C195" s="8">
        <f>Données!C195+Données!D195</f>
        <v>69089635.100000009</v>
      </c>
      <c r="D195" s="8">
        <f>+Données!G195+Données!H195+Données!S195</f>
        <v>12335531.15</v>
      </c>
      <c r="E195" s="8">
        <f>+Données!E195</f>
        <v>0</v>
      </c>
      <c r="F195" s="8">
        <f>+Données!I195</f>
        <v>1715206.94</v>
      </c>
      <c r="G195" s="8">
        <f>+Données!J195</f>
        <v>3670882.78</v>
      </c>
      <c r="H195" s="8">
        <f>Données!U195</f>
        <v>-715916.12</v>
      </c>
      <c r="I195" s="154">
        <f>Données!V195</f>
        <v>0</v>
      </c>
      <c r="J195" s="154">
        <f>Données!W195</f>
        <v>-313374.37</v>
      </c>
      <c r="K195" s="8">
        <f>+Données!Q195</f>
        <v>96535.7</v>
      </c>
      <c r="L195" s="350">
        <f t="shared" si="7"/>
        <v>85878501.180000007</v>
      </c>
      <c r="M195" s="8">
        <f>+Données!F195</f>
        <v>0</v>
      </c>
      <c r="N195" s="8">
        <f>+Données!K195</f>
        <v>988000.25</v>
      </c>
      <c r="O195" s="8">
        <f>(Données!L195/Données!Y195)*1</f>
        <v>5852701.5</v>
      </c>
      <c r="P195" s="350">
        <f t="shared" si="8"/>
        <v>92719202.930000007</v>
      </c>
      <c r="Q195" s="176">
        <f>+Données!X195</f>
        <v>61</v>
      </c>
      <c r="R195" s="350">
        <f t="shared" si="9"/>
        <v>1519986.9332786887</v>
      </c>
    </row>
    <row r="196" spans="1:18" x14ac:dyDescent="0.25">
      <c r="A196" s="7">
        <f>Données!A196</f>
        <v>5725</v>
      </c>
      <c r="B196" s="27" t="str">
        <f>Données!B196</f>
        <v>Prangins</v>
      </c>
      <c r="C196" s="8">
        <f>Données!C196+Données!D196</f>
        <v>16051041.279999999</v>
      </c>
      <c r="D196" s="8">
        <f>+Données!G196+Données!H196+Données!S196</f>
        <v>3597450.95</v>
      </c>
      <c r="E196" s="8">
        <f>+Données!E196</f>
        <v>0</v>
      </c>
      <c r="F196" s="8">
        <f>+Données!I196</f>
        <v>233253.24</v>
      </c>
      <c r="G196" s="8">
        <f>+Données!J196</f>
        <v>351423.62</v>
      </c>
      <c r="H196" s="8">
        <f>Données!U196</f>
        <v>-56734.69</v>
      </c>
      <c r="I196" s="154">
        <f>Données!V196</f>
        <v>0</v>
      </c>
      <c r="J196" s="154">
        <f>Données!W196</f>
        <v>-31802.03</v>
      </c>
      <c r="K196" s="8">
        <f>+Données!Q196</f>
        <v>14979.36</v>
      </c>
      <c r="L196" s="350">
        <f t="shared" si="7"/>
        <v>20159611.729999997</v>
      </c>
      <c r="M196" s="8">
        <f>+Données!F196</f>
        <v>0</v>
      </c>
      <c r="N196" s="8">
        <f>+Données!K196</f>
        <v>3441.35</v>
      </c>
      <c r="O196" s="8">
        <f>(Données!L196/Données!Y196)*1</f>
        <v>1226815.7142857143</v>
      </c>
      <c r="P196" s="350">
        <f t="shared" si="8"/>
        <v>21389868.794285711</v>
      </c>
      <c r="Q196" s="176">
        <f>+Données!X196</f>
        <v>55</v>
      </c>
      <c r="R196" s="350">
        <f t="shared" si="9"/>
        <v>388906.70535064931</v>
      </c>
    </row>
    <row r="197" spans="1:18" x14ac:dyDescent="0.25">
      <c r="A197" s="7">
        <f>Données!A197</f>
        <v>5726</v>
      </c>
      <c r="B197" s="27" t="str">
        <f>Données!B197</f>
        <v>La Rippe</v>
      </c>
      <c r="C197" s="8">
        <f>Données!C197+Données!D197</f>
        <v>4113973.1900000004</v>
      </c>
      <c r="D197" s="8">
        <f>+Données!G197+Données!H197+Données!S197</f>
        <v>61698.91</v>
      </c>
      <c r="E197" s="8">
        <f>+Données!E197</f>
        <v>0</v>
      </c>
      <c r="F197" s="8">
        <f>+Données!I197</f>
        <v>0</v>
      </c>
      <c r="G197" s="8">
        <f>+Données!J197</f>
        <v>22978.07</v>
      </c>
      <c r="H197" s="8">
        <f>Données!U197</f>
        <v>-13878.86</v>
      </c>
      <c r="I197" s="154">
        <f>Données!V197</f>
        <v>0</v>
      </c>
      <c r="J197" s="154">
        <f>Données!W197</f>
        <v>-8116.34</v>
      </c>
      <c r="K197" s="8">
        <f>+Données!Q197</f>
        <v>2449.34</v>
      </c>
      <c r="L197" s="350">
        <f t="shared" si="7"/>
        <v>4179104.310000001</v>
      </c>
      <c r="M197" s="8">
        <f>+Données!F197</f>
        <v>0</v>
      </c>
      <c r="N197" s="8">
        <f>+Données!K197</f>
        <v>3844.55</v>
      </c>
      <c r="O197" s="8">
        <f>(Données!L197/Données!Y197)*1</f>
        <v>283300.25</v>
      </c>
      <c r="P197" s="350">
        <f t="shared" si="8"/>
        <v>4466249.1100000013</v>
      </c>
      <c r="Q197" s="176">
        <f>+Données!X197</f>
        <v>64</v>
      </c>
      <c r="R197" s="350">
        <f t="shared" si="9"/>
        <v>69785.14234375002</v>
      </c>
    </row>
    <row r="198" spans="1:18" x14ac:dyDescent="0.25">
      <c r="A198" s="7">
        <f>Données!A198</f>
        <v>5727</v>
      </c>
      <c r="B198" s="27" t="str">
        <f>Données!B198</f>
        <v>Saint-Cergue</v>
      </c>
      <c r="C198" s="8">
        <f>Données!C198+Données!D198</f>
        <v>6175671.2600000007</v>
      </c>
      <c r="D198" s="8">
        <f>+Données!G198+Données!H198+Données!S198</f>
        <v>95246.739999999991</v>
      </c>
      <c r="E198" s="8">
        <f>+Données!E198</f>
        <v>0</v>
      </c>
      <c r="F198" s="8">
        <f>+Données!I198</f>
        <v>124144.95</v>
      </c>
      <c r="G198" s="8">
        <f>+Données!J198</f>
        <v>178037.69</v>
      </c>
      <c r="H198" s="8">
        <f>Données!U198</f>
        <v>-103567.36</v>
      </c>
      <c r="I198" s="154">
        <f>Données!V198</f>
        <v>0</v>
      </c>
      <c r="J198" s="154">
        <f>Données!W198</f>
        <v>-2496.9699999999998</v>
      </c>
      <c r="K198" s="8">
        <f>+Données!Q198</f>
        <v>22195.84</v>
      </c>
      <c r="L198" s="350">
        <f t="shared" si="7"/>
        <v>6489232.1500000013</v>
      </c>
      <c r="M198" s="8">
        <f>+Données!F198</f>
        <v>0</v>
      </c>
      <c r="N198" s="8">
        <f>+Données!K198</f>
        <v>13925.4</v>
      </c>
      <c r="O198" s="8">
        <f>(Données!L198/Données!Y198)*1</f>
        <v>561945.1</v>
      </c>
      <c r="P198" s="350">
        <f t="shared" si="8"/>
        <v>7065102.6500000013</v>
      </c>
      <c r="Q198" s="176">
        <f>+Données!X198</f>
        <v>66</v>
      </c>
      <c r="R198" s="350">
        <f t="shared" si="9"/>
        <v>107047.00984848487</v>
      </c>
    </row>
    <row r="199" spans="1:18" x14ac:dyDescent="0.25">
      <c r="A199" s="7">
        <f>Données!A199</f>
        <v>5728</v>
      </c>
      <c r="B199" s="27" t="str">
        <f>Données!B199</f>
        <v>Signy-Avenex</v>
      </c>
      <c r="C199" s="8">
        <f>Données!C199+Données!D199</f>
        <v>1502929.57</v>
      </c>
      <c r="D199" s="8">
        <f>+Données!G199+Données!H199+Données!S199</f>
        <v>1882203.5899999999</v>
      </c>
      <c r="E199" s="8">
        <f>+Données!E199</f>
        <v>0</v>
      </c>
      <c r="F199" s="8">
        <f>+Données!I199</f>
        <v>31747.15</v>
      </c>
      <c r="G199" s="8">
        <f>+Données!J199</f>
        <v>101609.01</v>
      </c>
      <c r="H199" s="8">
        <f>Données!U199</f>
        <v>-4453.88</v>
      </c>
      <c r="I199" s="154">
        <f>Données!V199</f>
        <v>0</v>
      </c>
      <c r="J199" s="154">
        <f>Données!W199</f>
        <v>-594.04</v>
      </c>
      <c r="K199" s="8">
        <f>+Données!Q199</f>
        <v>0</v>
      </c>
      <c r="L199" s="350">
        <f t="shared" ref="L199:L262" si="10">SUM(C199:K199)</f>
        <v>3513441.4</v>
      </c>
      <c r="M199" s="8">
        <f>+Données!F199</f>
        <v>0</v>
      </c>
      <c r="N199" s="8">
        <f>+Données!K199</f>
        <v>61900.95</v>
      </c>
      <c r="O199" s="8">
        <f>(Données!L199/Données!Y199)*1</f>
        <v>251197</v>
      </c>
      <c r="P199" s="350">
        <f t="shared" ref="P199:P262" si="11">SUM(L199:O199)</f>
        <v>3826539.35</v>
      </c>
      <c r="Q199" s="176">
        <f>+Données!X199</f>
        <v>58</v>
      </c>
      <c r="R199" s="350">
        <f t="shared" ref="R199:R262" si="12">P199/Q199</f>
        <v>65974.816379310345</v>
      </c>
    </row>
    <row r="200" spans="1:18" x14ac:dyDescent="0.25">
      <c r="A200" s="7">
        <f>Données!A200</f>
        <v>5729</v>
      </c>
      <c r="B200" s="27" t="str">
        <f>Données!B200</f>
        <v>Tannay</v>
      </c>
      <c r="C200" s="8">
        <f>Données!C200+Données!D200</f>
        <v>10289444.710000001</v>
      </c>
      <c r="D200" s="8">
        <f>+Données!G200+Données!H200+Données!S200</f>
        <v>151864.47</v>
      </c>
      <c r="E200" s="8">
        <f>+Données!E200</f>
        <v>0</v>
      </c>
      <c r="F200" s="8">
        <f>+Données!I200</f>
        <v>276331.74</v>
      </c>
      <c r="G200" s="8">
        <f>+Données!J200</f>
        <v>116052.55</v>
      </c>
      <c r="H200" s="8">
        <f>Données!U200</f>
        <v>-11869.97</v>
      </c>
      <c r="I200" s="154">
        <f>Données!V200</f>
        <v>0</v>
      </c>
      <c r="J200" s="154">
        <f>Données!W200</f>
        <v>-9829.84</v>
      </c>
      <c r="K200" s="8">
        <f>+Données!Q200</f>
        <v>1976.72</v>
      </c>
      <c r="L200" s="350">
        <f t="shared" si="10"/>
        <v>10813970.380000003</v>
      </c>
      <c r="M200" s="8">
        <f>+Données!F200</f>
        <v>0</v>
      </c>
      <c r="N200" s="8">
        <f>+Données!K200</f>
        <v>4704.75</v>
      </c>
      <c r="O200" s="8">
        <f>(Données!L200/Données!Y200)*1</f>
        <v>620898.46666666667</v>
      </c>
      <c r="P200" s="350">
        <f t="shared" si="11"/>
        <v>11439573.596666669</v>
      </c>
      <c r="Q200" s="176">
        <f>+Données!X200</f>
        <v>60.5</v>
      </c>
      <c r="R200" s="350">
        <f t="shared" si="12"/>
        <v>189083.86110192843</v>
      </c>
    </row>
    <row r="201" spans="1:18" x14ac:dyDescent="0.25">
      <c r="A201" s="7">
        <f>Données!A201</f>
        <v>5730</v>
      </c>
      <c r="B201" s="27" t="str">
        <f>Données!B201</f>
        <v>Trélex</v>
      </c>
      <c r="C201" s="8">
        <f>Données!C201+Données!D201</f>
        <v>6196992.1199999992</v>
      </c>
      <c r="D201" s="8">
        <f>+Données!G201+Données!H201+Données!S201</f>
        <v>52759.07</v>
      </c>
      <c r="E201" s="8">
        <f>+Données!E201</f>
        <v>0</v>
      </c>
      <c r="F201" s="8">
        <f>+Données!I201</f>
        <v>26419.7</v>
      </c>
      <c r="G201" s="8">
        <f>+Données!J201</f>
        <v>45125.73</v>
      </c>
      <c r="H201" s="8">
        <f>Données!U201</f>
        <v>-831.72</v>
      </c>
      <c r="I201" s="154">
        <f>Données!V201</f>
        <v>0</v>
      </c>
      <c r="J201" s="154">
        <f>Données!W201</f>
        <v>-51672.72</v>
      </c>
      <c r="K201" s="8">
        <f>+Données!Q201</f>
        <v>1309.83</v>
      </c>
      <c r="L201" s="350">
        <f t="shared" si="10"/>
        <v>6270102.0100000007</v>
      </c>
      <c r="M201" s="8">
        <f>+Données!F201</f>
        <v>0</v>
      </c>
      <c r="N201" s="8">
        <f>+Données!K201</f>
        <v>-348.5</v>
      </c>
      <c r="O201" s="8">
        <f>(Données!L201/Données!Y201)*1</f>
        <v>468700.27777777775</v>
      </c>
      <c r="P201" s="350">
        <f t="shared" si="11"/>
        <v>6738453.7877777787</v>
      </c>
      <c r="Q201" s="176">
        <f>+Données!X201</f>
        <v>55.5</v>
      </c>
      <c r="R201" s="350">
        <f t="shared" si="12"/>
        <v>121413.58176176177</v>
      </c>
    </row>
    <row r="202" spans="1:18" x14ac:dyDescent="0.25">
      <c r="A202" s="7">
        <f>Données!A202</f>
        <v>5731</v>
      </c>
      <c r="B202" s="27" t="str">
        <f>Données!B202</f>
        <v>Le Vaud</v>
      </c>
      <c r="C202" s="8">
        <f>Données!C202+Données!D202</f>
        <v>4830164.26</v>
      </c>
      <c r="D202" s="8">
        <f>+Données!G202+Données!H202+Données!S202</f>
        <v>25624.910000000003</v>
      </c>
      <c r="E202" s="8">
        <f>+Données!E202</f>
        <v>0</v>
      </c>
      <c r="F202" s="8">
        <f>+Données!I202</f>
        <v>0</v>
      </c>
      <c r="G202" s="8">
        <f>+Données!J202</f>
        <v>25446.400000000001</v>
      </c>
      <c r="H202" s="8">
        <f>Données!U202</f>
        <v>-7219.37</v>
      </c>
      <c r="I202" s="154">
        <f>Données!V202</f>
        <v>0</v>
      </c>
      <c r="J202" s="154">
        <f>Données!W202</f>
        <v>-14946.04</v>
      </c>
      <c r="K202" s="8">
        <f>+Données!Q202</f>
        <v>0</v>
      </c>
      <c r="L202" s="350">
        <f t="shared" si="10"/>
        <v>4859070.16</v>
      </c>
      <c r="M202" s="8">
        <f>+Données!F202</f>
        <v>0</v>
      </c>
      <c r="N202" s="8">
        <f>+Données!K202</f>
        <v>4266.5</v>
      </c>
      <c r="O202" s="8">
        <f>(Données!L202/Données!Y202)*1</f>
        <v>287824.2</v>
      </c>
      <c r="P202" s="350">
        <f t="shared" si="11"/>
        <v>5151160.8600000003</v>
      </c>
      <c r="Q202" s="176">
        <f>+Données!X202</f>
        <v>74</v>
      </c>
      <c r="R202" s="350">
        <f t="shared" si="12"/>
        <v>69610.281891891893</v>
      </c>
    </row>
    <row r="203" spans="1:18" x14ac:dyDescent="0.25">
      <c r="A203" s="7">
        <f>Données!A203</f>
        <v>5732</v>
      </c>
      <c r="B203" s="27" t="str">
        <f>Données!B203</f>
        <v>Vich</v>
      </c>
      <c r="C203" s="8">
        <f>Données!C203+Données!D203</f>
        <v>4249652.82</v>
      </c>
      <c r="D203" s="8">
        <f>+Données!G203+Données!H203+Données!S203</f>
        <v>159384.22</v>
      </c>
      <c r="E203" s="8">
        <f>+Données!E203</f>
        <v>0</v>
      </c>
      <c r="F203" s="8">
        <f>+Données!I203</f>
        <v>192797.15</v>
      </c>
      <c r="G203" s="8">
        <f>+Données!J203</f>
        <v>60315.69</v>
      </c>
      <c r="H203" s="8">
        <f>Données!U203</f>
        <v>-29175.56</v>
      </c>
      <c r="I203" s="154">
        <f>Données!V203</f>
        <v>0</v>
      </c>
      <c r="J203" s="154">
        <f>Données!W203</f>
        <v>-1041.67</v>
      </c>
      <c r="K203" s="8">
        <f>+Données!Q203</f>
        <v>1233.95</v>
      </c>
      <c r="L203" s="350">
        <f t="shared" si="10"/>
        <v>4633166.6000000015</v>
      </c>
      <c r="M203" s="8">
        <f>+Données!F203</f>
        <v>0</v>
      </c>
      <c r="N203" s="8">
        <f>+Données!K203</f>
        <v>21944.799999999999</v>
      </c>
      <c r="O203" s="8">
        <f>(Données!L203/Données!Y203)*1</f>
        <v>376050.75</v>
      </c>
      <c r="P203" s="350">
        <f t="shared" si="11"/>
        <v>5031162.1500000013</v>
      </c>
      <c r="Q203" s="176">
        <f>+Données!X203</f>
        <v>63</v>
      </c>
      <c r="R203" s="350">
        <f t="shared" si="12"/>
        <v>79859.716666666689</v>
      </c>
    </row>
    <row r="204" spans="1:18" x14ac:dyDescent="0.25">
      <c r="A204" s="7">
        <f>Données!A204</f>
        <v>5741</v>
      </c>
      <c r="B204" s="27" t="str">
        <f>Données!B204</f>
        <v>L'Abergement</v>
      </c>
      <c r="C204" s="8">
        <f>Données!C204+Données!D204</f>
        <v>806310.97</v>
      </c>
      <c r="D204" s="8">
        <f>+Données!G204+Données!H204+Données!S204</f>
        <v>13694.08</v>
      </c>
      <c r="E204" s="8">
        <f>+Données!E204</f>
        <v>0</v>
      </c>
      <c r="F204" s="8">
        <f>+Données!I204</f>
        <v>0</v>
      </c>
      <c r="G204" s="8">
        <f>+Données!J204</f>
        <v>4048.32</v>
      </c>
      <c r="H204" s="8">
        <f>Données!U204</f>
        <v>-1035.76</v>
      </c>
      <c r="I204" s="154">
        <f>Données!V204</f>
        <v>0</v>
      </c>
      <c r="J204" s="154">
        <f>Données!W204</f>
        <v>0</v>
      </c>
      <c r="K204" s="8">
        <f>+Données!Q204</f>
        <v>0</v>
      </c>
      <c r="L204" s="350">
        <f t="shared" si="10"/>
        <v>823017.60999999987</v>
      </c>
      <c r="M204" s="8">
        <f>+Données!F204</f>
        <v>1460</v>
      </c>
      <c r="N204" s="8">
        <f>+Données!K204</f>
        <v>0</v>
      </c>
      <c r="O204" s="8">
        <f>(Données!L204/Données!Y204)*1</f>
        <v>42223.791666666672</v>
      </c>
      <c r="P204" s="350">
        <f t="shared" si="11"/>
        <v>866701.4016666665</v>
      </c>
      <c r="Q204" s="176">
        <f>+Données!X204</f>
        <v>80</v>
      </c>
      <c r="R204" s="350">
        <f t="shared" si="12"/>
        <v>10833.767520833331</v>
      </c>
    </row>
    <row r="205" spans="1:18" x14ac:dyDescent="0.25">
      <c r="A205" s="7">
        <f>Données!A205</f>
        <v>5742</v>
      </c>
      <c r="B205" s="27" t="str">
        <f>Données!B205</f>
        <v>Agiez</v>
      </c>
      <c r="C205" s="8">
        <f>Données!C205+Données!D205</f>
        <v>620500</v>
      </c>
      <c r="D205" s="8">
        <f>+Données!G205+Données!H205+Données!S205</f>
        <v>1564.5500000000002</v>
      </c>
      <c r="E205" s="8">
        <f>+Données!E205</f>
        <v>0</v>
      </c>
      <c r="F205" s="8">
        <f>+Données!I205</f>
        <v>0</v>
      </c>
      <c r="G205" s="8">
        <f>+Données!J205</f>
        <v>10294.01</v>
      </c>
      <c r="H205" s="8">
        <f>Données!U205</f>
        <v>-7228.01</v>
      </c>
      <c r="I205" s="154">
        <f>Données!V205</f>
        <v>0</v>
      </c>
      <c r="J205" s="154">
        <f>Données!W205</f>
        <v>0</v>
      </c>
      <c r="K205" s="8">
        <f>+Données!Q205</f>
        <v>-102.83</v>
      </c>
      <c r="L205" s="350">
        <f t="shared" si="10"/>
        <v>625027.72000000009</v>
      </c>
      <c r="M205" s="8">
        <f>+Données!F205</f>
        <v>0</v>
      </c>
      <c r="N205" s="8">
        <f>+Données!K205</f>
        <v>2503.8000000000002</v>
      </c>
      <c r="O205" s="8">
        <f>(Données!L205/Données!Y205)*1</f>
        <v>60194</v>
      </c>
      <c r="P205" s="350">
        <f t="shared" si="11"/>
        <v>687725.52000000014</v>
      </c>
      <c r="Q205" s="176">
        <f>+Données!X205</f>
        <v>76</v>
      </c>
      <c r="R205" s="350">
        <f t="shared" si="12"/>
        <v>9049.0200000000023</v>
      </c>
    </row>
    <row r="206" spans="1:18" x14ac:dyDescent="0.25">
      <c r="A206" s="7">
        <f>Données!A206</f>
        <v>5743</v>
      </c>
      <c r="B206" s="27" t="str">
        <f>Données!B206</f>
        <v>Arnex-sur-Orbe</v>
      </c>
      <c r="C206" s="8">
        <f>Données!C206+Données!D206</f>
        <v>1283235.48</v>
      </c>
      <c r="D206" s="8">
        <f>+Données!G206+Données!H206+Données!S206</f>
        <v>9772.02</v>
      </c>
      <c r="E206" s="8">
        <f>+Données!E206</f>
        <v>0</v>
      </c>
      <c r="F206" s="8">
        <f>+Données!I206</f>
        <v>0</v>
      </c>
      <c r="G206" s="8">
        <f>+Données!J206</f>
        <v>10409.280000000001</v>
      </c>
      <c r="H206" s="8">
        <f>Données!U206</f>
        <v>-15848.19</v>
      </c>
      <c r="I206" s="154">
        <f>Données!V206</f>
        <v>0</v>
      </c>
      <c r="J206" s="154">
        <f>Données!W206</f>
        <v>-254.75</v>
      </c>
      <c r="K206" s="8">
        <f>+Données!Q206</f>
        <v>0</v>
      </c>
      <c r="L206" s="350">
        <f t="shared" si="10"/>
        <v>1287313.8400000001</v>
      </c>
      <c r="M206" s="8">
        <f>+Données!F206</f>
        <v>0</v>
      </c>
      <c r="N206" s="8">
        <f>+Données!K206</f>
        <v>0</v>
      </c>
      <c r="O206" s="8">
        <f>(Données!L206/Données!Y206)*1</f>
        <v>91750</v>
      </c>
      <c r="P206" s="350">
        <f t="shared" si="11"/>
        <v>1379063.84</v>
      </c>
      <c r="Q206" s="176">
        <f>+Données!X206</f>
        <v>71</v>
      </c>
      <c r="R206" s="350">
        <f t="shared" si="12"/>
        <v>19423.434366197183</v>
      </c>
    </row>
    <row r="207" spans="1:18" x14ac:dyDescent="0.25">
      <c r="A207" s="7">
        <f>Données!A207</f>
        <v>5744</v>
      </c>
      <c r="B207" s="27" t="str">
        <f>Données!B207</f>
        <v>Ballaigues</v>
      </c>
      <c r="C207" s="8">
        <f>Données!C207+Données!D207</f>
        <v>1563067.19</v>
      </c>
      <c r="D207" s="8">
        <f>+Données!G207+Données!H207+Données!S207</f>
        <v>1739722.1300000001</v>
      </c>
      <c r="E207" s="8">
        <f>+Données!E207</f>
        <v>0</v>
      </c>
      <c r="F207" s="8">
        <f>+Données!I207</f>
        <v>0</v>
      </c>
      <c r="G207" s="8">
        <f>+Données!J207</f>
        <v>113583.97</v>
      </c>
      <c r="H207" s="8">
        <f>Données!U207</f>
        <v>-160539.53</v>
      </c>
      <c r="I207" s="154">
        <f>Données!V207</f>
        <v>0</v>
      </c>
      <c r="J207" s="154">
        <f>Données!W207</f>
        <v>-296.76</v>
      </c>
      <c r="K207" s="8">
        <f>+Données!Q207</f>
        <v>65903.78</v>
      </c>
      <c r="L207" s="350">
        <f t="shared" si="10"/>
        <v>3321440.7800000007</v>
      </c>
      <c r="M207" s="8">
        <f>+Données!F207</f>
        <v>0</v>
      </c>
      <c r="N207" s="8">
        <f>+Données!K207</f>
        <v>-48.5</v>
      </c>
      <c r="O207" s="8">
        <f>(Données!L207/Données!Y207)*1</f>
        <v>194048.5</v>
      </c>
      <c r="P207" s="350">
        <f t="shared" si="11"/>
        <v>3515440.7800000007</v>
      </c>
      <c r="Q207" s="176">
        <f>+Données!X207</f>
        <v>65</v>
      </c>
      <c r="R207" s="350">
        <f t="shared" si="12"/>
        <v>54083.704307692322</v>
      </c>
    </row>
    <row r="208" spans="1:18" x14ac:dyDescent="0.25">
      <c r="A208" s="7">
        <f>Données!A208</f>
        <v>5745</v>
      </c>
      <c r="B208" s="27" t="str">
        <f>Données!B208</f>
        <v>Baulmes</v>
      </c>
      <c r="C208" s="8">
        <f>Données!C208+Données!D208</f>
        <v>1876738.7</v>
      </c>
      <c r="D208" s="8">
        <f>+Données!G208+Données!H208+Données!S208</f>
        <v>46391.499999999993</v>
      </c>
      <c r="E208" s="8">
        <f>+Données!E208</f>
        <v>0</v>
      </c>
      <c r="F208" s="8">
        <f>+Données!I208</f>
        <v>0</v>
      </c>
      <c r="G208" s="8">
        <f>+Données!J208</f>
        <v>55170.58</v>
      </c>
      <c r="H208" s="8">
        <f>Données!U208</f>
        <v>-31362.83</v>
      </c>
      <c r="I208" s="154">
        <f>Données!V208</f>
        <v>0</v>
      </c>
      <c r="J208" s="154">
        <f>Données!W208</f>
        <v>-7.67</v>
      </c>
      <c r="K208" s="8">
        <f>+Données!Q208</f>
        <v>14956.61</v>
      </c>
      <c r="L208" s="350">
        <f t="shared" si="10"/>
        <v>1961886.8900000001</v>
      </c>
      <c r="M208" s="8">
        <f>+Données!F208</f>
        <v>0</v>
      </c>
      <c r="N208" s="8">
        <f>+Données!K208</f>
        <v>0</v>
      </c>
      <c r="O208" s="8">
        <f>(Données!L208/Données!Y208)*1</f>
        <v>157516.54999999999</v>
      </c>
      <c r="P208" s="350">
        <f t="shared" si="11"/>
        <v>2119403.44</v>
      </c>
      <c r="Q208" s="176">
        <f>+Données!X208</f>
        <v>76.5</v>
      </c>
      <c r="R208" s="350">
        <f t="shared" si="12"/>
        <v>27704.620130718955</v>
      </c>
    </row>
    <row r="209" spans="1:18" x14ac:dyDescent="0.25">
      <c r="A209" s="7">
        <f>Données!A209</f>
        <v>5746</v>
      </c>
      <c r="B209" s="27" t="str">
        <f>Données!B209</f>
        <v>Bavois</v>
      </c>
      <c r="C209" s="8">
        <f>Données!C209+Données!D209</f>
        <v>1854266.94</v>
      </c>
      <c r="D209" s="8">
        <f>+Données!G209+Données!H209+Données!S209</f>
        <v>47158.63</v>
      </c>
      <c r="E209" s="8">
        <f>+Données!E209</f>
        <v>0</v>
      </c>
      <c r="F209" s="8">
        <f>+Données!I209</f>
        <v>0</v>
      </c>
      <c r="G209" s="8">
        <f>+Données!J209</f>
        <v>23610.65</v>
      </c>
      <c r="H209" s="8">
        <f>Données!U209</f>
        <v>-26059.63</v>
      </c>
      <c r="I209" s="154">
        <f>Données!V209</f>
        <v>0</v>
      </c>
      <c r="J209" s="154">
        <f>Données!W209</f>
        <v>-82.3</v>
      </c>
      <c r="K209" s="8">
        <f>+Données!Q209</f>
        <v>12580.98</v>
      </c>
      <c r="L209" s="350">
        <f t="shared" si="10"/>
        <v>1911475.2699999998</v>
      </c>
      <c r="M209" s="8">
        <f>+Données!F209</f>
        <v>0</v>
      </c>
      <c r="N209" s="8">
        <f>+Données!K209</f>
        <v>18702.25</v>
      </c>
      <c r="O209" s="8">
        <f>(Données!L209/Données!Y209)*1</f>
        <v>194763.45833333334</v>
      </c>
      <c r="P209" s="350">
        <f t="shared" si="11"/>
        <v>2124940.978333333</v>
      </c>
      <c r="Q209" s="176">
        <f>+Données!X209</f>
        <v>72</v>
      </c>
      <c r="R209" s="350">
        <f t="shared" si="12"/>
        <v>29513.069143518514</v>
      </c>
    </row>
    <row r="210" spans="1:18" x14ac:dyDescent="0.25">
      <c r="A210" s="7">
        <f>Données!A210</f>
        <v>5747</v>
      </c>
      <c r="B210" s="27" t="str">
        <f>Données!B210</f>
        <v>Bofflens</v>
      </c>
      <c r="C210" s="8">
        <f>Données!C210+Données!D210</f>
        <v>358318.95999999996</v>
      </c>
      <c r="D210" s="8">
        <f>+Données!G210+Données!H210+Données!S210</f>
        <v>6559.7699999999995</v>
      </c>
      <c r="E210" s="8">
        <f>+Données!E210</f>
        <v>0</v>
      </c>
      <c r="F210" s="8">
        <f>+Données!I210</f>
        <v>0</v>
      </c>
      <c r="G210" s="8">
        <f>+Données!J210</f>
        <v>1547.98</v>
      </c>
      <c r="H210" s="8">
        <f>Données!U210</f>
        <v>-3404.14</v>
      </c>
      <c r="I210" s="154">
        <f>Données!V210</f>
        <v>0</v>
      </c>
      <c r="J210" s="154">
        <f>Données!W210</f>
        <v>-21.65</v>
      </c>
      <c r="K210" s="8">
        <f>+Données!Q210</f>
        <v>1379.35</v>
      </c>
      <c r="L210" s="350">
        <f t="shared" si="10"/>
        <v>364380.2699999999</v>
      </c>
      <c r="M210" s="8">
        <f>+Données!F210</f>
        <v>0</v>
      </c>
      <c r="N210" s="8">
        <f>+Données!K210</f>
        <v>0</v>
      </c>
      <c r="O210" s="8">
        <f>(Données!L210/Données!Y210)*1</f>
        <v>34299.1</v>
      </c>
      <c r="P210" s="350">
        <f t="shared" si="11"/>
        <v>398679.36999999988</v>
      </c>
      <c r="Q210" s="176">
        <f>+Données!X210</f>
        <v>69</v>
      </c>
      <c r="R210" s="350">
        <f t="shared" si="12"/>
        <v>5777.9618840579697</v>
      </c>
    </row>
    <row r="211" spans="1:18" x14ac:dyDescent="0.25">
      <c r="A211" s="7">
        <f>Données!A211</f>
        <v>5748</v>
      </c>
      <c r="B211" s="27" t="str">
        <f>Données!B211</f>
        <v>Bretonnières</v>
      </c>
      <c r="C211" s="8">
        <f>Données!C211+Données!D211</f>
        <v>433032.94</v>
      </c>
      <c r="D211" s="8">
        <f>+Données!G211+Données!H211+Données!S211</f>
        <v>3043.91</v>
      </c>
      <c r="E211" s="8">
        <f>+Données!E211</f>
        <v>0</v>
      </c>
      <c r="F211" s="8">
        <f>+Données!I211</f>
        <v>0</v>
      </c>
      <c r="G211" s="8">
        <f>+Données!J211</f>
        <v>407.17</v>
      </c>
      <c r="H211" s="8">
        <f>Données!U211</f>
        <v>-1012</v>
      </c>
      <c r="I211" s="154">
        <f>Données!V211</f>
        <v>0</v>
      </c>
      <c r="J211" s="154">
        <f>Données!W211</f>
        <v>0</v>
      </c>
      <c r="K211" s="8">
        <f>+Données!Q211</f>
        <v>706.77</v>
      </c>
      <c r="L211" s="350">
        <f t="shared" si="10"/>
        <v>436178.79</v>
      </c>
      <c r="M211" s="8">
        <f>+Données!F211</f>
        <v>2100</v>
      </c>
      <c r="N211" s="8">
        <f>+Données!K211</f>
        <v>0</v>
      </c>
      <c r="O211" s="8">
        <f>(Données!L211/Données!Y211)*1</f>
        <v>38473.333333333336</v>
      </c>
      <c r="P211" s="350">
        <f t="shared" si="11"/>
        <v>476752.12333333329</v>
      </c>
      <c r="Q211" s="176">
        <f>+Données!X211</f>
        <v>70.5</v>
      </c>
      <c r="R211" s="350">
        <f t="shared" si="12"/>
        <v>6762.44146572104</v>
      </c>
    </row>
    <row r="212" spans="1:18" x14ac:dyDescent="0.25">
      <c r="A212" s="7">
        <f>Données!A212</f>
        <v>5749</v>
      </c>
      <c r="B212" s="27" t="str">
        <f>Données!B212</f>
        <v>Chavornay</v>
      </c>
      <c r="C212" s="8">
        <f>Données!C212+Données!D212</f>
        <v>8855848.0199999996</v>
      </c>
      <c r="D212" s="8">
        <f>+Données!G212+Données!H212+Données!S212</f>
        <v>348206.52</v>
      </c>
      <c r="E212" s="8">
        <f>+Données!E212</f>
        <v>0</v>
      </c>
      <c r="F212" s="8">
        <f>+Données!I212</f>
        <v>0</v>
      </c>
      <c r="G212" s="8">
        <f>+Données!J212</f>
        <v>239200.22</v>
      </c>
      <c r="H212" s="8">
        <f>Données!U212</f>
        <v>-215484.9</v>
      </c>
      <c r="I212" s="154">
        <f>Données!V212</f>
        <v>0</v>
      </c>
      <c r="J212" s="154">
        <f>Données!W212</f>
        <v>-1707.14</v>
      </c>
      <c r="K212" s="8">
        <f>+Données!Q212</f>
        <v>31539.69</v>
      </c>
      <c r="L212" s="350">
        <f t="shared" si="10"/>
        <v>9257602.4099999983</v>
      </c>
      <c r="M212" s="8">
        <f>+Données!F212</f>
        <v>0</v>
      </c>
      <c r="N212" s="8">
        <f>+Données!K212</f>
        <v>56988.7</v>
      </c>
      <c r="O212" s="8">
        <f>(Données!L212/Données!Y212)*1</f>
        <v>885922.05</v>
      </c>
      <c r="P212" s="350">
        <f t="shared" si="11"/>
        <v>10200513.159999998</v>
      </c>
      <c r="Q212" s="176">
        <f>+Données!X212</f>
        <v>70.5</v>
      </c>
      <c r="R212" s="350">
        <f t="shared" si="12"/>
        <v>144688.12992907799</v>
      </c>
    </row>
    <row r="213" spans="1:18" x14ac:dyDescent="0.25">
      <c r="A213" s="7">
        <f>Données!A213</f>
        <v>5750</v>
      </c>
      <c r="B213" s="27" t="str">
        <f>Données!B213</f>
        <v>Les Clées</v>
      </c>
      <c r="C213" s="8">
        <f>Données!C213+Données!D213</f>
        <v>424767.51999999996</v>
      </c>
      <c r="D213" s="8">
        <f>+Données!G213+Données!H213+Données!S213</f>
        <v>688.21999999999991</v>
      </c>
      <c r="E213" s="8">
        <f>+Données!E213</f>
        <v>0</v>
      </c>
      <c r="F213" s="8">
        <f>+Données!I213</f>
        <v>0</v>
      </c>
      <c r="G213" s="8">
        <f>+Données!J213</f>
        <v>-2907.97</v>
      </c>
      <c r="H213" s="8">
        <f>Données!U213</f>
        <v>-9619.86</v>
      </c>
      <c r="I213" s="154">
        <f>Données!V213</f>
        <v>0</v>
      </c>
      <c r="J213" s="154">
        <f>Données!W213</f>
        <v>-49.35</v>
      </c>
      <c r="K213" s="8">
        <f>+Données!Q213</f>
        <v>0</v>
      </c>
      <c r="L213" s="350">
        <f t="shared" si="10"/>
        <v>412878.56</v>
      </c>
      <c r="M213" s="8">
        <f>+Données!F213</f>
        <v>1090</v>
      </c>
      <c r="N213" s="8">
        <f>+Données!K213</f>
        <v>-1065.55</v>
      </c>
      <c r="O213" s="8">
        <f>(Données!L213/Données!Y213)*1</f>
        <v>23932.166666666668</v>
      </c>
      <c r="P213" s="350">
        <f t="shared" si="11"/>
        <v>436835.1766666667</v>
      </c>
      <c r="Q213" s="176">
        <f>+Données!X213</f>
        <v>80</v>
      </c>
      <c r="R213" s="350">
        <f t="shared" si="12"/>
        <v>5460.4397083333333</v>
      </c>
    </row>
    <row r="214" spans="1:18" x14ac:dyDescent="0.25">
      <c r="A214" s="7">
        <f>Données!A214</f>
        <v>5752</v>
      </c>
      <c r="B214" s="27" t="str">
        <f>Données!B214</f>
        <v>Croy</v>
      </c>
      <c r="C214" s="8">
        <f>Données!C214+Données!D214</f>
        <v>690726.8</v>
      </c>
      <c r="D214" s="8">
        <f>+Données!G214+Données!H214+Données!S214</f>
        <v>4516.8500000000004</v>
      </c>
      <c r="E214" s="8">
        <f>+Données!E214</f>
        <v>0</v>
      </c>
      <c r="F214" s="8">
        <f>+Données!I214</f>
        <v>0</v>
      </c>
      <c r="G214" s="8">
        <f>+Données!J214</f>
        <v>10304.99</v>
      </c>
      <c r="H214" s="8">
        <f>Données!U214</f>
        <v>-7135.64</v>
      </c>
      <c r="I214" s="154">
        <f>Données!V214</f>
        <v>0</v>
      </c>
      <c r="J214" s="154">
        <f>Données!W214</f>
        <v>-8274.6</v>
      </c>
      <c r="K214" s="8">
        <f>+Données!Q214</f>
        <v>1915.96</v>
      </c>
      <c r="L214" s="350">
        <f t="shared" si="10"/>
        <v>692054.36</v>
      </c>
      <c r="M214" s="8">
        <f>+Données!F214</f>
        <v>0</v>
      </c>
      <c r="N214" s="8">
        <f>+Données!K214</f>
        <v>833.4</v>
      </c>
      <c r="O214" s="8">
        <f>(Données!L214/Données!Y214)*1</f>
        <v>62223.42857142858</v>
      </c>
      <c r="P214" s="350">
        <f t="shared" si="11"/>
        <v>755111.18857142865</v>
      </c>
      <c r="Q214" s="176">
        <f>+Données!X214</f>
        <v>74</v>
      </c>
      <c r="R214" s="350">
        <f t="shared" si="12"/>
        <v>10204.205250965251</v>
      </c>
    </row>
    <row r="215" spans="1:18" x14ac:dyDescent="0.25">
      <c r="A215" s="7">
        <f>Données!A215</f>
        <v>5754</v>
      </c>
      <c r="B215" s="27" t="str">
        <f>Données!B215</f>
        <v>Juriens</v>
      </c>
      <c r="C215" s="8">
        <f>Données!C215+Données!D215</f>
        <v>627499.37999999989</v>
      </c>
      <c r="D215" s="8">
        <f>+Données!G215+Données!H215+Données!S215</f>
        <v>2629.2100000000005</v>
      </c>
      <c r="E215" s="8">
        <f>+Données!E215</f>
        <v>0</v>
      </c>
      <c r="F215" s="8">
        <f>+Données!I215</f>
        <v>0</v>
      </c>
      <c r="G215" s="8">
        <f>+Données!J215</f>
        <v>-869.9</v>
      </c>
      <c r="H215" s="8">
        <f>Données!U215</f>
        <v>-248.65</v>
      </c>
      <c r="I215" s="154">
        <f>Données!V215</f>
        <v>0</v>
      </c>
      <c r="J215" s="154">
        <f>Données!W215</f>
        <v>-84.8</v>
      </c>
      <c r="K215" s="8">
        <f>+Données!Q215</f>
        <v>3104.67</v>
      </c>
      <c r="L215" s="350">
        <f t="shared" si="10"/>
        <v>632029.9099999998</v>
      </c>
      <c r="M215" s="8">
        <f>+Données!F215</f>
        <v>0</v>
      </c>
      <c r="N215" s="8">
        <f>+Données!K215</f>
        <v>2099.5</v>
      </c>
      <c r="O215" s="8">
        <f>(Données!L215/Données!Y215)*1</f>
        <v>47895.1</v>
      </c>
      <c r="P215" s="350">
        <f t="shared" si="11"/>
        <v>682024.50999999978</v>
      </c>
      <c r="Q215" s="176">
        <f>+Données!X215</f>
        <v>79</v>
      </c>
      <c r="R215" s="350">
        <f t="shared" si="12"/>
        <v>8633.221645569618</v>
      </c>
    </row>
    <row r="216" spans="1:18" x14ac:dyDescent="0.25">
      <c r="A216" s="7">
        <f>Données!A216</f>
        <v>5755</v>
      </c>
      <c r="B216" s="27" t="str">
        <f>Données!B216</f>
        <v>Lignerolle</v>
      </c>
      <c r="C216" s="8">
        <f>Données!C216+Données!D216</f>
        <v>777704.2300000001</v>
      </c>
      <c r="D216" s="8">
        <f>+Données!G216+Données!H216+Données!S216</f>
        <v>16712.88</v>
      </c>
      <c r="E216" s="8">
        <f>+Données!E216</f>
        <v>0</v>
      </c>
      <c r="F216" s="8">
        <f>+Données!I216</f>
        <v>0</v>
      </c>
      <c r="G216" s="8">
        <f>+Données!J216</f>
        <v>9770.36</v>
      </c>
      <c r="H216" s="8">
        <f>Données!U216</f>
        <v>-15066.55</v>
      </c>
      <c r="I216" s="154">
        <f>Données!V216</f>
        <v>0</v>
      </c>
      <c r="J216" s="154">
        <f>Données!W216</f>
        <v>0</v>
      </c>
      <c r="K216" s="8">
        <f>+Données!Q216</f>
        <v>1010.9</v>
      </c>
      <c r="L216" s="350">
        <f t="shared" si="10"/>
        <v>790131.82000000007</v>
      </c>
      <c r="M216" s="8">
        <f>+Données!F216</f>
        <v>2180</v>
      </c>
      <c r="N216" s="8">
        <f>+Données!K216</f>
        <v>411.1</v>
      </c>
      <c r="O216" s="8">
        <f>(Données!L216/Données!Y216)*1</f>
        <v>64557.71428571429</v>
      </c>
      <c r="P216" s="350">
        <f t="shared" si="11"/>
        <v>857280.63428571436</v>
      </c>
      <c r="Q216" s="176">
        <f>+Données!X216</f>
        <v>78.5</v>
      </c>
      <c r="R216" s="350">
        <f t="shared" si="12"/>
        <v>10920.772411282986</v>
      </c>
    </row>
    <row r="217" spans="1:18" x14ac:dyDescent="0.25">
      <c r="A217" s="7">
        <f>Données!A217</f>
        <v>5756</v>
      </c>
      <c r="B217" s="27" t="str">
        <f>Données!B217</f>
        <v>Montcherand</v>
      </c>
      <c r="C217" s="8">
        <f>Données!C217+Données!D217</f>
        <v>1133613.8900000001</v>
      </c>
      <c r="D217" s="8">
        <f>+Données!G217+Données!H217+Données!S217</f>
        <v>34800.42</v>
      </c>
      <c r="E217" s="8">
        <f>+Données!E217</f>
        <v>0</v>
      </c>
      <c r="F217" s="8">
        <f>+Données!I217</f>
        <v>0</v>
      </c>
      <c r="G217" s="8">
        <f>+Données!J217</f>
        <v>15427.63</v>
      </c>
      <c r="H217" s="8">
        <f>Données!U217</f>
        <v>-13476.54</v>
      </c>
      <c r="I217" s="154">
        <f>Données!V217</f>
        <v>0</v>
      </c>
      <c r="J217" s="154">
        <f>Données!W217</f>
        <v>0</v>
      </c>
      <c r="K217" s="8">
        <f>+Données!Q217</f>
        <v>0</v>
      </c>
      <c r="L217" s="350">
        <f t="shared" si="10"/>
        <v>1170365.3999999999</v>
      </c>
      <c r="M217" s="8">
        <f>+Données!F217</f>
        <v>0</v>
      </c>
      <c r="N217" s="8">
        <f>+Données!K217</f>
        <v>786.4</v>
      </c>
      <c r="O217" s="8">
        <f>(Données!L217/Données!Y217)*1</f>
        <v>89065.2</v>
      </c>
      <c r="P217" s="350">
        <f t="shared" si="11"/>
        <v>1260216.9999999998</v>
      </c>
      <c r="Q217" s="176">
        <f>+Données!X217</f>
        <v>72</v>
      </c>
      <c r="R217" s="350">
        <f t="shared" si="12"/>
        <v>17503.013888888887</v>
      </c>
    </row>
    <row r="218" spans="1:18" x14ac:dyDescent="0.25">
      <c r="A218" s="7">
        <f>Données!A218</f>
        <v>5757</v>
      </c>
      <c r="B218" s="27" t="str">
        <f>Données!B218</f>
        <v>Orbe</v>
      </c>
      <c r="C218" s="8">
        <f>Données!C218+Données!D218</f>
        <v>12872946.25</v>
      </c>
      <c r="D218" s="8">
        <f>+Données!G218+Données!H218+Données!S218</f>
        <v>1502328.05</v>
      </c>
      <c r="E218" s="8">
        <f>+Données!E218</f>
        <v>0</v>
      </c>
      <c r="F218" s="8">
        <f>+Données!I218</f>
        <v>0</v>
      </c>
      <c r="G218" s="8">
        <f>+Données!J218</f>
        <v>567394.02</v>
      </c>
      <c r="H218" s="8">
        <f>Données!U218</f>
        <v>-191657.92</v>
      </c>
      <c r="I218" s="154">
        <f>Données!V218</f>
        <v>0</v>
      </c>
      <c r="J218" s="154">
        <f>Données!W218</f>
        <v>-1222.68</v>
      </c>
      <c r="K218" s="8">
        <f>+Données!Q218</f>
        <v>111662.76</v>
      </c>
      <c r="L218" s="350">
        <f t="shared" si="10"/>
        <v>14861450.48</v>
      </c>
      <c r="M218" s="8">
        <f>+Données!F218</f>
        <v>0</v>
      </c>
      <c r="N218" s="8">
        <f>+Données!K218</f>
        <v>66398.850000000006</v>
      </c>
      <c r="O218" s="8">
        <f>(Données!L218/Données!Y218)*1</f>
        <v>1511985.85</v>
      </c>
      <c r="P218" s="350">
        <f t="shared" si="11"/>
        <v>16439835.18</v>
      </c>
      <c r="Q218" s="176">
        <f>+Données!X218</f>
        <v>75.5</v>
      </c>
      <c r="R218" s="350">
        <f t="shared" si="12"/>
        <v>217746.16132450331</v>
      </c>
    </row>
    <row r="219" spans="1:18" x14ac:dyDescent="0.25">
      <c r="A219" s="7">
        <f>Données!A219</f>
        <v>5758</v>
      </c>
      <c r="B219" s="27" t="str">
        <f>Données!B219</f>
        <v>La Praz</v>
      </c>
      <c r="C219" s="8">
        <f>Données!C219+Données!D219</f>
        <v>328056.09000000003</v>
      </c>
      <c r="D219" s="8">
        <f>+Données!G219+Données!H219+Données!S219</f>
        <v>3080.54</v>
      </c>
      <c r="E219" s="8">
        <f>+Données!E219</f>
        <v>0</v>
      </c>
      <c r="F219" s="8">
        <f>+Données!I219</f>
        <v>0</v>
      </c>
      <c r="G219" s="8">
        <f>+Données!J219</f>
        <v>13593.09</v>
      </c>
      <c r="H219" s="8">
        <f>Données!U219</f>
        <v>-2515.2600000000002</v>
      </c>
      <c r="I219" s="154">
        <f>Données!V219</f>
        <v>0</v>
      </c>
      <c r="J219" s="154">
        <f>Données!W219</f>
        <v>-9.25</v>
      </c>
      <c r="K219" s="8">
        <f>+Données!Q219</f>
        <v>0</v>
      </c>
      <c r="L219" s="350">
        <f t="shared" si="10"/>
        <v>342205.21</v>
      </c>
      <c r="M219" s="8">
        <f>+Données!F219</f>
        <v>0</v>
      </c>
      <c r="N219" s="8">
        <f>+Données!K219</f>
        <v>0</v>
      </c>
      <c r="O219" s="8">
        <f>(Données!L219/Données!Y219)*1</f>
        <v>31353.200000000001</v>
      </c>
      <c r="P219" s="350">
        <f t="shared" si="11"/>
        <v>373558.41000000003</v>
      </c>
      <c r="Q219" s="176">
        <f>+Données!X219</f>
        <v>83</v>
      </c>
      <c r="R219" s="350">
        <f t="shared" si="12"/>
        <v>4500.7037349397597</v>
      </c>
    </row>
    <row r="220" spans="1:18" x14ac:dyDescent="0.25">
      <c r="A220" s="7">
        <f>Données!A220</f>
        <v>5759</v>
      </c>
      <c r="B220" s="27" t="str">
        <f>Données!B220</f>
        <v>Premier</v>
      </c>
      <c r="C220" s="8">
        <f>Données!C220+Données!D220</f>
        <v>414274.49</v>
      </c>
      <c r="D220" s="8">
        <f>+Données!G220+Données!H220+Données!S220</f>
        <v>1927.2</v>
      </c>
      <c r="E220" s="8">
        <f>+Données!E220</f>
        <v>0</v>
      </c>
      <c r="F220" s="8">
        <f>+Données!I220</f>
        <v>0</v>
      </c>
      <c r="G220" s="8">
        <f>+Données!J220</f>
        <v>1262.19</v>
      </c>
      <c r="H220" s="8">
        <f>Données!U220</f>
        <v>-3557.01</v>
      </c>
      <c r="I220" s="154">
        <f>Données!V220</f>
        <v>0</v>
      </c>
      <c r="J220" s="154">
        <f>Données!W220</f>
        <v>-105.9</v>
      </c>
      <c r="K220" s="8">
        <f>+Données!Q220</f>
        <v>4322.71</v>
      </c>
      <c r="L220" s="350">
        <f t="shared" si="10"/>
        <v>418123.68</v>
      </c>
      <c r="M220" s="8">
        <f>+Données!F220</f>
        <v>0</v>
      </c>
      <c r="N220" s="8">
        <f>+Données!K220</f>
        <v>242.95</v>
      </c>
      <c r="O220" s="8">
        <f>(Données!L220/Données!Y220)*1</f>
        <v>32163.7</v>
      </c>
      <c r="P220" s="350">
        <f t="shared" si="11"/>
        <v>450530.33</v>
      </c>
      <c r="Q220" s="176">
        <f>+Données!X220</f>
        <v>79.5</v>
      </c>
      <c r="R220" s="350">
        <f t="shared" si="12"/>
        <v>5667.0481761006295</v>
      </c>
    </row>
    <row r="221" spans="1:18" x14ac:dyDescent="0.25">
      <c r="A221" s="7">
        <f>Données!A221</f>
        <v>5760</v>
      </c>
      <c r="B221" s="27" t="str">
        <f>Données!B221</f>
        <v>Rances</v>
      </c>
      <c r="C221" s="8">
        <f>Données!C221+Données!D221</f>
        <v>1148228.75</v>
      </c>
      <c r="D221" s="8">
        <f>+Données!G221+Données!H221+Données!S221</f>
        <v>6557.07</v>
      </c>
      <c r="E221" s="8">
        <f>+Données!E221</f>
        <v>0</v>
      </c>
      <c r="F221" s="8">
        <f>+Données!I221</f>
        <v>0</v>
      </c>
      <c r="G221" s="8">
        <f>+Données!J221</f>
        <v>4161.78</v>
      </c>
      <c r="H221" s="8">
        <f>Données!U221</f>
        <v>-18801.09</v>
      </c>
      <c r="I221" s="154">
        <f>Données!V221</f>
        <v>0</v>
      </c>
      <c r="J221" s="154">
        <f>Données!W221</f>
        <v>-1747.1</v>
      </c>
      <c r="K221" s="8">
        <f>+Données!Q221</f>
        <v>24041.63</v>
      </c>
      <c r="L221" s="350">
        <f t="shared" si="10"/>
        <v>1162441.0399999998</v>
      </c>
      <c r="M221" s="8">
        <f>+Données!F221</f>
        <v>0</v>
      </c>
      <c r="N221" s="8">
        <f>+Données!K221</f>
        <v>0</v>
      </c>
      <c r="O221" s="8">
        <f>(Données!L221/Données!Y221)*1</f>
        <v>85172</v>
      </c>
      <c r="P221" s="350">
        <f t="shared" si="11"/>
        <v>1247613.0399999998</v>
      </c>
      <c r="Q221" s="176">
        <f>+Données!X221</f>
        <v>76.5</v>
      </c>
      <c r="R221" s="350">
        <f t="shared" si="12"/>
        <v>16308.667189542481</v>
      </c>
    </row>
    <row r="222" spans="1:18" x14ac:dyDescent="0.25">
      <c r="A222" s="7">
        <f>Données!A222</f>
        <v>5761</v>
      </c>
      <c r="B222" s="27" t="str">
        <f>Données!B222</f>
        <v>Romainmôtier-Envy</v>
      </c>
      <c r="C222" s="8">
        <f>Données!C222+Données!D222</f>
        <v>1064386.6499999999</v>
      </c>
      <c r="D222" s="8">
        <f>+Données!G222+Données!H222+Données!S222</f>
        <v>3456.05</v>
      </c>
      <c r="E222" s="8">
        <f>+Données!E222</f>
        <v>0</v>
      </c>
      <c r="F222" s="8">
        <f>+Données!I222</f>
        <v>0</v>
      </c>
      <c r="G222" s="8">
        <f>+Données!J222</f>
        <v>14530.58</v>
      </c>
      <c r="H222" s="8">
        <f>Données!U222</f>
        <v>-6622.79</v>
      </c>
      <c r="I222" s="154">
        <f>Données!V222</f>
        <v>0</v>
      </c>
      <c r="J222" s="154">
        <f>Données!W222</f>
        <v>-32.03</v>
      </c>
      <c r="K222" s="8">
        <f>+Données!Q222</f>
        <v>0</v>
      </c>
      <c r="L222" s="350">
        <f t="shared" si="10"/>
        <v>1075718.46</v>
      </c>
      <c r="M222" s="8">
        <f>+Données!F222</f>
        <v>0</v>
      </c>
      <c r="N222" s="8">
        <f>+Données!K222</f>
        <v>810.8</v>
      </c>
      <c r="O222" s="8">
        <f>(Données!L222/Données!Y222)*1</f>
        <v>90498.090909090897</v>
      </c>
      <c r="P222" s="350">
        <f t="shared" si="11"/>
        <v>1167027.3509090908</v>
      </c>
      <c r="Q222" s="176">
        <f>+Données!X222</f>
        <v>81</v>
      </c>
      <c r="R222" s="350">
        <f t="shared" si="12"/>
        <v>14407.745072951739</v>
      </c>
    </row>
    <row r="223" spans="1:18" x14ac:dyDescent="0.25">
      <c r="A223" s="7">
        <f>Données!A223</f>
        <v>5762</v>
      </c>
      <c r="B223" s="27" t="str">
        <f>Données!B223</f>
        <v>Sergey</v>
      </c>
      <c r="C223" s="8">
        <f>Données!C223+Données!D223</f>
        <v>265603.74</v>
      </c>
      <c r="D223" s="8">
        <f>+Données!G223+Données!H223+Données!S223</f>
        <v>5225.99</v>
      </c>
      <c r="E223" s="8">
        <f>+Données!E223</f>
        <v>0</v>
      </c>
      <c r="F223" s="8">
        <f>+Données!I223</f>
        <v>0</v>
      </c>
      <c r="G223" s="8">
        <f>+Données!J223</f>
        <v>118.84</v>
      </c>
      <c r="H223" s="8">
        <f>Données!U223</f>
        <v>-41.65</v>
      </c>
      <c r="I223" s="154">
        <f>Données!V223</f>
        <v>0</v>
      </c>
      <c r="J223" s="154">
        <f>Données!W223</f>
        <v>0</v>
      </c>
      <c r="K223" s="8">
        <f>+Données!Q223</f>
        <v>0</v>
      </c>
      <c r="L223" s="350">
        <f t="shared" si="10"/>
        <v>270906.92</v>
      </c>
      <c r="M223" s="8">
        <f>+Données!F223</f>
        <v>0</v>
      </c>
      <c r="N223" s="8">
        <f>+Données!K223</f>
        <v>-416.55</v>
      </c>
      <c r="O223" s="8">
        <f>(Données!L223/Données!Y223)*1</f>
        <v>21338.6</v>
      </c>
      <c r="P223" s="350">
        <f t="shared" si="11"/>
        <v>291828.96999999997</v>
      </c>
      <c r="Q223" s="176">
        <f>+Données!X223</f>
        <v>78</v>
      </c>
      <c r="R223" s="350">
        <f t="shared" si="12"/>
        <v>3741.3970512820511</v>
      </c>
    </row>
    <row r="224" spans="1:18" x14ac:dyDescent="0.25">
      <c r="A224" s="7">
        <f>Données!A224</f>
        <v>5763</v>
      </c>
      <c r="B224" s="27" t="str">
        <f>Données!B224</f>
        <v>Valeyres-sous-Rances</v>
      </c>
      <c r="C224" s="8">
        <f>Données!C224+Données!D224</f>
        <v>1409195.85</v>
      </c>
      <c r="D224" s="8">
        <f>+Données!G224+Données!H224+Données!S224</f>
        <v>35926.79</v>
      </c>
      <c r="E224" s="8">
        <f>+Données!E224</f>
        <v>0</v>
      </c>
      <c r="F224" s="8">
        <f>+Données!I224</f>
        <v>0</v>
      </c>
      <c r="G224" s="8">
        <f>+Données!J224</f>
        <v>37540.949999999997</v>
      </c>
      <c r="H224" s="8">
        <f>Données!U224</f>
        <v>-1635.89</v>
      </c>
      <c r="I224" s="154">
        <f>Données!V224</f>
        <v>0</v>
      </c>
      <c r="J224" s="154">
        <f>Données!W224</f>
        <v>-316.05</v>
      </c>
      <c r="K224" s="8">
        <f>+Données!Q224</f>
        <v>2712.46</v>
      </c>
      <c r="L224" s="350">
        <f t="shared" si="10"/>
        <v>1483424.11</v>
      </c>
      <c r="M224" s="8">
        <f>+Données!F224</f>
        <v>3480</v>
      </c>
      <c r="N224" s="8">
        <f>+Données!K224</f>
        <v>4048.65</v>
      </c>
      <c r="O224" s="8">
        <f>(Données!L224/Données!Y224)*1</f>
        <v>92119</v>
      </c>
      <c r="P224" s="350">
        <f t="shared" si="11"/>
        <v>1583071.76</v>
      </c>
      <c r="Q224" s="176">
        <f>+Données!X224</f>
        <v>71</v>
      </c>
      <c r="R224" s="350">
        <f t="shared" si="12"/>
        <v>22296.785352112674</v>
      </c>
    </row>
    <row r="225" spans="1:18" x14ac:dyDescent="0.25">
      <c r="A225" s="7">
        <f>Données!A225</f>
        <v>5764</v>
      </c>
      <c r="B225" s="27" t="str">
        <f>Données!B225</f>
        <v>Vallorbe</v>
      </c>
      <c r="C225" s="8">
        <f>Données!C225+Données!D225</f>
        <v>5071648</v>
      </c>
      <c r="D225" s="8">
        <f>+Données!G225+Données!H225+Données!S225</f>
        <v>255940.24</v>
      </c>
      <c r="E225" s="8">
        <f>+Données!E225</f>
        <v>0</v>
      </c>
      <c r="F225" s="8">
        <f>+Données!I225</f>
        <v>0</v>
      </c>
      <c r="G225" s="8">
        <f>+Données!J225</f>
        <v>260379.88</v>
      </c>
      <c r="H225" s="8">
        <f>Données!U225</f>
        <v>-260287.12</v>
      </c>
      <c r="I225" s="154">
        <f>Données!V225</f>
        <v>0</v>
      </c>
      <c r="J225" s="154">
        <f>Données!W225</f>
        <v>-482.6</v>
      </c>
      <c r="K225" s="8">
        <f>+Données!Q225</f>
        <v>105396.26</v>
      </c>
      <c r="L225" s="350">
        <f t="shared" si="10"/>
        <v>5432594.6600000001</v>
      </c>
      <c r="M225" s="8">
        <f>+Données!F225</f>
        <v>0</v>
      </c>
      <c r="N225" s="8">
        <f>+Données!K225</f>
        <v>37379.1</v>
      </c>
      <c r="O225" s="8">
        <f>(Données!L225/Données!Y225)*1</f>
        <v>515595.35</v>
      </c>
      <c r="P225" s="350">
        <f t="shared" si="11"/>
        <v>5985569.1099999994</v>
      </c>
      <c r="Q225" s="176">
        <f>+Données!X225</f>
        <v>71.5</v>
      </c>
      <c r="R225" s="350">
        <f t="shared" si="12"/>
        <v>83714.253286713283</v>
      </c>
    </row>
    <row r="226" spans="1:18" x14ac:dyDescent="0.25">
      <c r="A226" s="7">
        <f>Données!A226</f>
        <v>5765</v>
      </c>
      <c r="B226" s="27" t="str">
        <f>Données!B226</f>
        <v>Vaulion</v>
      </c>
      <c r="C226" s="8">
        <f>Données!C226+Données!D226</f>
        <v>687050.85</v>
      </c>
      <c r="D226" s="8">
        <f>+Données!G226+Données!H226+Données!S226</f>
        <v>23520.85</v>
      </c>
      <c r="E226" s="8">
        <f>+Données!E226</f>
        <v>0</v>
      </c>
      <c r="F226" s="8">
        <f>+Données!I226</f>
        <v>0</v>
      </c>
      <c r="G226" s="8">
        <f>+Données!J226</f>
        <v>20240.09</v>
      </c>
      <c r="H226" s="8">
        <f>Données!U226</f>
        <v>-19249.3</v>
      </c>
      <c r="I226" s="154">
        <f>Données!V226</f>
        <v>0</v>
      </c>
      <c r="J226" s="154">
        <f>Données!W226</f>
        <v>0</v>
      </c>
      <c r="K226" s="8">
        <f>+Données!Q226</f>
        <v>1242.99</v>
      </c>
      <c r="L226" s="350">
        <f t="shared" si="10"/>
        <v>712805.47999999986</v>
      </c>
      <c r="M226" s="8">
        <f>+Données!F226</f>
        <v>0</v>
      </c>
      <c r="N226" s="8">
        <f>+Données!K226</f>
        <v>0</v>
      </c>
      <c r="O226" s="8">
        <f>(Données!L226/Données!Y226)*1</f>
        <v>67047.8</v>
      </c>
      <c r="P226" s="350">
        <f t="shared" si="11"/>
        <v>779853.27999999991</v>
      </c>
      <c r="Q226" s="176">
        <f>+Données!X226</f>
        <v>81</v>
      </c>
      <c r="R226" s="350">
        <f t="shared" si="12"/>
        <v>9627.8182716049378</v>
      </c>
    </row>
    <row r="227" spans="1:18" x14ac:dyDescent="0.25">
      <c r="A227" s="7">
        <f>Données!A227</f>
        <v>5766</v>
      </c>
      <c r="B227" s="27" t="str">
        <f>Données!B227</f>
        <v>Vuiteboeuf</v>
      </c>
      <c r="C227" s="8">
        <f>Données!C227+Données!D227</f>
        <v>997865.33000000007</v>
      </c>
      <c r="D227" s="8">
        <f>+Données!G227+Données!H227+Données!S227</f>
        <v>59210.8</v>
      </c>
      <c r="E227" s="8">
        <f>+Données!E227</f>
        <v>0</v>
      </c>
      <c r="F227" s="8">
        <f>+Données!I227</f>
        <v>0</v>
      </c>
      <c r="G227" s="8">
        <f>+Données!J227</f>
        <v>29025.47</v>
      </c>
      <c r="H227" s="8">
        <f>Données!U227</f>
        <v>-17642.419999999998</v>
      </c>
      <c r="I227" s="154">
        <f>Données!V227</f>
        <v>0</v>
      </c>
      <c r="J227" s="154">
        <f>Données!W227</f>
        <v>-16.63</v>
      </c>
      <c r="K227" s="8">
        <f>+Données!Q227</f>
        <v>2160.98</v>
      </c>
      <c r="L227" s="350">
        <f t="shared" si="10"/>
        <v>1070603.5300000003</v>
      </c>
      <c r="M227" s="8">
        <f>+Données!F227</f>
        <v>3670</v>
      </c>
      <c r="N227" s="8">
        <f>+Données!K227</f>
        <v>-11427.7</v>
      </c>
      <c r="O227" s="8">
        <f>(Données!L227/Données!Y227)*1</f>
        <v>93813.857142857145</v>
      </c>
      <c r="P227" s="350">
        <f t="shared" si="11"/>
        <v>1156659.6871428574</v>
      </c>
      <c r="Q227" s="176">
        <f>+Données!X227</f>
        <v>75</v>
      </c>
      <c r="R227" s="350">
        <f t="shared" si="12"/>
        <v>15422.129161904764</v>
      </c>
    </row>
    <row r="228" spans="1:18" x14ac:dyDescent="0.25">
      <c r="A228" s="7">
        <f>Données!A228</f>
        <v>5785</v>
      </c>
      <c r="B228" s="27" t="str">
        <f>Données!B228</f>
        <v>Corcelles-le-Jorat</v>
      </c>
      <c r="C228" s="8">
        <f>Données!C228+Données!D228</f>
        <v>1077233.8799999999</v>
      </c>
      <c r="D228" s="8">
        <f>+Données!G228+Données!H228+Données!S228</f>
        <v>16437.189999999999</v>
      </c>
      <c r="E228" s="8">
        <f>+Données!E228</f>
        <v>0</v>
      </c>
      <c r="F228" s="8">
        <f>+Données!I228</f>
        <v>0</v>
      </c>
      <c r="G228" s="8">
        <f>+Données!J228</f>
        <v>26475.4</v>
      </c>
      <c r="H228" s="8">
        <f>Données!U228</f>
        <v>-38928.74</v>
      </c>
      <c r="I228" s="154">
        <f>Données!V228</f>
        <v>0</v>
      </c>
      <c r="J228" s="154">
        <f>Données!W228</f>
        <v>-1826.55</v>
      </c>
      <c r="K228" s="8">
        <f>+Données!Q228</f>
        <v>0</v>
      </c>
      <c r="L228" s="350">
        <f t="shared" si="10"/>
        <v>1079391.1799999997</v>
      </c>
      <c r="M228" s="8">
        <f>+Données!F228</f>
        <v>0</v>
      </c>
      <c r="N228" s="8">
        <f>+Données!K228</f>
        <v>989.6</v>
      </c>
      <c r="O228" s="8">
        <f>(Données!L228/Données!Y228)*1</f>
        <v>79253.75</v>
      </c>
      <c r="P228" s="350">
        <f t="shared" si="11"/>
        <v>1159634.5299999998</v>
      </c>
      <c r="Q228" s="176">
        <f>+Données!X228</f>
        <v>75</v>
      </c>
      <c r="R228" s="350">
        <f t="shared" si="12"/>
        <v>15461.79373333333</v>
      </c>
    </row>
    <row r="229" spans="1:18" x14ac:dyDescent="0.25">
      <c r="A229" s="7">
        <f>Données!A229</f>
        <v>5790</v>
      </c>
      <c r="B229" s="27" t="str">
        <f>Données!B229</f>
        <v>Maracon</v>
      </c>
      <c r="C229" s="8">
        <f>Données!C229+Données!D229</f>
        <v>1054038.76</v>
      </c>
      <c r="D229" s="8">
        <f>+Données!G229+Données!H229+Données!S229</f>
        <v>34611.440000000002</v>
      </c>
      <c r="E229" s="8">
        <f>+Données!E229</f>
        <v>0</v>
      </c>
      <c r="F229" s="8">
        <f>+Données!I229</f>
        <v>0</v>
      </c>
      <c r="G229" s="8">
        <f>+Données!J229</f>
        <v>32004.46</v>
      </c>
      <c r="H229" s="8">
        <f>Données!U229</f>
        <v>-5158.51</v>
      </c>
      <c r="I229" s="154">
        <f>Données!V229</f>
        <v>0</v>
      </c>
      <c r="J229" s="154">
        <f>Données!W229</f>
        <v>-1283.99</v>
      </c>
      <c r="K229" s="8">
        <f>+Données!Q229</f>
        <v>2840.85</v>
      </c>
      <c r="L229" s="350">
        <f t="shared" si="10"/>
        <v>1117053.01</v>
      </c>
      <c r="M229" s="8">
        <f>+Données!F229</f>
        <v>0</v>
      </c>
      <c r="N229" s="8">
        <f>+Données!K229</f>
        <v>923.6</v>
      </c>
      <c r="O229" s="8">
        <f>(Données!L229/Données!Y229)*1</f>
        <v>98334.7</v>
      </c>
      <c r="P229" s="350">
        <f t="shared" si="11"/>
        <v>1216311.31</v>
      </c>
      <c r="Q229" s="176">
        <f>+Données!X229</f>
        <v>74.5</v>
      </c>
      <c r="R229" s="350">
        <f t="shared" si="12"/>
        <v>16326.326308724832</v>
      </c>
    </row>
    <row r="230" spans="1:18" x14ac:dyDescent="0.25">
      <c r="A230" s="7">
        <f>Données!A230</f>
        <v>5792</v>
      </c>
      <c r="B230" s="27" t="str">
        <f>Données!B230</f>
        <v>Montpreveyres</v>
      </c>
      <c r="C230" s="8">
        <f>Données!C230+Données!D230</f>
        <v>1325254.1000000001</v>
      </c>
      <c r="D230" s="8">
        <f>+Données!G230+Données!H230+Données!S230</f>
        <v>14983.169999999998</v>
      </c>
      <c r="E230" s="8">
        <f>+Données!E230</f>
        <v>0</v>
      </c>
      <c r="F230" s="8">
        <f>+Données!I230</f>
        <v>0</v>
      </c>
      <c r="G230" s="8">
        <f>+Données!J230</f>
        <v>4966.45</v>
      </c>
      <c r="H230" s="8">
        <f>Données!U230</f>
        <v>-17354.32</v>
      </c>
      <c r="I230" s="154">
        <f>Données!V230</f>
        <v>0</v>
      </c>
      <c r="J230" s="154">
        <f>Données!W230</f>
        <v>0</v>
      </c>
      <c r="K230" s="8">
        <f>+Données!Q230</f>
        <v>6827.94</v>
      </c>
      <c r="L230" s="350">
        <f t="shared" si="10"/>
        <v>1334677.3399999999</v>
      </c>
      <c r="M230" s="8">
        <f>+Données!F230</f>
        <v>0</v>
      </c>
      <c r="N230" s="8">
        <f>+Données!K230</f>
        <v>3467.5</v>
      </c>
      <c r="O230" s="8">
        <f>(Données!L230/Données!Y230)*1</f>
        <v>123761.9</v>
      </c>
      <c r="P230" s="350">
        <f t="shared" si="11"/>
        <v>1461906.7399999998</v>
      </c>
      <c r="Q230" s="176">
        <f>+Données!X230</f>
        <v>75.5</v>
      </c>
      <c r="R230" s="350">
        <f t="shared" si="12"/>
        <v>19363.003178807943</v>
      </c>
    </row>
    <row r="231" spans="1:18" x14ac:dyDescent="0.25">
      <c r="A231" s="7">
        <f>Données!A231</f>
        <v>5798</v>
      </c>
      <c r="B231" s="27" t="str">
        <f>Données!B231</f>
        <v>Ropraz</v>
      </c>
      <c r="C231" s="8">
        <f>Données!C231+Données!D231</f>
        <v>1150069.02</v>
      </c>
      <c r="D231" s="8">
        <f>+Données!G231+Données!H231+Données!S231</f>
        <v>24807.560000000005</v>
      </c>
      <c r="E231" s="8">
        <f>+Données!E231</f>
        <v>0</v>
      </c>
      <c r="F231" s="8">
        <f>+Données!I231</f>
        <v>0</v>
      </c>
      <c r="G231" s="8">
        <f>+Données!J231</f>
        <v>13253.26</v>
      </c>
      <c r="H231" s="8">
        <f>Données!U231</f>
        <v>-11912.48</v>
      </c>
      <c r="I231" s="154">
        <f>Données!V231</f>
        <v>-29696.85</v>
      </c>
      <c r="J231" s="154">
        <f>Données!W231</f>
        <v>0</v>
      </c>
      <c r="K231" s="8">
        <f>+Données!Q231</f>
        <v>3880.81</v>
      </c>
      <c r="L231" s="350">
        <f t="shared" si="10"/>
        <v>1150401.32</v>
      </c>
      <c r="M231" s="8">
        <f>+Données!F231</f>
        <v>0</v>
      </c>
      <c r="N231" s="8">
        <f>+Données!K231</f>
        <v>6916.55</v>
      </c>
      <c r="O231" s="8">
        <f>(Données!L231/Données!Y231)*1</f>
        <v>98809.5</v>
      </c>
      <c r="P231" s="350">
        <f t="shared" si="11"/>
        <v>1256127.3700000001</v>
      </c>
      <c r="Q231" s="176">
        <f>+Données!X231</f>
        <v>77.5</v>
      </c>
      <c r="R231" s="350">
        <f t="shared" si="12"/>
        <v>16208.095096774196</v>
      </c>
    </row>
    <row r="232" spans="1:18" x14ac:dyDescent="0.25">
      <c r="A232" s="7">
        <f>Données!A232</f>
        <v>5799</v>
      </c>
      <c r="B232" s="27" t="str">
        <f>Données!B232</f>
        <v>Servion</v>
      </c>
      <c r="C232" s="8">
        <f>Données!C232+Données!D232</f>
        <v>4503428.59</v>
      </c>
      <c r="D232" s="8">
        <f>+Données!G232+Données!H232+Données!S232</f>
        <v>61476.479999999996</v>
      </c>
      <c r="E232" s="8">
        <f>+Données!E232</f>
        <v>0</v>
      </c>
      <c r="F232" s="8">
        <f>+Données!I232</f>
        <v>0</v>
      </c>
      <c r="G232" s="8">
        <f>+Données!J232</f>
        <v>58215.24</v>
      </c>
      <c r="H232" s="8">
        <f>Données!U232</f>
        <v>-29334.799999999999</v>
      </c>
      <c r="I232" s="154">
        <f>Données!V232</f>
        <v>0</v>
      </c>
      <c r="J232" s="154">
        <f>Données!W232</f>
        <v>-233.5</v>
      </c>
      <c r="K232" s="8">
        <f>+Données!Q232</f>
        <v>4516.9399999999996</v>
      </c>
      <c r="L232" s="350">
        <f t="shared" si="10"/>
        <v>4598068.9500000011</v>
      </c>
      <c r="M232" s="8">
        <f>+Données!F232</f>
        <v>0</v>
      </c>
      <c r="N232" s="8">
        <f>+Données!K232</f>
        <v>11166.75</v>
      </c>
      <c r="O232" s="8">
        <f>(Données!L232/Données!Y232)*1</f>
        <v>439494.7</v>
      </c>
      <c r="P232" s="350">
        <f t="shared" si="11"/>
        <v>5048730.4000000013</v>
      </c>
      <c r="Q232" s="176">
        <f>+Données!X232</f>
        <v>69</v>
      </c>
      <c r="R232" s="350">
        <f t="shared" si="12"/>
        <v>73170.005797101461</v>
      </c>
    </row>
    <row r="233" spans="1:18" x14ac:dyDescent="0.25">
      <c r="A233" s="7">
        <f>Données!A233</f>
        <v>5803</v>
      </c>
      <c r="B233" s="27" t="str">
        <f>Données!B233</f>
        <v>Vulliens</v>
      </c>
      <c r="C233" s="8">
        <f>Données!C233+Données!D233</f>
        <v>1107174.5</v>
      </c>
      <c r="D233" s="8">
        <f>+Données!G233+Données!H233+Données!S233</f>
        <v>7258.9699999999993</v>
      </c>
      <c r="E233" s="8">
        <f>+Données!E233</f>
        <v>0</v>
      </c>
      <c r="F233" s="8">
        <f>+Données!I233</f>
        <v>0</v>
      </c>
      <c r="G233" s="8">
        <f>+Données!J233</f>
        <v>25407.47</v>
      </c>
      <c r="H233" s="8">
        <f>Données!U233</f>
        <v>-23277.01</v>
      </c>
      <c r="I233" s="154">
        <f>Données!V233</f>
        <v>0</v>
      </c>
      <c r="J233" s="154">
        <f>Données!W233</f>
        <v>-540.85</v>
      </c>
      <c r="K233" s="8">
        <f>+Données!Q233</f>
        <v>-336.85</v>
      </c>
      <c r="L233" s="350">
        <f t="shared" si="10"/>
        <v>1115686.2299999997</v>
      </c>
      <c r="M233" s="8">
        <f>+Données!F233</f>
        <v>0</v>
      </c>
      <c r="N233" s="8">
        <f>+Données!K233</f>
        <v>0</v>
      </c>
      <c r="O233" s="8">
        <f>(Données!L233/Données!Y233)*1</f>
        <v>111048.45</v>
      </c>
      <c r="P233" s="350">
        <f t="shared" si="11"/>
        <v>1226734.6799999997</v>
      </c>
      <c r="Q233" s="176">
        <f>+Données!X233</f>
        <v>74</v>
      </c>
      <c r="R233" s="350">
        <f t="shared" si="12"/>
        <v>16577.495675675673</v>
      </c>
    </row>
    <row r="234" spans="1:18" x14ac:dyDescent="0.25">
      <c r="A234" s="7">
        <f>Données!A234</f>
        <v>5804</v>
      </c>
      <c r="B234" s="27" t="str">
        <f>Données!B234</f>
        <v>Jorat-Menthue</v>
      </c>
      <c r="C234" s="8">
        <f>Données!C234+Données!D234</f>
        <v>2882487.18</v>
      </c>
      <c r="D234" s="8">
        <f>+Données!G234+Données!H234+Données!S234</f>
        <v>22034.11</v>
      </c>
      <c r="E234" s="8">
        <f>+Données!E234</f>
        <v>0</v>
      </c>
      <c r="F234" s="8">
        <f>+Données!I234</f>
        <v>0</v>
      </c>
      <c r="G234" s="8">
        <f>+Données!J234</f>
        <v>45799.15</v>
      </c>
      <c r="H234" s="8">
        <f>Données!U234</f>
        <v>-57096.959999999999</v>
      </c>
      <c r="I234" s="154">
        <f>Données!V234</f>
        <v>0</v>
      </c>
      <c r="J234" s="154">
        <f>Données!W234</f>
        <v>-1791.86</v>
      </c>
      <c r="K234" s="8">
        <f>+Données!Q234</f>
        <v>3920.01</v>
      </c>
      <c r="L234" s="350">
        <f t="shared" si="10"/>
        <v>2895351.63</v>
      </c>
      <c r="M234" s="8">
        <f>+Données!F234</f>
        <v>0</v>
      </c>
      <c r="N234" s="8">
        <f>+Données!K234</f>
        <v>3988.3</v>
      </c>
      <c r="O234" s="8">
        <f>(Données!L234/Données!Y234)*1</f>
        <v>281979.34999999998</v>
      </c>
      <c r="P234" s="350">
        <f t="shared" si="11"/>
        <v>3181319.28</v>
      </c>
      <c r="Q234" s="176">
        <f>+Données!X234</f>
        <v>70.5</v>
      </c>
      <c r="R234" s="350">
        <f t="shared" si="12"/>
        <v>45125.096170212761</v>
      </c>
    </row>
    <row r="235" spans="1:18" x14ac:dyDescent="0.25">
      <c r="A235" s="7">
        <f>Données!A235</f>
        <v>5805</v>
      </c>
      <c r="B235" s="27" t="str">
        <f>Données!B235</f>
        <v>Oron</v>
      </c>
      <c r="C235" s="8">
        <f>Données!C235+Données!D235</f>
        <v>10205563.369999999</v>
      </c>
      <c r="D235" s="8">
        <f>+Données!G235+Données!H235+Données!S235</f>
        <v>530588.15</v>
      </c>
      <c r="E235" s="8">
        <f>+Données!E235</f>
        <v>0</v>
      </c>
      <c r="F235" s="8">
        <f>+Données!I235</f>
        <v>74370.649999999994</v>
      </c>
      <c r="G235" s="8">
        <f>+Données!J235</f>
        <v>203413.32</v>
      </c>
      <c r="H235" s="8">
        <f>Données!U235</f>
        <v>-118672.78</v>
      </c>
      <c r="I235" s="154">
        <f>Données!V235</f>
        <v>0</v>
      </c>
      <c r="J235" s="154">
        <f>Données!W235</f>
        <v>-4816.6099999999997</v>
      </c>
      <c r="K235" s="8">
        <f>+Données!Q235</f>
        <v>18132.93</v>
      </c>
      <c r="L235" s="350">
        <f t="shared" si="10"/>
        <v>10908579.030000001</v>
      </c>
      <c r="M235" s="8">
        <f>+Données!F235</f>
        <v>0</v>
      </c>
      <c r="N235" s="8">
        <f>+Données!K235</f>
        <v>64003.6</v>
      </c>
      <c r="O235" s="8">
        <f>(Données!L235/Données!Y235)*1</f>
        <v>1068171.5454545454</v>
      </c>
      <c r="P235" s="350">
        <f t="shared" si="11"/>
        <v>12040754.175454546</v>
      </c>
      <c r="Q235" s="176">
        <f>+Données!X235</f>
        <v>69</v>
      </c>
      <c r="R235" s="350">
        <f t="shared" si="12"/>
        <v>174503.6837022398</v>
      </c>
    </row>
    <row r="236" spans="1:18" x14ac:dyDescent="0.25">
      <c r="A236" s="7">
        <f>Données!A236</f>
        <v>5806</v>
      </c>
      <c r="B236" s="27" t="str">
        <f>Données!B236</f>
        <v>Jorat-Mézières</v>
      </c>
      <c r="C236" s="8">
        <f>Données!C236+Données!D236</f>
        <v>6694153.7699999996</v>
      </c>
      <c r="D236" s="8">
        <f>+Données!G236+Données!H236+Données!S236</f>
        <v>116505.33</v>
      </c>
      <c r="E236" s="8">
        <f>+Données!E236</f>
        <v>0</v>
      </c>
      <c r="F236" s="8">
        <f>+Données!I236</f>
        <v>53357.25</v>
      </c>
      <c r="G236" s="8">
        <f>+Données!J236</f>
        <v>100414.72</v>
      </c>
      <c r="H236" s="8">
        <f>Données!U236</f>
        <v>-53150.83</v>
      </c>
      <c r="I236" s="154">
        <f>Données!V236</f>
        <v>0</v>
      </c>
      <c r="J236" s="154">
        <f>Données!W236</f>
        <v>-372.8</v>
      </c>
      <c r="K236" s="8">
        <f>+Données!Q236</f>
        <v>2128.75</v>
      </c>
      <c r="L236" s="350">
        <f t="shared" si="10"/>
        <v>6913036.1899999995</v>
      </c>
      <c r="M236" s="8">
        <f>+Données!F236</f>
        <v>0</v>
      </c>
      <c r="N236" s="8">
        <f>+Données!K236</f>
        <v>25727.55</v>
      </c>
      <c r="O236" s="8">
        <f>(Données!L236/Données!Y236)*1</f>
        <v>578527.15</v>
      </c>
      <c r="P236" s="350">
        <f t="shared" si="11"/>
        <v>7517290.8899999997</v>
      </c>
      <c r="Q236" s="176">
        <f>+Données!X236</f>
        <v>73</v>
      </c>
      <c r="R236" s="350">
        <f t="shared" si="12"/>
        <v>102976.58753424657</v>
      </c>
    </row>
    <row r="237" spans="1:18" x14ac:dyDescent="0.25">
      <c r="A237" s="7">
        <f>Données!A237</f>
        <v>5812</v>
      </c>
      <c r="B237" s="27" t="str">
        <f>Données!B237</f>
        <v>Champtauroz</v>
      </c>
      <c r="C237" s="8">
        <f>Données!C237+Données!D237</f>
        <v>252757.31</v>
      </c>
      <c r="D237" s="8">
        <f>+Données!G237+Données!H237+Données!S237</f>
        <v>1951.43</v>
      </c>
      <c r="E237" s="8">
        <f>+Données!E237</f>
        <v>0</v>
      </c>
      <c r="F237" s="8">
        <f>+Données!I237</f>
        <v>0</v>
      </c>
      <c r="G237" s="8">
        <f>+Données!J237</f>
        <v>3612.06</v>
      </c>
      <c r="H237" s="8">
        <f>Données!U237</f>
        <v>-71.84</v>
      </c>
      <c r="I237" s="154">
        <f>Données!V237</f>
        <v>0</v>
      </c>
      <c r="J237" s="154">
        <f>Données!W237</f>
        <v>-59.45</v>
      </c>
      <c r="K237" s="8">
        <f>+Données!Q237</f>
        <v>0</v>
      </c>
      <c r="L237" s="350">
        <f t="shared" si="10"/>
        <v>258189.50999999998</v>
      </c>
      <c r="M237" s="8">
        <f>+Données!F237</f>
        <v>0</v>
      </c>
      <c r="N237" s="8">
        <f>+Données!K237</f>
        <v>490.75</v>
      </c>
      <c r="O237" s="8">
        <f>(Données!L237/Données!Y237)*1</f>
        <v>23083.75</v>
      </c>
      <c r="P237" s="350">
        <f t="shared" si="11"/>
        <v>281764.01</v>
      </c>
      <c r="Q237" s="176">
        <f>+Données!X237</f>
        <v>77</v>
      </c>
      <c r="R237" s="350">
        <f t="shared" si="12"/>
        <v>3659.2728571428574</v>
      </c>
    </row>
    <row r="238" spans="1:18" x14ac:dyDescent="0.25">
      <c r="A238" s="7">
        <f>Données!A238</f>
        <v>5813</v>
      </c>
      <c r="B238" s="27" t="str">
        <f>Données!B238</f>
        <v>Chevroux</v>
      </c>
      <c r="C238" s="8">
        <f>Données!C238+Données!D238</f>
        <v>1005724.8</v>
      </c>
      <c r="D238" s="8">
        <f>+Données!G238+Données!H238+Données!S238</f>
        <v>109862.79</v>
      </c>
      <c r="E238" s="8">
        <f>+Données!E238</f>
        <v>0</v>
      </c>
      <c r="F238" s="8">
        <f>+Données!I238</f>
        <v>0</v>
      </c>
      <c r="G238" s="8">
        <f>+Données!J238</f>
        <v>10013.49</v>
      </c>
      <c r="H238" s="8">
        <f>Données!U238</f>
        <v>-31566.49</v>
      </c>
      <c r="I238" s="154">
        <f>Données!V238</f>
        <v>0</v>
      </c>
      <c r="J238" s="154">
        <f>Données!W238</f>
        <v>0</v>
      </c>
      <c r="K238" s="8">
        <f>+Données!Q238</f>
        <v>5003.75</v>
      </c>
      <c r="L238" s="350">
        <f t="shared" si="10"/>
        <v>1099038.3400000001</v>
      </c>
      <c r="M238" s="8">
        <f>+Données!F238</f>
        <v>3290</v>
      </c>
      <c r="N238" s="8">
        <f>+Données!K238</f>
        <v>0</v>
      </c>
      <c r="O238" s="8">
        <f>(Données!L238/Données!Y238)*1</f>
        <v>96251.833333333328</v>
      </c>
      <c r="P238" s="350">
        <f t="shared" si="11"/>
        <v>1198580.1733333333</v>
      </c>
      <c r="Q238" s="176">
        <f>+Données!X238</f>
        <v>68.5</v>
      </c>
      <c r="R238" s="350">
        <f t="shared" si="12"/>
        <v>17497.520778588809</v>
      </c>
    </row>
    <row r="239" spans="1:18" x14ac:dyDescent="0.25">
      <c r="A239" s="7">
        <f>Données!A239</f>
        <v>5816</v>
      </c>
      <c r="B239" s="27" t="str">
        <f>Données!B239</f>
        <v>Corcelles-près-Payerne</v>
      </c>
      <c r="C239" s="8">
        <f>Données!C239+Données!D239</f>
        <v>3807922.63</v>
      </c>
      <c r="D239" s="8">
        <f>+Données!G239+Données!H239+Données!S239</f>
        <v>188482.94999999998</v>
      </c>
      <c r="E239" s="8">
        <f>+Données!E239</f>
        <v>0</v>
      </c>
      <c r="F239" s="8">
        <f>+Données!I239</f>
        <v>0</v>
      </c>
      <c r="G239" s="8">
        <f>+Données!J239</f>
        <v>167122.35</v>
      </c>
      <c r="H239" s="8">
        <f>Données!U239</f>
        <v>-100909.65</v>
      </c>
      <c r="I239" s="154">
        <f>Données!V239</f>
        <v>0</v>
      </c>
      <c r="J239" s="154">
        <f>Données!W239</f>
        <v>-170.93</v>
      </c>
      <c r="K239" s="8">
        <f>+Données!Q239</f>
        <v>-12056.37</v>
      </c>
      <c r="L239" s="350">
        <f t="shared" si="10"/>
        <v>4050390.98</v>
      </c>
      <c r="M239" s="8">
        <f>+Données!F239</f>
        <v>0</v>
      </c>
      <c r="N239" s="8">
        <f>+Données!K239</f>
        <v>39104.400000000001</v>
      </c>
      <c r="O239" s="8">
        <f>(Données!L239/Données!Y239)*1</f>
        <v>410923.7857142858</v>
      </c>
      <c r="P239" s="350">
        <f t="shared" si="11"/>
        <v>4500419.1657142853</v>
      </c>
      <c r="Q239" s="176">
        <f>+Données!X239</f>
        <v>68.5</v>
      </c>
      <c r="R239" s="350">
        <f t="shared" si="12"/>
        <v>65699.549864442117</v>
      </c>
    </row>
    <row r="240" spans="1:18" x14ac:dyDescent="0.25">
      <c r="A240" s="7">
        <f>Données!A240</f>
        <v>5817</v>
      </c>
      <c r="B240" s="27" t="str">
        <f>Données!B240</f>
        <v>Grandcour</v>
      </c>
      <c r="C240" s="8">
        <f>Données!C240+Données!D240</f>
        <v>1701027.11</v>
      </c>
      <c r="D240" s="8">
        <f>+Données!G240+Données!H240+Données!S240</f>
        <v>33451.64</v>
      </c>
      <c r="E240" s="8">
        <f>+Données!E240</f>
        <v>0</v>
      </c>
      <c r="F240" s="8">
        <f>+Données!I240</f>
        <v>0</v>
      </c>
      <c r="G240" s="8">
        <f>+Données!J240</f>
        <v>39594.879999999997</v>
      </c>
      <c r="H240" s="8">
        <f>Données!U240</f>
        <v>-63071.83</v>
      </c>
      <c r="I240" s="154">
        <f>Données!V240</f>
        <v>0</v>
      </c>
      <c r="J240" s="154">
        <f>Données!W240</f>
        <v>-63.3</v>
      </c>
      <c r="K240" s="8">
        <f>+Données!Q240</f>
        <v>47850.87</v>
      </c>
      <c r="L240" s="350">
        <f t="shared" si="10"/>
        <v>1758789.3699999999</v>
      </c>
      <c r="M240" s="8">
        <f>+Données!F240</f>
        <v>5780</v>
      </c>
      <c r="N240" s="8">
        <f>+Données!K240</f>
        <v>4344.6499999999996</v>
      </c>
      <c r="O240" s="8">
        <f>(Données!L240/Données!Y240)*1</f>
        <v>135951.20000000001</v>
      </c>
      <c r="P240" s="350">
        <f t="shared" si="11"/>
        <v>1904865.2199999997</v>
      </c>
      <c r="Q240" s="176">
        <f>+Données!X240</f>
        <v>73.5</v>
      </c>
      <c r="R240" s="350">
        <f t="shared" si="12"/>
        <v>25916.533605442175</v>
      </c>
    </row>
    <row r="241" spans="1:18" x14ac:dyDescent="0.25">
      <c r="A241" s="7">
        <f>Données!A241</f>
        <v>5819</v>
      </c>
      <c r="B241" s="27" t="str">
        <f>Données!B241</f>
        <v>Henniez</v>
      </c>
      <c r="C241" s="8">
        <f>Données!C241+Données!D241</f>
        <v>596768.12</v>
      </c>
      <c r="D241" s="8">
        <f>+Données!G241+Données!H241+Données!S241</f>
        <v>23420.92</v>
      </c>
      <c r="E241" s="8">
        <f>+Données!E241</f>
        <v>0</v>
      </c>
      <c r="F241" s="8">
        <f>+Données!I241</f>
        <v>0</v>
      </c>
      <c r="G241" s="8">
        <f>+Données!J241</f>
        <v>18058.77</v>
      </c>
      <c r="H241" s="8">
        <f>Données!U241</f>
        <v>-24581.52</v>
      </c>
      <c r="I241" s="154">
        <f>Données!V241</f>
        <v>0</v>
      </c>
      <c r="J241" s="154">
        <f>Données!W241</f>
        <v>-0.01</v>
      </c>
      <c r="K241" s="8">
        <f>+Données!Q241</f>
        <v>1369.25</v>
      </c>
      <c r="L241" s="350">
        <f t="shared" si="10"/>
        <v>615035.53</v>
      </c>
      <c r="M241" s="8">
        <f>+Données!F241</f>
        <v>0</v>
      </c>
      <c r="N241" s="8">
        <f>+Données!K241</f>
        <v>2089.35</v>
      </c>
      <c r="O241" s="8">
        <f>(Données!L241/Données!Y241)*1</f>
        <v>91883.55</v>
      </c>
      <c r="P241" s="350">
        <f t="shared" si="11"/>
        <v>709008.43</v>
      </c>
      <c r="Q241" s="176">
        <f>+Données!X241</f>
        <v>69</v>
      </c>
      <c r="R241" s="350">
        <f t="shared" si="12"/>
        <v>10275.484492753623</v>
      </c>
    </row>
    <row r="242" spans="1:18" x14ac:dyDescent="0.25">
      <c r="A242" s="7">
        <f>Données!A242</f>
        <v>5821</v>
      </c>
      <c r="B242" s="27" t="str">
        <f>Données!B242</f>
        <v>Missy</v>
      </c>
      <c r="C242" s="8">
        <f>Données!C242+Données!D242</f>
        <v>537500.08000000007</v>
      </c>
      <c r="D242" s="8">
        <f>+Données!G242+Données!H242+Données!S242</f>
        <v>5510.8899999999994</v>
      </c>
      <c r="E242" s="8">
        <f>+Données!E242</f>
        <v>0</v>
      </c>
      <c r="F242" s="8">
        <f>+Données!I242</f>
        <v>0</v>
      </c>
      <c r="G242" s="8">
        <f>+Données!J242</f>
        <v>10203.67</v>
      </c>
      <c r="H242" s="8">
        <f>Données!U242</f>
        <v>-7359.76</v>
      </c>
      <c r="I242" s="154">
        <f>Données!V242</f>
        <v>0</v>
      </c>
      <c r="J242" s="154">
        <f>Données!W242</f>
        <v>0</v>
      </c>
      <c r="K242" s="8">
        <f>+Données!Q242</f>
        <v>0</v>
      </c>
      <c r="L242" s="350">
        <f t="shared" si="10"/>
        <v>545854.88000000012</v>
      </c>
      <c r="M242" s="8">
        <f>+Données!F242</f>
        <v>2190</v>
      </c>
      <c r="N242" s="8">
        <f>+Données!K242</f>
        <v>1305</v>
      </c>
      <c r="O242" s="8">
        <f>(Données!L242/Données!Y242)*1</f>
        <v>53715.199999999997</v>
      </c>
      <c r="P242" s="350">
        <f t="shared" si="11"/>
        <v>603065.08000000007</v>
      </c>
      <c r="Q242" s="176">
        <f>+Données!X242</f>
        <v>72</v>
      </c>
      <c r="R242" s="350">
        <f t="shared" si="12"/>
        <v>8375.9038888888899</v>
      </c>
    </row>
    <row r="243" spans="1:18" x14ac:dyDescent="0.25">
      <c r="A243" s="7">
        <f>Données!A243</f>
        <v>5822</v>
      </c>
      <c r="B243" s="27" t="str">
        <f>Données!B243</f>
        <v>Payerne</v>
      </c>
      <c r="C243" s="8">
        <f>Données!C243+Données!D243</f>
        <v>13374395.760000002</v>
      </c>
      <c r="D243" s="8">
        <f>+Données!G243+Données!H243+Données!S243</f>
        <v>1360516.38</v>
      </c>
      <c r="E243" s="8">
        <f>+Données!E243</f>
        <v>0</v>
      </c>
      <c r="F243" s="8">
        <f>+Données!I243</f>
        <v>0</v>
      </c>
      <c r="G243" s="8">
        <f>+Données!J243</f>
        <v>766046.68</v>
      </c>
      <c r="H243" s="8">
        <f>Données!U243</f>
        <v>-818205.67</v>
      </c>
      <c r="I243" s="154">
        <f>Données!V243</f>
        <v>0</v>
      </c>
      <c r="J243" s="154">
        <f>Données!W243</f>
        <v>-1463.71</v>
      </c>
      <c r="K243" s="8">
        <f>+Données!Q243</f>
        <v>127056.52</v>
      </c>
      <c r="L243" s="350">
        <f t="shared" si="10"/>
        <v>14808345.959999999</v>
      </c>
      <c r="M243" s="8">
        <f>+Données!F243</f>
        <v>0</v>
      </c>
      <c r="N243" s="8">
        <f>+Données!K243</f>
        <v>194676.8</v>
      </c>
      <c r="O243" s="8">
        <f>(Données!L243/Données!Y243)*1</f>
        <v>1555520.9</v>
      </c>
      <c r="P243" s="350">
        <f t="shared" si="11"/>
        <v>16558543.66</v>
      </c>
      <c r="Q243" s="176">
        <f>+Données!X243</f>
        <v>73</v>
      </c>
      <c r="R243" s="350">
        <f t="shared" si="12"/>
        <v>226829.36520547947</v>
      </c>
    </row>
    <row r="244" spans="1:18" x14ac:dyDescent="0.25">
      <c r="A244" s="7">
        <f>Données!A244</f>
        <v>5827</v>
      </c>
      <c r="B244" s="27" t="str">
        <f>Données!B244</f>
        <v>Trey</v>
      </c>
      <c r="C244" s="8">
        <f>Données!C244+Données!D244</f>
        <v>532111.83000000007</v>
      </c>
      <c r="D244" s="8">
        <f>+Données!G244+Données!H244+Données!S244</f>
        <v>27709.100000000002</v>
      </c>
      <c r="E244" s="8">
        <f>+Données!E244</f>
        <v>0</v>
      </c>
      <c r="F244" s="8">
        <f>+Données!I244</f>
        <v>0</v>
      </c>
      <c r="G244" s="8">
        <f>+Données!J244</f>
        <v>9815.5499999999993</v>
      </c>
      <c r="H244" s="8">
        <f>Données!U244</f>
        <v>-17655.27</v>
      </c>
      <c r="I244" s="154">
        <f>Données!V244</f>
        <v>0</v>
      </c>
      <c r="J244" s="154">
        <f>Données!W244</f>
        <v>0</v>
      </c>
      <c r="K244" s="8">
        <f>+Données!Q244</f>
        <v>0</v>
      </c>
      <c r="L244" s="350">
        <f t="shared" si="10"/>
        <v>551981.21000000008</v>
      </c>
      <c r="M244" s="8">
        <f>+Données!F244</f>
        <v>1500</v>
      </c>
      <c r="N244" s="8">
        <f>+Données!K244</f>
        <v>1522.35</v>
      </c>
      <c r="O244" s="8">
        <f>(Données!L244/Données!Y244)*1</f>
        <v>46764.25</v>
      </c>
      <c r="P244" s="350">
        <f t="shared" si="11"/>
        <v>601767.81000000006</v>
      </c>
      <c r="Q244" s="176">
        <f>+Données!X244</f>
        <v>78</v>
      </c>
      <c r="R244" s="350">
        <f t="shared" si="12"/>
        <v>7714.9719230769242</v>
      </c>
    </row>
    <row r="245" spans="1:18" x14ac:dyDescent="0.25">
      <c r="A245" s="7">
        <f>Données!A245</f>
        <v>5828</v>
      </c>
      <c r="B245" s="27" t="str">
        <f>Données!B245</f>
        <v>Treytorrens (Payerne)</v>
      </c>
      <c r="C245" s="8">
        <f>Données!C245+Données!D245</f>
        <v>220034.63</v>
      </c>
      <c r="D245" s="8">
        <f>+Données!G245+Données!H245+Données!S245</f>
        <v>284.45999999999998</v>
      </c>
      <c r="E245" s="8">
        <f>+Données!E245</f>
        <v>0</v>
      </c>
      <c r="F245" s="8">
        <f>+Données!I245</f>
        <v>0</v>
      </c>
      <c r="G245" s="8">
        <f>+Données!J245</f>
        <v>214.17</v>
      </c>
      <c r="H245" s="8">
        <f>Données!U245</f>
        <v>-4867.42</v>
      </c>
      <c r="I245" s="154">
        <f>Données!V245</f>
        <v>0</v>
      </c>
      <c r="J245" s="154">
        <f>Données!W245</f>
        <v>0</v>
      </c>
      <c r="K245" s="8">
        <f>+Données!Q245</f>
        <v>0</v>
      </c>
      <c r="L245" s="350">
        <f t="shared" si="10"/>
        <v>215665.84</v>
      </c>
      <c r="M245" s="8">
        <f>+Données!F245</f>
        <v>0</v>
      </c>
      <c r="N245" s="8">
        <f>+Données!K245</f>
        <v>0</v>
      </c>
      <c r="O245" s="8">
        <f>(Données!L245/Données!Y245)*1</f>
        <v>17815.666666666668</v>
      </c>
      <c r="P245" s="350">
        <f t="shared" si="11"/>
        <v>233481.50666666665</v>
      </c>
      <c r="Q245" s="176">
        <f>+Données!X245</f>
        <v>81.5</v>
      </c>
      <c r="R245" s="350">
        <f t="shared" si="12"/>
        <v>2864.8037627811859</v>
      </c>
    </row>
    <row r="246" spans="1:18" x14ac:dyDescent="0.25">
      <c r="A246" s="7">
        <f>Données!A246</f>
        <v>5830</v>
      </c>
      <c r="B246" s="27" t="str">
        <f>Données!B246</f>
        <v>Villarzel</v>
      </c>
      <c r="C246" s="8">
        <f>Données!C246+Données!D246</f>
        <v>855904.53</v>
      </c>
      <c r="D246" s="8">
        <f>+Données!G246+Données!H246+Données!S246</f>
        <v>10748.789999999999</v>
      </c>
      <c r="E246" s="8">
        <f>+Données!E246</f>
        <v>0</v>
      </c>
      <c r="F246" s="8">
        <f>+Données!I246</f>
        <v>0</v>
      </c>
      <c r="G246" s="8">
        <f>+Données!J246</f>
        <v>11408.04</v>
      </c>
      <c r="H246" s="8">
        <f>Données!U246</f>
        <v>-5927.43</v>
      </c>
      <c r="I246" s="154">
        <f>Données!V246</f>
        <v>0</v>
      </c>
      <c r="J246" s="154">
        <f>Données!W246</f>
        <v>-0.01</v>
      </c>
      <c r="K246" s="8">
        <f>+Données!Q246</f>
        <v>510.34</v>
      </c>
      <c r="L246" s="350">
        <f t="shared" si="10"/>
        <v>872644.26</v>
      </c>
      <c r="M246" s="8">
        <f>+Données!F246</f>
        <v>0</v>
      </c>
      <c r="N246" s="8">
        <f>+Données!K246</f>
        <v>705.4</v>
      </c>
      <c r="O246" s="8">
        <f>(Données!L246/Données!Y246)*1</f>
        <v>62205.3</v>
      </c>
      <c r="P246" s="350">
        <f t="shared" si="11"/>
        <v>935554.96000000008</v>
      </c>
      <c r="Q246" s="176">
        <f>+Données!X246</f>
        <v>75</v>
      </c>
      <c r="R246" s="350">
        <f t="shared" si="12"/>
        <v>12474.066133333334</v>
      </c>
    </row>
    <row r="247" spans="1:18" x14ac:dyDescent="0.25">
      <c r="A247" s="7">
        <f>Données!A247</f>
        <v>5831</v>
      </c>
      <c r="B247" s="27" t="str">
        <f>Données!B247</f>
        <v>Valbroye</v>
      </c>
      <c r="C247" s="8">
        <f>Données!C247+Données!D247</f>
        <v>5028362.3899999997</v>
      </c>
      <c r="D247" s="8">
        <f>+Données!G247+Données!H247+Données!S247</f>
        <v>482449.32999999996</v>
      </c>
      <c r="E247" s="8">
        <f>+Données!E247</f>
        <v>0</v>
      </c>
      <c r="F247" s="8">
        <f>+Données!I247</f>
        <v>0</v>
      </c>
      <c r="G247" s="8">
        <f>+Données!J247</f>
        <v>180872.61</v>
      </c>
      <c r="H247" s="8">
        <f>Données!U247</f>
        <v>-94076.25</v>
      </c>
      <c r="I247" s="154">
        <f>Données!V247</f>
        <v>0</v>
      </c>
      <c r="J247" s="154">
        <f>Données!W247</f>
        <v>-565.36</v>
      </c>
      <c r="K247" s="8">
        <f>+Données!Q247</f>
        <v>22808.86</v>
      </c>
      <c r="L247" s="350">
        <f t="shared" si="10"/>
        <v>5619851.5800000001</v>
      </c>
      <c r="M247" s="8">
        <f>+Données!F247</f>
        <v>0</v>
      </c>
      <c r="N247" s="8">
        <f>+Données!K247</f>
        <v>3858.6</v>
      </c>
      <c r="O247" s="8">
        <f>(Données!L247/Données!Y247)*1</f>
        <v>542578.41666666663</v>
      </c>
      <c r="P247" s="350">
        <f t="shared" si="11"/>
        <v>6166288.5966666667</v>
      </c>
      <c r="Q247" s="176">
        <f>+Données!X247</f>
        <v>70.5</v>
      </c>
      <c r="R247" s="350">
        <f t="shared" si="12"/>
        <v>87465.086477541365</v>
      </c>
    </row>
    <row r="248" spans="1:18" x14ac:dyDescent="0.25">
      <c r="A248" s="7">
        <f>Données!A248</f>
        <v>5841</v>
      </c>
      <c r="B248" s="27" t="str">
        <f>Données!B248</f>
        <v>Château-d'Oex</v>
      </c>
      <c r="C248" s="8">
        <f>Données!C248+Données!D248</f>
        <v>7437954.4899999993</v>
      </c>
      <c r="D248" s="8">
        <f>+Données!G248+Données!H248+Données!S248</f>
        <v>305077.82999999996</v>
      </c>
      <c r="E248" s="8">
        <f>+Données!E248</f>
        <v>0</v>
      </c>
      <c r="F248" s="8">
        <f>+Données!I248</f>
        <v>853965.84</v>
      </c>
      <c r="G248" s="8">
        <f>+Données!J248</f>
        <v>417082.16</v>
      </c>
      <c r="H248" s="8">
        <f>Données!U248</f>
        <v>-45201.77</v>
      </c>
      <c r="I248" s="154">
        <f>Données!V248</f>
        <v>0</v>
      </c>
      <c r="J248" s="154">
        <f>Données!W248</f>
        <v>-17655.37</v>
      </c>
      <c r="K248" s="8">
        <f>+Données!Q248</f>
        <v>78734.740000000005</v>
      </c>
      <c r="L248" s="350">
        <f t="shared" si="10"/>
        <v>9029957.9200000018</v>
      </c>
      <c r="M248" s="8">
        <f>+Données!F248</f>
        <v>0</v>
      </c>
      <c r="N248" s="8">
        <f>+Données!K248</f>
        <v>12287.95</v>
      </c>
      <c r="O248" s="8">
        <f>(Données!L248/Données!Y248)*1</f>
        <v>1049572.7466666668</v>
      </c>
      <c r="P248" s="350">
        <f t="shared" si="11"/>
        <v>10091818.616666667</v>
      </c>
      <c r="Q248" s="176">
        <f>+Données!X248</f>
        <v>81.5</v>
      </c>
      <c r="R248" s="350">
        <f t="shared" si="12"/>
        <v>123825.99529652353</v>
      </c>
    </row>
    <row r="249" spans="1:18" x14ac:dyDescent="0.25">
      <c r="A249" s="7">
        <f>Données!A249</f>
        <v>5842</v>
      </c>
      <c r="B249" s="27" t="str">
        <f>Données!B249</f>
        <v>Rossinière</v>
      </c>
      <c r="C249" s="8">
        <f>Données!C249+Données!D249</f>
        <v>1061928.52</v>
      </c>
      <c r="D249" s="8">
        <f>+Données!G249+Données!H249+Données!S249</f>
        <v>112503.76</v>
      </c>
      <c r="E249" s="8">
        <f>+Données!E249</f>
        <v>0</v>
      </c>
      <c r="F249" s="8">
        <f>+Données!I249</f>
        <v>44271.34</v>
      </c>
      <c r="G249" s="8">
        <f>+Données!J249</f>
        <v>17955.78</v>
      </c>
      <c r="H249" s="8">
        <f>Données!U249</f>
        <v>-2991.73</v>
      </c>
      <c r="I249" s="154">
        <f>Données!V249</f>
        <v>0</v>
      </c>
      <c r="J249" s="154">
        <f>Données!W249</f>
        <v>-49.67</v>
      </c>
      <c r="K249" s="8">
        <f>+Données!Q249</f>
        <v>2762.52</v>
      </c>
      <c r="L249" s="350">
        <f t="shared" si="10"/>
        <v>1236380.5200000003</v>
      </c>
      <c r="M249" s="8">
        <f>+Données!F249</f>
        <v>0</v>
      </c>
      <c r="N249" s="8">
        <f>+Données!K249</f>
        <v>687.35</v>
      </c>
      <c r="O249" s="8">
        <f>(Données!L249/Données!Y249)*1</f>
        <v>97253.933333333334</v>
      </c>
      <c r="P249" s="350">
        <f t="shared" si="11"/>
        <v>1334321.8033333337</v>
      </c>
      <c r="Q249" s="176">
        <f>+Données!X249</f>
        <v>81</v>
      </c>
      <c r="R249" s="350">
        <f t="shared" si="12"/>
        <v>16473.108683127575</v>
      </c>
    </row>
    <row r="250" spans="1:18" x14ac:dyDescent="0.25">
      <c r="A250" s="7">
        <f>Données!A250</f>
        <v>5843</v>
      </c>
      <c r="B250" s="27" t="str">
        <f>Données!B250</f>
        <v>Rougemont</v>
      </c>
      <c r="C250" s="8">
        <f>Données!C250+Données!D250</f>
        <v>4842814.38</v>
      </c>
      <c r="D250" s="8">
        <f>+Données!G250+Données!H250+Données!S250</f>
        <v>156464.03</v>
      </c>
      <c r="E250" s="8">
        <f>+Données!E250</f>
        <v>0</v>
      </c>
      <c r="F250" s="8">
        <f>+Données!I250</f>
        <v>1159560.9099999999</v>
      </c>
      <c r="G250" s="8">
        <f>+Données!J250</f>
        <v>119291.12</v>
      </c>
      <c r="H250" s="8">
        <f>Données!U250</f>
        <v>-18068.29</v>
      </c>
      <c r="I250" s="154">
        <f>Données!V250</f>
        <v>0</v>
      </c>
      <c r="J250" s="154">
        <f>Données!W250</f>
        <v>-19678.599999999999</v>
      </c>
      <c r="K250" s="8">
        <f>+Données!Q250</f>
        <v>0</v>
      </c>
      <c r="L250" s="350">
        <f t="shared" si="10"/>
        <v>6240383.5500000007</v>
      </c>
      <c r="M250" s="8">
        <f>+Données!F250</f>
        <v>0</v>
      </c>
      <c r="N250" s="8">
        <f>+Données!K250</f>
        <v>30953.05</v>
      </c>
      <c r="O250" s="8">
        <f>(Données!L250/Données!Y250)*1</f>
        <v>817747.43333333323</v>
      </c>
      <c r="P250" s="350">
        <f t="shared" si="11"/>
        <v>7089084.0333333341</v>
      </c>
      <c r="Q250" s="176">
        <f>+Données!X250</f>
        <v>79</v>
      </c>
      <c r="R250" s="350">
        <f t="shared" si="12"/>
        <v>89735.240928270054</v>
      </c>
    </row>
    <row r="251" spans="1:18" x14ac:dyDescent="0.25">
      <c r="A251" s="7">
        <f>Données!A251</f>
        <v>5851</v>
      </c>
      <c r="B251" s="27" t="str">
        <f>Données!B251</f>
        <v>Allaman</v>
      </c>
      <c r="C251" s="8">
        <f>Données!C251+Données!D251</f>
        <v>1117482.56</v>
      </c>
      <c r="D251" s="8">
        <f>+Données!G251+Données!H251+Données!S251</f>
        <v>123216.13</v>
      </c>
      <c r="E251" s="8">
        <f>+Données!E251</f>
        <v>0</v>
      </c>
      <c r="F251" s="8">
        <f>+Données!I251</f>
        <v>79456.45</v>
      </c>
      <c r="G251" s="8">
        <f>+Données!J251</f>
        <v>70206.69</v>
      </c>
      <c r="H251" s="8">
        <f>Données!U251</f>
        <v>-22469.91</v>
      </c>
      <c r="I251" s="154">
        <f>Données!V251</f>
        <v>0</v>
      </c>
      <c r="J251" s="154">
        <f>Données!W251</f>
        <v>-899.9</v>
      </c>
      <c r="K251" s="8">
        <f>+Données!Q251</f>
        <v>522.39</v>
      </c>
      <c r="L251" s="350">
        <f t="shared" si="10"/>
        <v>1367514.41</v>
      </c>
      <c r="M251" s="8">
        <f>+Données!F251</f>
        <v>0</v>
      </c>
      <c r="N251" s="8">
        <f>+Données!K251</f>
        <v>10918.4</v>
      </c>
      <c r="O251" s="8">
        <f>(Données!L251/Données!Y251)*1</f>
        <v>223833.41666666666</v>
      </c>
      <c r="P251" s="350">
        <f t="shared" si="11"/>
        <v>1602266.2266666666</v>
      </c>
      <c r="Q251" s="176">
        <f>+Données!X251</f>
        <v>65</v>
      </c>
      <c r="R251" s="350">
        <f t="shared" si="12"/>
        <v>24650.249641025639</v>
      </c>
    </row>
    <row r="252" spans="1:18" x14ac:dyDescent="0.25">
      <c r="A252" s="7">
        <f>Données!A252</f>
        <v>5852</v>
      </c>
      <c r="B252" s="27" t="str">
        <f>Données!B252</f>
        <v>Bursinel</v>
      </c>
      <c r="C252" s="8">
        <f>Données!C252+Données!D252</f>
        <v>1729325.43</v>
      </c>
      <c r="D252" s="8">
        <f>+Données!G252+Données!H252+Données!S252</f>
        <v>48711.7</v>
      </c>
      <c r="E252" s="8">
        <f>+Données!E252</f>
        <v>0</v>
      </c>
      <c r="F252" s="8">
        <f>+Données!I252</f>
        <v>249327.18</v>
      </c>
      <c r="G252" s="8">
        <f>+Données!J252</f>
        <v>27293.119999999999</v>
      </c>
      <c r="H252" s="8">
        <f>Données!U252</f>
        <v>-16711.259999999998</v>
      </c>
      <c r="I252" s="154">
        <f>Données!V252</f>
        <v>0</v>
      </c>
      <c r="J252" s="154">
        <f>Données!W252</f>
        <v>-33207.4</v>
      </c>
      <c r="K252" s="8">
        <f>+Données!Q252</f>
        <v>0</v>
      </c>
      <c r="L252" s="350">
        <f t="shared" si="10"/>
        <v>2004738.77</v>
      </c>
      <c r="M252" s="8">
        <f>+Données!F252</f>
        <v>0</v>
      </c>
      <c r="N252" s="8">
        <f>+Données!K252</f>
        <v>11969.35</v>
      </c>
      <c r="O252" s="8">
        <f>(Données!L252/Données!Y252)*1</f>
        <v>193527.80000000002</v>
      </c>
      <c r="P252" s="350">
        <f t="shared" si="11"/>
        <v>2210235.92</v>
      </c>
      <c r="Q252" s="176">
        <f>+Données!X252</f>
        <v>62</v>
      </c>
      <c r="R252" s="350">
        <f t="shared" si="12"/>
        <v>35648.966451612905</v>
      </c>
    </row>
    <row r="253" spans="1:18" x14ac:dyDescent="0.25">
      <c r="A253" s="7">
        <f>Données!A253</f>
        <v>5853</v>
      </c>
      <c r="B253" s="27" t="str">
        <f>Données!B253</f>
        <v>Bursins</v>
      </c>
      <c r="C253" s="8">
        <f>Données!C253+Données!D253</f>
        <v>2809190.6999999997</v>
      </c>
      <c r="D253" s="8">
        <f>+Données!G253+Données!H253+Données!S253</f>
        <v>46036.570000000007</v>
      </c>
      <c r="E253" s="8">
        <f>+Données!E253</f>
        <v>0</v>
      </c>
      <c r="F253" s="8">
        <f>+Données!I253</f>
        <v>323945.40000000002</v>
      </c>
      <c r="G253" s="8">
        <f>+Données!J253</f>
        <v>-18891.330000000002</v>
      </c>
      <c r="H253" s="8">
        <f>Données!U253</f>
        <v>-21887.99</v>
      </c>
      <c r="I253" s="154">
        <f>Données!V253</f>
        <v>0</v>
      </c>
      <c r="J253" s="154">
        <f>Données!W253</f>
        <v>-1991.1</v>
      </c>
      <c r="K253" s="8">
        <f>+Données!Q253</f>
        <v>1673.99</v>
      </c>
      <c r="L253" s="350">
        <f t="shared" si="10"/>
        <v>3138076.2399999993</v>
      </c>
      <c r="M253" s="8">
        <f>+Données!F253</f>
        <v>0</v>
      </c>
      <c r="N253" s="8">
        <f>+Données!K253</f>
        <v>12308.25</v>
      </c>
      <c r="O253" s="8">
        <f>(Données!L253/Données!Y253)*1</f>
        <v>224651.2</v>
      </c>
      <c r="P253" s="350">
        <f t="shared" si="11"/>
        <v>3375035.6899999995</v>
      </c>
      <c r="Q253" s="176">
        <f>+Données!X253</f>
        <v>71</v>
      </c>
      <c r="R253" s="350">
        <f t="shared" si="12"/>
        <v>47535.713943661962</v>
      </c>
    </row>
    <row r="254" spans="1:18" x14ac:dyDescent="0.25">
      <c r="A254" s="7">
        <f>Données!A254</f>
        <v>5854</v>
      </c>
      <c r="B254" s="27" t="str">
        <f>Données!B254</f>
        <v>Burtigny</v>
      </c>
      <c r="C254" s="8">
        <f>Données!C254+Données!D254</f>
        <v>1132330.56</v>
      </c>
      <c r="D254" s="8">
        <f>+Données!G254+Données!H254+Données!S254</f>
        <v>5536.26</v>
      </c>
      <c r="E254" s="8">
        <f>+Données!E254</f>
        <v>0</v>
      </c>
      <c r="F254" s="8">
        <f>+Données!I254</f>
        <v>0</v>
      </c>
      <c r="G254" s="8">
        <f>+Données!J254</f>
        <v>-5462.51</v>
      </c>
      <c r="H254" s="8">
        <f>Données!U254</f>
        <v>-15984.02</v>
      </c>
      <c r="I254" s="154">
        <f>Données!V254</f>
        <v>0</v>
      </c>
      <c r="J254" s="154">
        <f>Données!W254</f>
        <v>-703.74</v>
      </c>
      <c r="K254" s="8">
        <f>+Données!Q254</f>
        <v>0</v>
      </c>
      <c r="L254" s="350">
        <f t="shared" si="10"/>
        <v>1115716.55</v>
      </c>
      <c r="M254" s="8">
        <f>+Données!F254</f>
        <v>0</v>
      </c>
      <c r="N254" s="8">
        <f>+Données!K254</f>
        <v>3396.9</v>
      </c>
      <c r="O254" s="8">
        <f>(Données!L254/Données!Y254)*1</f>
        <v>78861.46666666666</v>
      </c>
      <c r="P254" s="350">
        <f t="shared" si="11"/>
        <v>1197974.9166666665</v>
      </c>
      <c r="Q254" s="176">
        <f>+Données!X254</f>
        <v>78.5</v>
      </c>
      <c r="R254" s="350">
        <f t="shared" si="12"/>
        <v>15260.82696390658</v>
      </c>
    </row>
    <row r="255" spans="1:18" x14ac:dyDescent="0.25">
      <c r="A255" s="7">
        <f>Données!A255</f>
        <v>5855</v>
      </c>
      <c r="B255" s="27" t="str">
        <f>Données!B255</f>
        <v>Dully</v>
      </c>
      <c r="C255" s="8">
        <f>Données!C255+Données!D255</f>
        <v>3052470.86</v>
      </c>
      <c r="D255" s="8">
        <f>+Données!G255+Données!H255+Données!S255</f>
        <v>38020.910000000003</v>
      </c>
      <c r="E255" s="8">
        <f>+Données!E255</f>
        <v>0</v>
      </c>
      <c r="F255" s="8">
        <f>+Données!I255</f>
        <v>901132.28</v>
      </c>
      <c r="G255" s="8">
        <f>+Données!J255</f>
        <v>-6793.38</v>
      </c>
      <c r="H255" s="8">
        <f>Données!U255</f>
        <v>-1344.77</v>
      </c>
      <c r="I255" s="154">
        <f>Données!V255</f>
        <v>0</v>
      </c>
      <c r="J255" s="154">
        <f>Données!W255</f>
        <v>-18880.830000000002</v>
      </c>
      <c r="K255" s="8">
        <f>+Données!Q255</f>
        <v>0</v>
      </c>
      <c r="L255" s="350">
        <f t="shared" si="10"/>
        <v>3964605.07</v>
      </c>
      <c r="M255" s="8">
        <f>+Données!F255</f>
        <v>0</v>
      </c>
      <c r="N255" s="8">
        <f>+Données!K255</f>
        <v>24306</v>
      </c>
      <c r="O255" s="8">
        <f>(Données!L255/Données!Y255)*1</f>
        <v>387368.7</v>
      </c>
      <c r="P255" s="350">
        <f t="shared" si="11"/>
        <v>4376279.7699999996</v>
      </c>
      <c r="Q255" s="176">
        <f>+Données!X255</f>
        <v>53</v>
      </c>
      <c r="R255" s="350">
        <f t="shared" si="12"/>
        <v>82571.316415094334</v>
      </c>
    </row>
    <row r="256" spans="1:18" x14ac:dyDescent="0.25">
      <c r="A256" s="7">
        <f>Données!A256</f>
        <v>5856</v>
      </c>
      <c r="B256" s="27" t="str">
        <f>Données!B256</f>
        <v>Essertines-sur-Rolle</v>
      </c>
      <c r="C256" s="8">
        <f>Données!C256+Données!D256</f>
        <v>1992218.7400000002</v>
      </c>
      <c r="D256" s="8">
        <f>+Données!G256+Données!H256+Données!S256</f>
        <v>6402.12</v>
      </c>
      <c r="E256" s="8">
        <f>+Données!E256</f>
        <v>0</v>
      </c>
      <c r="F256" s="8">
        <f>+Données!I256</f>
        <v>211283.6</v>
      </c>
      <c r="G256" s="8">
        <f>+Données!J256</f>
        <v>23463.119999999999</v>
      </c>
      <c r="H256" s="8">
        <f>Données!U256</f>
        <v>-10033.66</v>
      </c>
      <c r="I256" s="154">
        <f>Données!V256</f>
        <v>0</v>
      </c>
      <c r="J256" s="154">
        <f>Données!W256</f>
        <v>-1888.65</v>
      </c>
      <c r="K256" s="8">
        <f>+Données!Q256</f>
        <v>0</v>
      </c>
      <c r="L256" s="350">
        <f t="shared" si="10"/>
        <v>2221445.2700000005</v>
      </c>
      <c r="M256" s="8">
        <f>+Données!F256</f>
        <v>0</v>
      </c>
      <c r="N256" s="8">
        <f>+Données!K256</f>
        <v>1841.65</v>
      </c>
      <c r="O256" s="8">
        <f>(Données!L256/Données!Y256)*1</f>
        <v>201352</v>
      </c>
      <c r="P256" s="350">
        <f t="shared" si="11"/>
        <v>2424638.9200000004</v>
      </c>
      <c r="Q256" s="176">
        <f>+Données!X256</f>
        <v>66.5</v>
      </c>
      <c r="R256" s="350">
        <f t="shared" si="12"/>
        <v>36460.735639097751</v>
      </c>
    </row>
    <row r="257" spans="1:18" x14ac:dyDescent="0.25">
      <c r="A257" s="7">
        <f>Données!A257</f>
        <v>5857</v>
      </c>
      <c r="B257" s="27" t="str">
        <f>Données!B257</f>
        <v>Gilly</v>
      </c>
      <c r="C257" s="8">
        <f>Données!C257+Données!D257</f>
        <v>5197056.59</v>
      </c>
      <c r="D257" s="8">
        <f>+Données!G257+Données!H257+Données!S257</f>
        <v>-116127.35</v>
      </c>
      <c r="E257" s="8">
        <f>+Données!E257</f>
        <v>0</v>
      </c>
      <c r="F257" s="8">
        <f>+Données!I257</f>
        <v>0</v>
      </c>
      <c r="G257" s="8">
        <f>+Données!J257</f>
        <v>122367.82</v>
      </c>
      <c r="H257" s="8">
        <f>Données!U257</f>
        <v>-32334.42</v>
      </c>
      <c r="I257" s="154">
        <f>Données!V257</f>
        <v>0</v>
      </c>
      <c r="J257" s="154">
        <f>Données!W257</f>
        <v>-858.55</v>
      </c>
      <c r="K257" s="8">
        <f>+Données!Q257</f>
        <v>13.25</v>
      </c>
      <c r="L257" s="350">
        <f t="shared" si="10"/>
        <v>5170117.3400000008</v>
      </c>
      <c r="M257" s="8">
        <f>+Données!F257</f>
        <v>0</v>
      </c>
      <c r="N257" s="8">
        <f>+Données!K257</f>
        <v>18053.400000000001</v>
      </c>
      <c r="O257" s="8">
        <f>(Données!L257/Données!Y257)*1</f>
        <v>424415.65</v>
      </c>
      <c r="P257" s="350">
        <f t="shared" si="11"/>
        <v>5612586.3900000015</v>
      </c>
      <c r="Q257" s="176">
        <f>+Données!X257</f>
        <v>64.5</v>
      </c>
      <c r="R257" s="350">
        <f t="shared" si="12"/>
        <v>87016.843255813976</v>
      </c>
    </row>
    <row r="258" spans="1:18" x14ac:dyDescent="0.25">
      <c r="A258" s="7">
        <f>Données!A258</f>
        <v>5858</v>
      </c>
      <c r="B258" s="27" t="str">
        <f>Données!B258</f>
        <v>Luins</v>
      </c>
      <c r="C258" s="8">
        <f>Données!C258+Données!D258</f>
        <v>2297225.67</v>
      </c>
      <c r="D258" s="8">
        <f>+Données!G258+Données!H258+Données!S258</f>
        <v>-118.45000000000005</v>
      </c>
      <c r="E258" s="8">
        <f>+Données!E258</f>
        <v>0</v>
      </c>
      <c r="F258" s="8">
        <f>+Données!I258</f>
        <v>9528</v>
      </c>
      <c r="G258" s="8">
        <f>+Données!J258</f>
        <v>-49788.35</v>
      </c>
      <c r="H258" s="8">
        <f>Données!U258</f>
        <v>-7650.13</v>
      </c>
      <c r="I258" s="154">
        <f>Données!V258</f>
        <v>0</v>
      </c>
      <c r="J258" s="154">
        <f>Données!W258</f>
        <v>-2228.8000000000002</v>
      </c>
      <c r="K258" s="8">
        <f>+Données!Q258</f>
        <v>0</v>
      </c>
      <c r="L258" s="350">
        <f t="shared" si="10"/>
        <v>2246967.94</v>
      </c>
      <c r="M258" s="8">
        <f>+Données!F258</f>
        <v>0</v>
      </c>
      <c r="N258" s="8">
        <f>+Données!K258</f>
        <v>1257.9000000000001</v>
      </c>
      <c r="O258" s="8">
        <f>(Données!L258/Données!Y258)*1</f>
        <v>159721.76666666666</v>
      </c>
      <c r="P258" s="350">
        <f t="shared" si="11"/>
        <v>2407947.6066666665</v>
      </c>
      <c r="Q258" s="176">
        <f>+Données!X258</f>
        <v>58.5</v>
      </c>
      <c r="R258" s="350">
        <f t="shared" si="12"/>
        <v>41161.497549857544</v>
      </c>
    </row>
    <row r="259" spans="1:18" x14ac:dyDescent="0.25">
      <c r="A259" s="7">
        <f>Données!A259</f>
        <v>5859</v>
      </c>
      <c r="B259" s="27" t="str">
        <f>Données!B259</f>
        <v>Mont-sur-Rolle</v>
      </c>
      <c r="C259" s="8">
        <f>Données!C259+Données!D259</f>
        <v>8702186.8300000001</v>
      </c>
      <c r="D259" s="8">
        <f>+Données!G259+Données!H259+Données!S259</f>
        <v>313463.48</v>
      </c>
      <c r="E259" s="8">
        <f>+Données!E259</f>
        <v>0</v>
      </c>
      <c r="F259" s="8">
        <f>+Données!I259</f>
        <v>327716.25</v>
      </c>
      <c r="G259" s="8">
        <f>+Données!J259</f>
        <v>65015.519999999997</v>
      </c>
      <c r="H259" s="8">
        <f>Données!U259</f>
        <v>-95986.17</v>
      </c>
      <c r="I259" s="154">
        <f>Données!V259</f>
        <v>0</v>
      </c>
      <c r="J259" s="154">
        <f>Données!W259</f>
        <v>-8201.41</v>
      </c>
      <c r="K259" s="8">
        <f>+Données!Q259</f>
        <v>48842.239999999998</v>
      </c>
      <c r="L259" s="350">
        <f t="shared" si="10"/>
        <v>9353036.7400000002</v>
      </c>
      <c r="M259" s="8">
        <f>+Données!F259</f>
        <v>0</v>
      </c>
      <c r="N259" s="8">
        <f>+Données!K259</f>
        <v>5880.6</v>
      </c>
      <c r="O259" s="8">
        <f>(Données!L259/Données!Y259)*1</f>
        <v>701543.95</v>
      </c>
      <c r="P259" s="350">
        <f t="shared" si="11"/>
        <v>10060461.289999999</v>
      </c>
      <c r="Q259" s="176">
        <f>+Données!X259</f>
        <v>63.5</v>
      </c>
      <c r="R259" s="350">
        <f t="shared" si="12"/>
        <v>158432.4612598425</v>
      </c>
    </row>
    <row r="260" spans="1:18" x14ac:dyDescent="0.25">
      <c r="A260" s="7">
        <f>Données!A260</f>
        <v>5860</v>
      </c>
      <c r="B260" s="27" t="str">
        <f>Données!B260</f>
        <v>Perroy</v>
      </c>
      <c r="C260" s="8">
        <f>Données!C260+Données!D260</f>
        <v>6763611.5099999998</v>
      </c>
      <c r="D260" s="8">
        <f>+Données!G260+Données!H260+Données!S260</f>
        <v>148287.12000000002</v>
      </c>
      <c r="E260" s="8">
        <f>+Données!E260</f>
        <v>0</v>
      </c>
      <c r="F260" s="8">
        <f>+Données!I260</f>
        <v>317639.3</v>
      </c>
      <c r="G260" s="8">
        <f>+Données!J260</f>
        <v>84515.83</v>
      </c>
      <c r="H260" s="8">
        <f>Données!U260</f>
        <v>-111920.79</v>
      </c>
      <c r="I260" s="154">
        <f>Données!V260</f>
        <v>0</v>
      </c>
      <c r="J260" s="154">
        <f>Données!W260</f>
        <v>-36858.93</v>
      </c>
      <c r="K260" s="8">
        <f>+Données!Q260</f>
        <v>0</v>
      </c>
      <c r="L260" s="350">
        <f t="shared" si="10"/>
        <v>7165274.04</v>
      </c>
      <c r="M260" s="8">
        <f>+Données!F260</f>
        <v>0</v>
      </c>
      <c r="N260" s="8">
        <f>+Données!K260</f>
        <v>24838.400000000001</v>
      </c>
      <c r="O260" s="8">
        <f>(Données!L260/Données!Y260)*1</f>
        <v>553705.76923076925</v>
      </c>
      <c r="P260" s="350">
        <f t="shared" si="11"/>
        <v>7743818.2092307694</v>
      </c>
      <c r="Q260" s="176">
        <f>+Données!X260</f>
        <v>58.5</v>
      </c>
      <c r="R260" s="350">
        <f t="shared" si="12"/>
        <v>132372.96084155163</v>
      </c>
    </row>
    <row r="261" spans="1:18" x14ac:dyDescent="0.25">
      <c r="A261" s="7">
        <f>Données!A261</f>
        <v>5861</v>
      </c>
      <c r="B261" s="27" t="str">
        <f>Données!B261</f>
        <v>Rolle</v>
      </c>
      <c r="C261" s="8">
        <f>Données!C261+Données!D261</f>
        <v>18437097.23</v>
      </c>
      <c r="D261" s="8">
        <f>+Données!G261+Données!H261+Données!S261</f>
        <v>25308429.140000001</v>
      </c>
      <c r="E261" s="8">
        <f>+Données!E261</f>
        <v>0</v>
      </c>
      <c r="F261" s="8">
        <f>+Données!I261</f>
        <v>344467.67</v>
      </c>
      <c r="G261" s="8">
        <f>+Données!J261</f>
        <v>1339455.58</v>
      </c>
      <c r="H261" s="8">
        <f>Données!U261</f>
        <v>-97474.64</v>
      </c>
      <c r="I261" s="154">
        <f>Données!V261</f>
        <v>0</v>
      </c>
      <c r="J261" s="154">
        <f>Données!W261</f>
        <v>-228761.65</v>
      </c>
      <c r="K261" s="8">
        <f>+Données!Q261</f>
        <v>10425.290000000001</v>
      </c>
      <c r="L261" s="350">
        <f t="shared" si="10"/>
        <v>45113638.620000005</v>
      </c>
      <c r="M261" s="8">
        <f>+Données!F261</f>
        <v>0</v>
      </c>
      <c r="N261" s="8">
        <f>+Données!K261</f>
        <v>346635.6</v>
      </c>
      <c r="O261" s="8">
        <f>(Données!L261/Données!Y261)*1</f>
        <v>1916767.1</v>
      </c>
      <c r="P261" s="350">
        <f t="shared" si="11"/>
        <v>47377041.320000008</v>
      </c>
      <c r="Q261" s="176">
        <f>+Données!X261</f>
        <v>59.5</v>
      </c>
      <c r="R261" s="350">
        <f t="shared" si="12"/>
        <v>796252.79529411776</v>
      </c>
    </row>
    <row r="262" spans="1:18" x14ac:dyDescent="0.25">
      <c r="A262" s="7">
        <f>Données!A262</f>
        <v>5862</v>
      </c>
      <c r="B262" s="27" t="str">
        <f>Données!B262</f>
        <v>Tartegnin</v>
      </c>
      <c r="C262" s="8">
        <f>Données!C262+Données!D262</f>
        <v>707477.12</v>
      </c>
      <c r="D262" s="8">
        <f>+Données!G262+Données!H262+Données!S262</f>
        <v>11014.15</v>
      </c>
      <c r="E262" s="8">
        <f>+Données!E262</f>
        <v>0</v>
      </c>
      <c r="F262" s="8">
        <f>+Données!I262</f>
        <v>0</v>
      </c>
      <c r="G262" s="8">
        <f>+Données!J262</f>
        <v>56362.67</v>
      </c>
      <c r="H262" s="8">
        <f>Données!U262</f>
        <v>-6136.95</v>
      </c>
      <c r="I262" s="154">
        <f>Données!V262</f>
        <v>0</v>
      </c>
      <c r="J262" s="154">
        <f>Données!W262</f>
        <v>0</v>
      </c>
      <c r="K262" s="8">
        <f>+Données!Q262</f>
        <v>0</v>
      </c>
      <c r="L262" s="350">
        <f t="shared" si="10"/>
        <v>768716.99000000011</v>
      </c>
      <c r="M262" s="8">
        <f>+Données!F262</f>
        <v>0</v>
      </c>
      <c r="N262" s="8">
        <f>+Données!K262</f>
        <v>0</v>
      </c>
      <c r="O262" s="8">
        <f>(Données!L262/Données!Y262)*1</f>
        <v>50622.5</v>
      </c>
      <c r="P262" s="350">
        <f t="shared" si="11"/>
        <v>819339.49000000011</v>
      </c>
      <c r="Q262" s="176">
        <f>+Données!X262</f>
        <v>79</v>
      </c>
      <c r="R262" s="350">
        <f t="shared" si="12"/>
        <v>10371.38594936709</v>
      </c>
    </row>
    <row r="263" spans="1:18" x14ac:dyDescent="0.25">
      <c r="A263" s="7">
        <f>Données!A263</f>
        <v>5863</v>
      </c>
      <c r="B263" s="27" t="str">
        <f>Données!B263</f>
        <v>Vinzel</v>
      </c>
      <c r="C263" s="8">
        <f>Données!C263+Données!D263</f>
        <v>1343478.66</v>
      </c>
      <c r="D263" s="8">
        <f>+Données!G263+Données!H263+Données!S263</f>
        <v>89549.94</v>
      </c>
      <c r="E263" s="8">
        <f>+Données!E263</f>
        <v>0</v>
      </c>
      <c r="F263" s="8">
        <f>+Données!I263</f>
        <v>42873.3</v>
      </c>
      <c r="G263" s="8">
        <f>+Données!J263</f>
        <v>12152.93</v>
      </c>
      <c r="H263" s="8">
        <f>Données!U263</f>
        <v>-1314.72</v>
      </c>
      <c r="I263" s="154">
        <f>Données!V263</f>
        <v>0</v>
      </c>
      <c r="J263" s="154">
        <f>Données!W263</f>
        <v>-1373.95</v>
      </c>
      <c r="K263" s="8">
        <f>+Données!Q263</f>
        <v>1074.53</v>
      </c>
      <c r="L263" s="350">
        <f t="shared" ref="L263:L305" si="13">SUM(C263:K263)</f>
        <v>1486440.69</v>
      </c>
      <c r="M263" s="8">
        <f>+Données!F263</f>
        <v>0</v>
      </c>
      <c r="N263" s="8">
        <f>+Données!K263</f>
        <v>2534.9</v>
      </c>
      <c r="O263" s="8">
        <f>(Données!L263/Données!Y263)*1</f>
        <v>96302.1</v>
      </c>
      <c r="P263" s="350">
        <f t="shared" ref="P263:P305" si="14">SUM(L263:O263)</f>
        <v>1585277.69</v>
      </c>
      <c r="Q263" s="176">
        <f>+Données!X263</f>
        <v>67</v>
      </c>
      <c r="R263" s="350">
        <f t="shared" ref="R263:R305" si="15">P263/Q263</f>
        <v>23660.86104477612</v>
      </c>
    </row>
    <row r="264" spans="1:18" x14ac:dyDescent="0.25">
      <c r="A264" s="7">
        <f>Données!A264</f>
        <v>5871</v>
      </c>
      <c r="B264" s="27" t="str">
        <f>Données!B264</f>
        <v>L'Abbaye</v>
      </c>
      <c r="C264" s="8">
        <f>Données!C264+Données!D264</f>
        <v>3432361.56</v>
      </c>
      <c r="D264" s="8">
        <f>+Données!G264+Données!H264+Données!S264</f>
        <v>90903.040000000008</v>
      </c>
      <c r="E264" s="8">
        <f>+Données!E264</f>
        <v>0</v>
      </c>
      <c r="F264" s="8">
        <f>+Données!I264</f>
        <v>0</v>
      </c>
      <c r="G264" s="8">
        <f>+Données!J264</f>
        <v>114138.05</v>
      </c>
      <c r="H264" s="8">
        <f>Données!U264</f>
        <v>-63747.31</v>
      </c>
      <c r="I264" s="154">
        <f>Données!V264</f>
        <v>0</v>
      </c>
      <c r="J264" s="154">
        <f>Données!W264</f>
        <v>-240.08</v>
      </c>
      <c r="K264" s="8">
        <f>+Données!Q264</f>
        <v>9753.34</v>
      </c>
      <c r="L264" s="350">
        <f t="shared" si="13"/>
        <v>3583168.5999999996</v>
      </c>
      <c r="M264" s="8">
        <f>+Données!F264</f>
        <v>0</v>
      </c>
      <c r="N264" s="8">
        <f>+Données!K264</f>
        <v>5570.65</v>
      </c>
      <c r="O264" s="8">
        <f>(Données!L264/Données!Y264)*1</f>
        <v>294470.8</v>
      </c>
      <c r="P264" s="350">
        <f t="shared" si="14"/>
        <v>3883210.0499999993</v>
      </c>
      <c r="Q264" s="176">
        <f>+Données!X264</f>
        <v>77.3</v>
      </c>
      <c r="R264" s="350">
        <f t="shared" si="15"/>
        <v>50235.576326002578</v>
      </c>
    </row>
    <row r="265" spans="1:18" x14ac:dyDescent="0.25">
      <c r="A265" s="7">
        <f>Données!A265</f>
        <v>5872</v>
      </c>
      <c r="B265" s="27" t="str">
        <f>Données!B265</f>
        <v>Le Chenit</v>
      </c>
      <c r="C265" s="8">
        <f>Données!C265+Données!D265</f>
        <v>7759464.1499999994</v>
      </c>
      <c r="D265" s="8">
        <f>+Données!G265+Données!H265+Données!S265</f>
        <v>12115141.15</v>
      </c>
      <c r="E265" s="8">
        <f>+Données!E265</f>
        <v>0</v>
      </c>
      <c r="F265" s="8">
        <f>+Données!I265</f>
        <v>0</v>
      </c>
      <c r="G265" s="8">
        <f>+Données!J265</f>
        <v>568916.32999999996</v>
      </c>
      <c r="H265" s="8">
        <f>Données!U265</f>
        <v>-132586.73000000001</v>
      </c>
      <c r="I265" s="154">
        <f>Données!V265</f>
        <v>0</v>
      </c>
      <c r="J265" s="154">
        <f>Données!W265</f>
        <v>-8147.58</v>
      </c>
      <c r="K265" s="8">
        <f>+Données!Q265</f>
        <v>6210.09</v>
      </c>
      <c r="L265" s="350">
        <f t="shared" si="13"/>
        <v>20308997.41</v>
      </c>
      <c r="M265" s="8">
        <f>+Données!F265</f>
        <v>0</v>
      </c>
      <c r="N265" s="8">
        <f>+Données!K265</f>
        <v>66792.75</v>
      </c>
      <c r="O265" s="8">
        <f>(Données!L265/Données!Y265)*1</f>
        <v>803935.1</v>
      </c>
      <c r="P265" s="350">
        <f t="shared" si="14"/>
        <v>21179725.260000002</v>
      </c>
      <c r="Q265" s="176">
        <f>+Données!X265</f>
        <v>66.83</v>
      </c>
      <c r="R265" s="350">
        <f t="shared" si="15"/>
        <v>316919.42630555143</v>
      </c>
    </row>
    <row r="266" spans="1:18" x14ac:dyDescent="0.25">
      <c r="A266" s="7">
        <f>Données!A266</f>
        <v>5873</v>
      </c>
      <c r="B266" s="27" t="str">
        <f>Données!B266</f>
        <v>Le Lieu</v>
      </c>
      <c r="C266" s="8">
        <f>Données!C266+Données!D266</f>
        <v>1970893.71</v>
      </c>
      <c r="D266" s="8">
        <f>+Données!G266+Données!H266+Données!S266</f>
        <v>311654.53999999998</v>
      </c>
      <c r="E266" s="8">
        <f>+Données!E266</f>
        <v>0</v>
      </c>
      <c r="F266" s="8">
        <f>+Données!I266</f>
        <v>0</v>
      </c>
      <c r="G266" s="8">
        <f>+Données!J266</f>
        <v>57658.89</v>
      </c>
      <c r="H266" s="8">
        <f>Données!U266</f>
        <v>-31339.03</v>
      </c>
      <c r="I266" s="154">
        <f>Données!V266</f>
        <v>0</v>
      </c>
      <c r="J266" s="154">
        <f>Données!W266</f>
        <v>-421.75</v>
      </c>
      <c r="K266" s="8">
        <f>+Données!Q266</f>
        <v>4338.42</v>
      </c>
      <c r="L266" s="350">
        <f t="shared" si="13"/>
        <v>2312784.7800000003</v>
      </c>
      <c r="M266" s="8">
        <f>+Données!F266</f>
        <v>0</v>
      </c>
      <c r="N266" s="8">
        <f>+Données!K266</f>
        <v>0</v>
      </c>
      <c r="O266" s="8">
        <f>(Données!L266/Données!Y266)*1</f>
        <v>151457.875</v>
      </c>
      <c r="P266" s="350">
        <f t="shared" si="14"/>
        <v>2464242.6550000003</v>
      </c>
      <c r="Q266" s="176">
        <f>+Données!X266</f>
        <v>70</v>
      </c>
      <c r="R266" s="350">
        <f t="shared" si="15"/>
        <v>35203.466500000002</v>
      </c>
    </row>
    <row r="267" spans="1:18" x14ac:dyDescent="0.25">
      <c r="A267" s="7">
        <f>Données!A267</f>
        <v>5882</v>
      </c>
      <c r="B267" s="27" t="str">
        <f>Données!B267</f>
        <v>Chardonne</v>
      </c>
      <c r="C267" s="8">
        <f>Données!C267+Données!D267</f>
        <v>10667214.68</v>
      </c>
      <c r="D267" s="8">
        <f>+Données!G267+Données!H267+Données!S267</f>
        <v>148886.83000000002</v>
      </c>
      <c r="E267" s="8">
        <f>+Données!E267</f>
        <v>0</v>
      </c>
      <c r="F267" s="8">
        <f>+Données!I267</f>
        <v>1150791.94</v>
      </c>
      <c r="G267" s="8">
        <f>+Données!J267</f>
        <v>700760.93</v>
      </c>
      <c r="H267" s="8">
        <f>Données!U267</f>
        <v>-59054.11</v>
      </c>
      <c r="I267" s="154">
        <f>Données!V267</f>
        <v>0</v>
      </c>
      <c r="J267" s="154">
        <f>Données!W267</f>
        <v>-16408.09</v>
      </c>
      <c r="K267" s="8">
        <f>+Données!Q267</f>
        <v>19119.43</v>
      </c>
      <c r="L267" s="350">
        <f t="shared" si="13"/>
        <v>12611311.609999999</v>
      </c>
      <c r="M267" s="8">
        <f>+Données!F267</f>
        <v>0</v>
      </c>
      <c r="N267" s="8">
        <f>+Données!K267</f>
        <v>67255.75</v>
      </c>
      <c r="O267" s="8">
        <f>(Données!L267/Données!Y267)*1</f>
        <v>1040784.14</v>
      </c>
      <c r="P267" s="350">
        <f t="shared" si="14"/>
        <v>13719351.5</v>
      </c>
      <c r="Q267" s="176">
        <f>+Données!X267</f>
        <v>68</v>
      </c>
      <c r="R267" s="350">
        <f t="shared" si="15"/>
        <v>201755.16911764705</v>
      </c>
    </row>
    <row r="268" spans="1:18" x14ac:dyDescent="0.25">
      <c r="A268" s="7">
        <f>Données!A268</f>
        <v>5883</v>
      </c>
      <c r="B268" s="27" t="str">
        <f>Données!B268</f>
        <v>Corseaux</v>
      </c>
      <c r="C268" s="8">
        <f>Données!C268+Données!D268</f>
        <v>10912376.129999999</v>
      </c>
      <c r="D268" s="8">
        <f>+Données!G268+Données!H268+Données!S268</f>
        <v>91497.890000000014</v>
      </c>
      <c r="E268" s="8">
        <f>+Données!E268</f>
        <v>0</v>
      </c>
      <c r="F268" s="8">
        <f>+Données!I268</f>
        <v>473368.28</v>
      </c>
      <c r="G268" s="8">
        <f>+Données!J268</f>
        <v>4940.47</v>
      </c>
      <c r="H268" s="8">
        <f>Données!U268</f>
        <v>-23324.94</v>
      </c>
      <c r="I268" s="154">
        <f>Données!V268</f>
        <v>0</v>
      </c>
      <c r="J268" s="154">
        <f>Données!W268</f>
        <v>-9731.92</v>
      </c>
      <c r="K268" s="8">
        <f>+Données!Q268</f>
        <v>12807.99</v>
      </c>
      <c r="L268" s="350">
        <f t="shared" si="13"/>
        <v>11461933.9</v>
      </c>
      <c r="M268" s="8">
        <f>+Données!F268</f>
        <v>0</v>
      </c>
      <c r="N268" s="8">
        <f>+Données!K268</f>
        <v>20863.8</v>
      </c>
      <c r="O268" s="8">
        <f>(Données!L268/Données!Y268)*1</f>
        <v>727626.3</v>
      </c>
      <c r="P268" s="350">
        <f t="shared" si="14"/>
        <v>12210424.000000002</v>
      </c>
      <c r="Q268" s="176">
        <f>+Données!X268</f>
        <v>67.5</v>
      </c>
      <c r="R268" s="350">
        <f t="shared" si="15"/>
        <v>180895.17037037041</v>
      </c>
    </row>
    <row r="269" spans="1:18" x14ac:dyDescent="0.25">
      <c r="A269" s="7">
        <f>Données!A269</f>
        <v>5884</v>
      </c>
      <c r="B269" s="27" t="str">
        <f>Données!B269</f>
        <v>Corsier-sur-Vevey</v>
      </c>
      <c r="C269" s="8">
        <f>Données!C269+Données!D269</f>
        <v>6137684.6799999997</v>
      </c>
      <c r="D269" s="8">
        <f>+Données!G269+Données!H269+Données!S269</f>
        <v>904795.29999999993</v>
      </c>
      <c r="E269" s="8">
        <f>+Données!E269</f>
        <v>0</v>
      </c>
      <c r="F269" s="8">
        <f>+Données!I269</f>
        <v>30676.95</v>
      </c>
      <c r="G269" s="8">
        <f>+Données!J269</f>
        <v>194817.97</v>
      </c>
      <c r="H269" s="8">
        <f>Données!U269</f>
        <v>-38609.71</v>
      </c>
      <c r="I269" s="154">
        <f>Données!V269</f>
        <v>0</v>
      </c>
      <c r="J269" s="154">
        <f>Données!W269</f>
        <v>-3866.58</v>
      </c>
      <c r="K269" s="8">
        <f>+Données!Q269</f>
        <v>58543.24</v>
      </c>
      <c r="L269" s="350">
        <f t="shared" si="13"/>
        <v>7284041.8499999996</v>
      </c>
      <c r="M269" s="8">
        <f>+Données!F269</f>
        <v>0</v>
      </c>
      <c r="N269" s="8">
        <f>+Données!K269</f>
        <v>169043.45</v>
      </c>
      <c r="O269" s="8">
        <f>(Données!L269/Données!Y269)*1</f>
        <v>805498.83333333337</v>
      </c>
      <c r="P269" s="350">
        <f t="shared" si="14"/>
        <v>8258584.1333333328</v>
      </c>
      <c r="Q269" s="176">
        <f>+Données!X269</f>
        <v>64.5</v>
      </c>
      <c r="R269" s="350">
        <f t="shared" si="15"/>
        <v>128040.06408268733</v>
      </c>
    </row>
    <row r="270" spans="1:18" x14ac:dyDescent="0.25">
      <c r="A270" s="7">
        <f>Données!A270</f>
        <v>5885</v>
      </c>
      <c r="B270" s="27" t="str">
        <f>Données!B270</f>
        <v>Jongny</v>
      </c>
      <c r="C270" s="8">
        <f>Données!C270+Données!D270</f>
        <v>6199820.9299999997</v>
      </c>
      <c r="D270" s="8">
        <f>+Données!G270+Données!H270+Données!S270</f>
        <v>231478.54</v>
      </c>
      <c r="E270" s="8">
        <f>+Données!E270</f>
        <v>0</v>
      </c>
      <c r="F270" s="8">
        <f>+Données!I270</f>
        <v>196351.71</v>
      </c>
      <c r="G270" s="8">
        <f>+Données!J270</f>
        <v>130817.43</v>
      </c>
      <c r="H270" s="8">
        <f>Données!U270</f>
        <v>-23195.72</v>
      </c>
      <c r="I270" s="154">
        <f>Données!V270</f>
        <v>0</v>
      </c>
      <c r="J270" s="154">
        <f>Données!W270</f>
        <v>-2175.87</v>
      </c>
      <c r="K270" s="8">
        <f>+Données!Q270</f>
        <v>0</v>
      </c>
      <c r="L270" s="350">
        <f t="shared" si="13"/>
        <v>6733097.0199999996</v>
      </c>
      <c r="M270" s="8">
        <f>+Données!F270</f>
        <v>0</v>
      </c>
      <c r="N270" s="8">
        <f>+Données!K270</f>
        <v>3306.65</v>
      </c>
      <c r="O270" s="8">
        <f>(Données!L270/Données!Y270)*1</f>
        <v>497760.95833333337</v>
      </c>
      <c r="P270" s="350">
        <f t="shared" si="14"/>
        <v>7234164.6283333329</v>
      </c>
      <c r="Q270" s="176">
        <f>+Données!X270</f>
        <v>69.5</v>
      </c>
      <c r="R270" s="350">
        <f t="shared" si="15"/>
        <v>104088.6996882494</v>
      </c>
    </row>
    <row r="271" spans="1:18" x14ac:dyDescent="0.25">
      <c r="A271" s="7">
        <f>Données!A271</f>
        <v>5886</v>
      </c>
      <c r="B271" s="27" t="str">
        <f>Données!B271</f>
        <v>Montreux</v>
      </c>
      <c r="C271" s="8">
        <f>Données!C271+Données!D271</f>
        <v>57225438.199999996</v>
      </c>
      <c r="D271" s="8">
        <f>+Données!G271+Données!H271+Données!S271</f>
        <v>4421811.0200000005</v>
      </c>
      <c r="E271" s="8">
        <f>+Données!E271</f>
        <v>0</v>
      </c>
      <c r="F271" s="8">
        <f>+Données!I271</f>
        <v>3915210.38</v>
      </c>
      <c r="G271" s="8">
        <f>+Données!J271</f>
        <v>2357491.62</v>
      </c>
      <c r="H271" s="8">
        <f>Données!U271</f>
        <v>-2091798.36</v>
      </c>
      <c r="I271" s="154">
        <f>Données!V271</f>
        <v>0</v>
      </c>
      <c r="J271" s="154">
        <f>Données!W271</f>
        <v>-63535.86</v>
      </c>
      <c r="K271" s="8">
        <f>+Données!Q271</f>
        <v>1092404.32</v>
      </c>
      <c r="L271" s="350">
        <f t="shared" si="13"/>
        <v>66857021.32</v>
      </c>
      <c r="M271" s="8">
        <f>+Données!F271</f>
        <v>0</v>
      </c>
      <c r="N271" s="8">
        <f>+Données!K271</f>
        <v>774006.2</v>
      </c>
      <c r="O271" s="8">
        <f>(Données!L271/Données!Y271)*1</f>
        <v>7317764</v>
      </c>
      <c r="P271" s="350">
        <f t="shared" si="14"/>
        <v>74948791.519999996</v>
      </c>
      <c r="Q271" s="176">
        <f>+Données!X271</f>
        <v>65</v>
      </c>
      <c r="R271" s="350">
        <f t="shared" si="15"/>
        <v>1153058.3310769231</v>
      </c>
    </row>
    <row r="272" spans="1:18" x14ac:dyDescent="0.25">
      <c r="A272" s="7">
        <f>Données!A272</f>
        <v>5889</v>
      </c>
      <c r="B272" s="27" t="str">
        <f>Données!B272</f>
        <v>La Tour-de-Peilz</v>
      </c>
      <c r="C272" s="8">
        <f>Données!C272+Données!D272</f>
        <v>34238968.859999999</v>
      </c>
      <c r="D272" s="8">
        <f>+Données!G272+Données!H272+Données!S272</f>
        <v>7328799.3100000005</v>
      </c>
      <c r="E272" s="8">
        <f>+Données!E272</f>
        <v>0</v>
      </c>
      <c r="F272" s="8">
        <f>+Données!I272</f>
        <v>678936.31</v>
      </c>
      <c r="G272" s="8">
        <f>+Données!J272</f>
        <v>445309.48</v>
      </c>
      <c r="H272" s="8">
        <f>Données!U272</f>
        <v>-330764.75</v>
      </c>
      <c r="I272" s="154">
        <f>Données!V272</f>
        <v>0</v>
      </c>
      <c r="J272" s="154">
        <f>Données!W272</f>
        <v>-101064.1</v>
      </c>
      <c r="K272" s="8">
        <f>+Données!Q272</f>
        <v>206090.58</v>
      </c>
      <c r="L272" s="350">
        <f t="shared" si="13"/>
        <v>42466275.689999998</v>
      </c>
      <c r="M272" s="8">
        <f>+Données!F272</f>
        <v>0</v>
      </c>
      <c r="N272" s="8">
        <f>+Données!K272</f>
        <v>279936.90000000002</v>
      </c>
      <c r="O272" s="8">
        <f>(Données!L272/Données!Y272)*1</f>
        <v>2635407.791666667</v>
      </c>
      <c r="P272" s="350">
        <f t="shared" si="14"/>
        <v>45381620.38166666</v>
      </c>
      <c r="Q272" s="176">
        <f>+Données!X272</f>
        <v>64</v>
      </c>
      <c r="R272" s="350">
        <f t="shared" si="15"/>
        <v>709087.81846354157</v>
      </c>
    </row>
    <row r="273" spans="1:18" x14ac:dyDescent="0.25">
      <c r="A273" s="7">
        <f>Données!A273</f>
        <v>5890</v>
      </c>
      <c r="B273" s="27" t="str">
        <f>Données!B273</f>
        <v>Vevey</v>
      </c>
      <c r="C273" s="8">
        <f>Données!C273+Données!D273</f>
        <v>41573038.560000002</v>
      </c>
      <c r="D273" s="8">
        <f>+Données!G273+Données!H273+Données!S273</f>
        <v>20009665.140000001</v>
      </c>
      <c r="E273" s="8">
        <f>+Données!E273</f>
        <v>0</v>
      </c>
      <c r="F273" s="8">
        <f>+Données!I273</f>
        <v>919618.72</v>
      </c>
      <c r="G273" s="8">
        <f>+Données!J273</f>
        <v>3661901.96</v>
      </c>
      <c r="H273" s="8">
        <f>Données!U273</f>
        <v>-754239.37</v>
      </c>
      <c r="I273" s="154">
        <f>Données!V273</f>
        <v>0</v>
      </c>
      <c r="J273" s="154">
        <f>Données!W273</f>
        <v>-37273.660000000003</v>
      </c>
      <c r="K273" s="8">
        <f>+Données!Q273</f>
        <v>259229.85</v>
      </c>
      <c r="L273" s="350">
        <f t="shared" si="13"/>
        <v>65631941.20000001</v>
      </c>
      <c r="M273" s="8">
        <f>+Données!F273</f>
        <v>0</v>
      </c>
      <c r="N273" s="8">
        <f>+Données!K273</f>
        <v>793893.9</v>
      </c>
      <c r="O273" s="8">
        <f>(Données!L273/Données!Y273)*1</f>
        <v>3967202.0133333332</v>
      </c>
      <c r="P273" s="350">
        <f t="shared" si="14"/>
        <v>70393037.113333344</v>
      </c>
      <c r="Q273" s="176">
        <f>+Données!X273</f>
        <v>74.5</v>
      </c>
      <c r="R273" s="350">
        <f t="shared" si="15"/>
        <v>944872.98138702475</v>
      </c>
    </row>
    <row r="274" spans="1:18" x14ac:dyDescent="0.25">
      <c r="A274" s="7">
        <f>Données!A274</f>
        <v>5891</v>
      </c>
      <c r="B274" s="27" t="str">
        <f>Données!B274</f>
        <v>Veytaux</v>
      </c>
      <c r="C274" s="8">
        <f>Données!C274+Données!D274</f>
        <v>2436979.5</v>
      </c>
      <c r="D274" s="8">
        <f>+Données!G274+Données!H274+Données!S274</f>
        <v>52432.46</v>
      </c>
      <c r="E274" s="8">
        <f>+Données!E274</f>
        <v>0</v>
      </c>
      <c r="F274" s="8">
        <f>+Données!I274</f>
        <v>0</v>
      </c>
      <c r="G274" s="8">
        <f>+Données!J274</f>
        <v>88527.94</v>
      </c>
      <c r="H274" s="8">
        <f>Données!U274</f>
        <v>-60757.16</v>
      </c>
      <c r="I274" s="154">
        <f>Données!V274</f>
        <v>0</v>
      </c>
      <c r="J274" s="154">
        <f>Données!W274</f>
        <v>-1372.73</v>
      </c>
      <c r="K274" s="8">
        <f>+Données!Q274</f>
        <v>26436.43</v>
      </c>
      <c r="L274" s="350">
        <f t="shared" si="13"/>
        <v>2542246.44</v>
      </c>
      <c r="M274" s="8">
        <f>+Données!F274</f>
        <v>0</v>
      </c>
      <c r="N274" s="8">
        <f>+Données!K274</f>
        <v>15304.85</v>
      </c>
      <c r="O274" s="8">
        <f>(Données!L274/Données!Y274)*1</f>
        <v>299782.26666666666</v>
      </c>
      <c r="P274" s="350">
        <f t="shared" si="14"/>
        <v>2857333.5566666666</v>
      </c>
      <c r="Q274" s="176">
        <f>+Données!X274</f>
        <v>69.5</v>
      </c>
      <c r="R274" s="350">
        <f t="shared" si="15"/>
        <v>41112.713045563549</v>
      </c>
    </row>
    <row r="275" spans="1:18" x14ac:dyDescent="0.25">
      <c r="A275" s="7">
        <f>Données!A275</f>
        <v>5892</v>
      </c>
      <c r="B275" s="27" t="str">
        <f>Données!B275</f>
        <v>Blonay-St-Légier</v>
      </c>
      <c r="C275" s="8">
        <f>Données!C275+Données!D275</f>
        <v>45860912.460000001</v>
      </c>
      <c r="D275" s="8">
        <f>+Données!G275+Données!H275+Données!S275</f>
        <v>1150001.92</v>
      </c>
      <c r="E275" s="8">
        <f>+Données!E275</f>
        <v>0</v>
      </c>
      <c r="F275" s="8">
        <f>+Données!I275</f>
        <v>883133.52</v>
      </c>
      <c r="G275" s="8">
        <f>+Données!J275</f>
        <v>206658.69</v>
      </c>
      <c r="H275" s="8">
        <f>Données!U275</f>
        <v>-250192.7</v>
      </c>
      <c r="I275" s="154">
        <f>Données!V275</f>
        <v>0</v>
      </c>
      <c r="J275" s="154">
        <f>Données!W275</f>
        <v>-177839.7</v>
      </c>
      <c r="K275" s="8">
        <f>+Données!Q275</f>
        <v>40891.57</v>
      </c>
      <c r="L275" s="350">
        <f t="shared" si="13"/>
        <v>47713565.759999998</v>
      </c>
      <c r="M275" s="8">
        <f>+Données!F275</f>
        <v>0</v>
      </c>
      <c r="N275" s="8">
        <f>+Données!K275</f>
        <v>134932.1</v>
      </c>
      <c r="O275" s="8">
        <f>(Données!L275/Données!Y275)*1</f>
        <v>3507406.75</v>
      </c>
      <c r="P275" s="350">
        <f t="shared" si="14"/>
        <v>51355904.609999999</v>
      </c>
      <c r="Q275" s="176">
        <f>+Données!X275</f>
        <v>68.5</v>
      </c>
      <c r="R275" s="350">
        <f t="shared" si="15"/>
        <v>749721.2351824817</v>
      </c>
    </row>
    <row r="276" spans="1:18" x14ac:dyDescent="0.25">
      <c r="A276" s="7">
        <f>Données!A276</f>
        <v>5902</v>
      </c>
      <c r="B276" s="27" t="str">
        <f>Données!B276</f>
        <v>Belmont-sur-Yverdon</v>
      </c>
      <c r="C276" s="8">
        <f>Données!C276+Données!D276</f>
        <v>739717.73</v>
      </c>
      <c r="D276" s="8">
        <f>+Données!G276+Données!H276+Données!S276</f>
        <v>27004.39</v>
      </c>
      <c r="E276" s="8">
        <f>+Données!E276</f>
        <v>0</v>
      </c>
      <c r="F276" s="8">
        <f>+Données!I276</f>
        <v>0</v>
      </c>
      <c r="G276" s="8">
        <f>+Données!J276</f>
        <v>-266.57</v>
      </c>
      <c r="H276" s="8">
        <f>Données!U276</f>
        <v>-410.43</v>
      </c>
      <c r="I276" s="154">
        <f>Données!V276</f>
        <v>-1527.65</v>
      </c>
      <c r="J276" s="154">
        <f>Données!W276</f>
        <v>-56.85</v>
      </c>
      <c r="K276" s="8">
        <f>+Données!Q276</f>
        <v>0</v>
      </c>
      <c r="L276" s="350">
        <f t="shared" si="13"/>
        <v>764460.62</v>
      </c>
      <c r="M276" s="8">
        <f>+Données!F276</f>
        <v>0</v>
      </c>
      <c r="N276" s="8">
        <f>+Données!K276</f>
        <v>0</v>
      </c>
      <c r="O276" s="8">
        <f>(Données!L276/Données!Y276)*1</f>
        <v>69778.5</v>
      </c>
      <c r="P276" s="350">
        <f t="shared" si="14"/>
        <v>834239.12</v>
      </c>
      <c r="Q276" s="176">
        <f>+Données!X276</f>
        <v>70</v>
      </c>
      <c r="R276" s="350">
        <f t="shared" si="15"/>
        <v>11917.701714285715</v>
      </c>
    </row>
    <row r="277" spans="1:18" x14ac:dyDescent="0.25">
      <c r="A277" s="7">
        <f>Données!A277</f>
        <v>5903</v>
      </c>
      <c r="B277" s="27" t="str">
        <f>Données!B277</f>
        <v>Bioley-Magnoux</v>
      </c>
      <c r="C277" s="8">
        <f>Données!C277+Données!D277</f>
        <v>410369.19</v>
      </c>
      <c r="D277" s="8">
        <f>+Données!G277+Données!H277+Données!S277</f>
        <v>5697.13</v>
      </c>
      <c r="E277" s="8">
        <f>+Données!E277</f>
        <v>0</v>
      </c>
      <c r="F277" s="8">
        <f>+Données!I277</f>
        <v>0</v>
      </c>
      <c r="G277" s="8">
        <f>+Données!J277</f>
        <v>-219.75</v>
      </c>
      <c r="H277" s="8">
        <f>Données!U277</f>
        <v>-3689.38</v>
      </c>
      <c r="I277" s="154">
        <f>Données!V277</f>
        <v>0</v>
      </c>
      <c r="J277" s="154">
        <f>Données!W277</f>
        <v>0</v>
      </c>
      <c r="K277" s="8">
        <f>+Données!Q277</f>
        <v>195.53</v>
      </c>
      <c r="L277" s="350">
        <f t="shared" si="13"/>
        <v>412352.72000000003</v>
      </c>
      <c r="M277" s="8">
        <f>+Données!F277</f>
        <v>0</v>
      </c>
      <c r="N277" s="8">
        <f>+Données!K277</f>
        <v>0</v>
      </c>
      <c r="O277" s="8">
        <f>(Données!L277/Données!Y277)*1</f>
        <v>39473.785714285717</v>
      </c>
      <c r="P277" s="350">
        <f t="shared" si="14"/>
        <v>451826.50571428577</v>
      </c>
      <c r="Q277" s="176">
        <f>+Données!X277</f>
        <v>72</v>
      </c>
      <c r="R277" s="350">
        <f t="shared" si="15"/>
        <v>6275.3681349206354</v>
      </c>
    </row>
    <row r="278" spans="1:18" x14ac:dyDescent="0.25">
      <c r="A278" s="7">
        <f>Données!A278</f>
        <v>5904</v>
      </c>
      <c r="B278" s="27" t="str">
        <f>Données!B278</f>
        <v>Chamblon</v>
      </c>
      <c r="C278" s="8">
        <f>Données!C278+Données!D278</f>
        <v>1106187.56</v>
      </c>
      <c r="D278" s="8">
        <f>+Données!G278+Données!H278+Données!S278</f>
        <v>27971.989999999998</v>
      </c>
      <c r="E278" s="8">
        <f>+Données!E278</f>
        <v>0</v>
      </c>
      <c r="F278" s="8">
        <f>+Données!I278</f>
        <v>0</v>
      </c>
      <c r="G278" s="8">
        <f>+Données!J278</f>
        <v>18399.05</v>
      </c>
      <c r="H278" s="8">
        <f>Données!U278</f>
        <v>-10101.14</v>
      </c>
      <c r="I278" s="154">
        <f>Données!V278</f>
        <v>0</v>
      </c>
      <c r="J278" s="154">
        <f>Données!W278</f>
        <v>-135.85</v>
      </c>
      <c r="K278" s="8">
        <f>+Données!Q278</f>
        <v>0</v>
      </c>
      <c r="L278" s="350">
        <f t="shared" si="13"/>
        <v>1142321.6100000001</v>
      </c>
      <c r="M278" s="8">
        <f>+Données!F278</f>
        <v>0</v>
      </c>
      <c r="N278" s="8">
        <f>+Données!K278</f>
        <v>3596.65</v>
      </c>
      <c r="O278" s="8">
        <f>(Données!L278/Données!Y278)*1</f>
        <v>100815.9</v>
      </c>
      <c r="P278" s="350">
        <f t="shared" si="14"/>
        <v>1246734.1599999999</v>
      </c>
      <c r="Q278" s="176">
        <f>+Données!X278</f>
        <v>66</v>
      </c>
      <c r="R278" s="350">
        <f t="shared" si="15"/>
        <v>18889.911515151514</v>
      </c>
    </row>
    <row r="279" spans="1:18" x14ac:dyDescent="0.25">
      <c r="A279" s="7">
        <f>Données!A279</f>
        <v>5905</v>
      </c>
      <c r="B279" s="27" t="str">
        <f>Données!B279</f>
        <v>Champvent</v>
      </c>
      <c r="C279" s="8">
        <f>Données!C279+Données!D279</f>
        <v>1237186.5600000001</v>
      </c>
      <c r="D279" s="8">
        <f>+Données!G279+Données!H279+Données!S279</f>
        <v>135229.82999999999</v>
      </c>
      <c r="E279" s="8">
        <f>+Données!E279</f>
        <v>0</v>
      </c>
      <c r="F279" s="8">
        <f>+Données!I279</f>
        <v>0</v>
      </c>
      <c r="G279" s="8">
        <f>+Données!J279</f>
        <v>25768.46</v>
      </c>
      <c r="H279" s="8">
        <f>Données!U279</f>
        <v>-4130.54</v>
      </c>
      <c r="I279" s="154">
        <f>Données!V279</f>
        <v>0</v>
      </c>
      <c r="J279" s="154">
        <f>Données!W279</f>
        <v>-43.55</v>
      </c>
      <c r="K279" s="8">
        <f>+Données!Q279</f>
        <v>747.02</v>
      </c>
      <c r="L279" s="350">
        <f t="shared" si="13"/>
        <v>1394757.78</v>
      </c>
      <c r="M279" s="8">
        <f>+Données!F279</f>
        <v>0</v>
      </c>
      <c r="N279" s="8">
        <f>+Données!K279</f>
        <v>3170.25</v>
      </c>
      <c r="O279" s="8">
        <f>(Données!L279/Données!Y279)*1</f>
        <v>109356.3</v>
      </c>
      <c r="P279" s="350">
        <f t="shared" si="14"/>
        <v>1507284.33</v>
      </c>
      <c r="Q279" s="176">
        <f>+Données!X279</f>
        <v>70</v>
      </c>
      <c r="R279" s="350">
        <f t="shared" si="15"/>
        <v>21532.633285714288</v>
      </c>
    </row>
    <row r="280" spans="1:18" x14ac:dyDescent="0.25">
      <c r="A280" s="7">
        <f>Données!A280</f>
        <v>5907</v>
      </c>
      <c r="B280" s="27" t="str">
        <f>Données!B280</f>
        <v>Chavannes-le-Chêne</v>
      </c>
      <c r="C280" s="8">
        <f>Données!C280+Données!D280</f>
        <v>575016.81999999995</v>
      </c>
      <c r="D280" s="8">
        <f>+Données!G280+Données!H280+Données!S280</f>
        <v>1961.7500000000002</v>
      </c>
      <c r="E280" s="8">
        <f>+Données!E280</f>
        <v>0</v>
      </c>
      <c r="F280" s="8">
        <f>+Données!I280</f>
        <v>0</v>
      </c>
      <c r="G280" s="8">
        <f>+Données!J280</f>
        <v>-48.95</v>
      </c>
      <c r="H280" s="8">
        <f>Données!U280</f>
        <v>-1157.4100000000001</v>
      </c>
      <c r="I280" s="154">
        <f>Données!V280</f>
        <v>0</v>
      </c>
      <c r="J280" s="154">
        <f>Données!W280</f>
        <v>0</v>
      </c>
      <c r="K280" s="8">
        <f>+Données!Q280</f>
        <v>5889.78</v>
      </c>
      <c r="L280" s="350">
        <f t="shared" si="13"/>
        <v>581661.99</v>
      </c>
      <c r="M280" s="8">
        <f>+Données!F280</f>
        <v>1980</v>
      </c>
      <c r="N280" s="8">
        <f>+Données!K280</f>
        <v>520.70000000000005</v>
      </c>
      <c r="O280" s="8">
        <f>(Données!L280/Données!Y280)*1</f>
        <v>49846.2</v>
      </c>
      <c r="P280" s="350">
        <f t="shared" si="14"/>
        <v>634008.8899999999</v>
      </c>
      <c r="Q280" s="176">
        <f>+Données!X280</f>
        <v>75</v>
      </c>
      <c r="R280" s="350">
        <f t="shared" si="15"/>
        <v>8453.4518666666645</v>
      </c>
    </row>
    <row r="281" spans="1:18" x14ac:dyDescent="0.25">
      <c r="A281" s="7">
        <f>Données!A281</f>
        <v>5908</v>
      </c>
      <c r="B281" s="27" t="str">
        <f>Données!B281</f>
        <v>Chêne-Pâquier</v>
      </c>
      <c r="C281" s="8">
        <f>Données!C281+Données!D281</f>
        <v>353667.03</v>
      </c>
      <c r="D281" s="8">
        <f>+Données!G281+Données!H281+Données!S281</f>
        <v>14924.45</v>
      </c>
      <c r="E281" s="8">
        <f>+Données!E281</f>
        <v>0</v>
      </c>
      <c r="F281" s="8">
        <f>+Données!I281</f>
        <v>0</v>
      </c>
      <c r="G281" s="8">
        <f>+Données!J281</f>
        <v>-23437.49</v>
      </c>
      <c r="H281" s="8">
        <f>Données!U281</f>
        <v>174.07</v>
      </c>
      <c r="I281" s="154">
        <f>Données!V281</f>
        <v>0</v>
      </c>
      <c r="J281" s="154">
        <f>Données!W281</f>
        <v>-50.85</v>
      </c>
      <c r="K281" s="8">
        <f>+Données!Q281</f>
        <v>0</v>
      </c>
      <c r="L281" s="350">
        <f t="shared" si="13"/>
        <v>345277.21000000008</v>
      </c>
      <c r="M281" s="8">
        <f>+Données!F281</f>
        <v>0</v>
      </c>
      <c r="N281" s="8">
        <f>+Données!K281</f>
        <v>92.95</v>
      </c>
      <c r="O281" s="8">
        <f>(Données!L281/Données!Y281)*1</f>
        <v>23463.15</v>
      </c>
      <c r="P281" s="350">
        <f t="shared" si="14"/>
        <v>368833.31000000011</v>
      </c>
      <c r="Q281" s="176">
        <f>+Données!X281</f>
        <v>75</v>
      </c>
      <c r="R281" s="350">
        <f t="shared" si="15"/>
        <v>4917.7774666666683</v>
      </c>
    </row>
    <row r="282" spans="1:18" x14ac:dyDescent="0.25">
      <c r="A282" s="7">
        <f>Données!A282</f>
        <v>5909</v>
      </c>
      <c r="B282" s="27" t="str">
        <f>Données!B282</f>
        <v>Cheseaux-Noréaz</v>
      </c>
      <c r="C282" s="8">
        <f>Données!C282+Données!D282</f>
        <v>2096788.8</v>
      </c>
      <c r="D282" s="8">
        <f>+Données!G282+Données!H282+Données!S282</f>
        <v>-3100.6499999999996</v>
      </c>
      <c r="E282" s="8">
        <f>+Données!E282</f>
        <v>0</v>
      </c>
      <c r="F282" s="8">
        <f>+Données!I282</f>
        <v>0</v>
      </c>
      <c r="G282" s="8">
        <f>+Données!J282</f>
        <v>26919.72</v>
      </c>
      <c r="H282" s="8">
        <f>Données!U282</f>
        <v>-2679.65</v>
      </c>
      <c r="I282" s="154">
        <f>Données!V282</f>
        <v>0</v>
      </c>
      <c r="J282" s="154">
        <f>Données!W282</f>
        <v>-962.95</v>
      </c>
      <c r="K282" s="8">
        <f>+Données!Q282</f>
        <v>0</v>
      </c>
      <c r="L282" s="350">
        <f t="shared" si="13"/>
        <v>2116965.27</v>
      </c>
      <c r="M282" s="8">
        <f>+Données!F282</f>
        <v>0</v>
      </c>
      <c r="N282" s="8">
        <f>+Données!K282</f>
        <v>788.1</v>
      </c>
      <c r="O282" s="8">
        <f>(Données!L282/Données!Y282)*1</f>
        <v>172607.2</v>
      </c>
      <c r="P282" s="350">
        <f t="shared" si="14"/>
        <v>2290360.5700000003</v>
      </c>
      <c r="Q282" s="176">
        <f>+Données!X282</f>
        <v>67</v>
      </c>
      <c r="R282" s="350">
        <f t="shared" si="15"/>
        <v>34184.486119402987</v>
      </c>
    </row>
    <row r="283" spans="1:18" x14ac:dyDescent="0.25">
      <c r="A283" s="7">
        <f>Données!A283</f>
        <v>5910</v>
      </c>
      <c r="B283" s="27" t="str">
        <f>Données!B283</f>
        <v>Cronay</v>
      </c>
      <c r="C283" s="8">
        <f>Données!C283+Données!D283</f>
        <v>737018.63</v>
      </c>
      <c r="D283" s="8">
        <f>+Données!G283+Données!H283+Données!S283</f>
        <v>17239.53</v>
      </c>
      <c r="E283" s="8">
        <f>+Données!E283</f>
        <v>0</v>
      </c>
      <c r="F283" s="8">
        <f>+Données!I283</f>
        <v>0</v>
      </c>
      <c r="G283" s="8">
        <f>+Données!J283</f>
        <v>2816.74</v>
      </c>
      <c r="H283" s="8">
        <f>Données!U283</f>
        <v>-11753.56</v>
      </c>
      <c r="I283" s="154">
        <f>Données!V283</f>
        <v>0</v>
      </c>
      <c r="J283" s="154">
        <f>Données!W283</f>
        <v>0</v>
      </c>
      <c r="K283" s="8">
        <f>+Données!Q283</f>
        <v>5804.99</v>
      </c>
      <c r="L283" s="350">
        <f t="shared" si="13"/>
        <v>751126.33</v>
      </c>
      <c r="M283" s="8">
        <f>+Données!F283</f>
        <v>2270</v>
      </c>
      <c r="N283" s="8">
        <f>+Données!K283</f>
        <v>0</v>
      </c>
      <c r="O283" s="8">
        <f>(Données!L283/Données!Y283)*1</f>
        <v>64331.7</v>
      </c>
      <c r="P283" s="350">
        <f t="shared" si="14"/>
        <v>817728.02999999991</v>
      </c>
      <c r="Q283" s="176">
        <f>+Données!X283</f>
        <v>77</v>
      </c>
      <c r="R283" s="350">
        <f t="shared" si="15"/>
        <v>10619.844545454544</v>
      </c>
    </row>
    <row r="284" spans="1:18" x14ac:dyDescent="0.25">
      <c r="A284" s="7">
        <f>Données!A284</f>
        <v>5911</v>
      </c>
      <c r="B284" s="27" t="str">
        <f>Données!B284</f>
        <v>Cuarny</v>
      </c>
      <c r="C284" s="8">
        <f>Données!C284+Données!D284</f>
        <v>529828.66999999993</v>
      </c>
      <c r="D284" s="8">
        <f>+Données!G284+Données!H284+Données!S284</f>
        <v>3902.9100000000003</v>
      </c>
      <c r="E284" s="8">
        <f>+Données!E284</f>
        <v>0</v>
      </c>
      <c r="F284" s="8">
        <f>+Données!I284</f>
        <v>0</v>
      </c>
      <c r="G284" s="8">
        <f>+Données!J284</f>
        <v>15883.11</v>
      </c>
      <c r="H284" s="8">
        <f>Données!U284</f>
        <v>-2053.27</v>
      </c>
      <c r="I284" s="154">
        <f>Données!V284</f>
        <v>0</v>
      </c>
      <c r="J284" s="154">
        <f>Données!W284</f>
        <v>-559.65</v>
      </c>
      <c r="K284" s="8">
        <f>+Données!Q284</f>
        <v>266.35000000000002</v>
      </c>
      <c r="L284" s="350">
        <f t="shared" si="13"/>
        <v>547268.11999999988</v>
      </c>
      <c r="M284" s="8">
        <f>+Données!F284</f>
        <v>1520</v>
      </c>
      <c r="N284" s="8">
        <f>+Données!K284</f>
        <v>2201.5</v>
      </c>
      <c r="O284" s="8">
        <f>(Données!L284/Données!Y284)*1</f>
        <v>36573.1</v>
      </c>
      <c r="P284" s="350">
        <f t="shared" si="14"/>
        <v>587562.71999999986</v>
      </c>
      <c r="Q284" s="176">
        <f>+Données!X284</f>
        <v>77</v>
      </c>
      <c r="R284" s="350">
        <f t="shared" si="15"/>
        <v>7630.6846753246737</v>
      </c>
    </row>
    <row r="285" spans="1:18" x14ac:dyDescent="0.25">
      <c r="A285" s="7">
        <f>Données!A285</f>
        <v>5912</v>
      </c>
      <c r="B285" s="27" t="str">
        <f>Données!B285</f>
        <v>Démoret</v>
      </c>
      <c r="C285" s="8">
        <f>Données!C285+Données!D285</f>
        <v>214313.87</v>
      </c>
      <c r="D285" s="8">
        <f>+Données!G285+Données!H285+Données!S285</f>
        <v>3114.2099999999996</v>
      </c>
      <c r="E285" s="8">
        <f>+Données!E285</f>
        <v>0</v>
      </c>
      <c r="F285" s="8">
        <f>+Données!I285</f>
        <v>0</v>
      </c>
      <c r="G285" s="8">
        <f>+Données!J285</f>
        <v>3771.49</v>
      </c>
      <c r="H285" s="8">
        <f>Données!U285</f>
        <v>-9386.1</v>
      </c>
      <c r="I285" s="154">
        <f>Données!V285</f>
        <v>0</v>
      </c>
      <c r="J285" s="154">
        <f>Données!W285</f>
        <v>0</v>
      </c>
      <c r="K285" s="8">
        <f>+Données!Q285</f>
        <v>1559.41</v>
      </c>
      <c r="L285" s="350">
        <f t="shared" si="13"/>
        <v>213372.87999999998</v>
      </c>
      <c r="M285" s="8">
        <f>+Données!F285</f>
        <v>940</v>
      </c>
      <c r="N285" s="8">
        <f>+Données!K285</f>
        <v>0</v>
      </c>
      <c r="O285" s="8">
        <f>(Données!L285/Données!Y285)*1</f>
        <v>22461.4</v>
      </c>
      <c r="P285" s="350">
        <f t="shared" si="14"/>
        <v>236774.27999999997</v>
      </c>
      <c r="Q285" s="176">
        <f>+Données!X285</f>
        <v>78</v>
      </c>
      <c r="R285" s="350">
        <f t="shared" si="15"/>
        <v>3035.5676923076921</v>
      </c>
    </row>
    <row r="286" spans="1:18" x14ac:dyDescent="0.25">
      <c r="A286" s="7">
        <f>Données!A286</f>
        <v>5913</v>
      </c>
      <c r="B286" s="27" t="str">
        <f>Données!B286</f>
        <v>Donneloye</v>
      </c>
      <c r="C286" s="8">
        <f>Données!C286+Données!D286</f>
        <v>1455979.7</v>
      </c>
      <c r="D286" s="8">
        <f>+Données!G286+Données!H286+Données!S286</f>
        <v>1004.85</v>
      </c>
      <c r="E286" s="8">
        <f>+Données!E286</f>
        <v>0</v>
      </c>
      <c r="F286" s="8">
        <f>+Données!I286</f>
        <v>0</v>
      </c>
      <c r="G286" s="8">
        <f>+Données!J286</f>
        <v>33828.449999999997</v>
      </c>
      <c r="H286" s="8">
        <f>Données!U286</f>
        <v>-17967.88</v>
      </c>
      <c r="I286" s="154">
        <f>Données!V286</f>
        <v>0</v>
      </c>
      <c r="J286" s="154">
        <f>Données!W286</f>
        <v>-892.99</v>
      </c>
      <c r="K286" s="8">
        <f>+Données!Q286</f>
        <v>3564.09</v>
      </c>
      <c r="L286" s="350">
        <f t="shared" si="13"/>
        <v>1475516.2200000002</v>
      </c>
      <c r="M286" s="8">
        <f>+Données!F286</f>
        <v>0</v>
      </c>
      <c r="N286" s="8">
        <f>+Données!K286</f>
        <v>-5581.95</v>
      </c>
      <c r="O286" s="8">
        <f>(Données!L286/Données!Y286)*1</f>
        <v>126441</v>
      </c>
      <c r="P286" s="350">
        <f t="shared" si="14"/>
        <v>1596375.2700000003</v>
      </c>
      <c r="Q286" s="176">
        <f>+Données!X286</f>
        <v>73</v>
      </c>
      <c r="R286" s="350">
        <f t="shared" si="15"/>
        <v>21868.154383561647</v>
      </c>
    </row>
    <row r="287" spans="1:18" x14ac:dyDescent="0.25">
      <c r="A287" s="7">
        <f>Données!A287</f>
        <v>5914</v>
      </c>
      <c r="B287" s="27" t="str">
        <f>Données!B287</f>
        <v>Ependes</v>
      </c>
      <c r="C287" s="8">
        <f>Données!C287+Données!D287</f>
        <v>632788.80999999994</v>
      </c>
      <c r="D287" s="8">
        <f>+Données!G287+Données!H287+Données!S287</f>
        <v>14030.35</v>
      </c>
      <c r="E287" s="8">
        <f>+Données!E287</f>
        <v>0</v>
      </c>
      <c r="F287" s="8">
        <f>+Données!I287</f>
        <v>0</v>
      </c>
      <c r="G287" s="8">
        <f>+Données!J287</f>
        <v>14779.43</v>
      </c>
      <c r="H287" s="8">
        <f>Données!U287</f>
        <v>-15389.64</v>
      </c>
      <c r="I287" s="154">
        <f>Données!V287</f>
        <v>0</v>
      </c>
      <c r="J287" s="154">
        <f>Données!W287</f>
        <v>0</v>
      </c>
      <c r="K287" s="8">
        <f>+Données!Q287</f>
        <v>2264.35</v>
      </c>
      <c r="L287" s="350">
        <f t="shared" si="13"/>
        <v>648473.29999999993</v>
      </c>
      <c r="M287" s="8">
        <f>+Données!F287</f>
        <v>2270</v>
      </c>
      <c r="N287" s="8">
        <f>+Données!K287</f>
        <v>7301.35</v>
      </c>
      <c r="O287" s="8">
        <f>(Données!L287/Données!Y287)*1</f>
        <v>64165.7</v>
      </c>
      <c r="P287" s="350">
        <f t="shared" si="14"/>
        <v>722210.34999999986</v>
      </c>
      <c r="Q287" s="176">
        <f>+Données!X287</f>
        <v>73.5</v>
      </c>
      <c r="R287" s="350">
        <f t="shared" si="15"/>
        <v>9825.9911564625836</v>
      </c>
    </row>
    <row r="288" spans="1:18" x14ac:dyDescent="0.25">
      <c r="A288" s="7">
        <f>Données!A288</f>
        <v>5919</v>
      </c>
      <c r="B288" s="27" t="str">
        <f>Données!B288</f>
        <v>Mathod</v>
      </c>
      <c r="C288" s="8">
        <f>Données!C288+Données!D288</f>
        <v>1310636.17</v>
      </c>
      <c r="D288" s="8">
        <f>+Données!G288+Données!H288+Données!S288</f>
        <v>42357.32</v>
      </c>
      <c r="E288" s="8">
        <f>+Données!E288</f>
        <v>0</v>
      </c>
      <c r="F288" s="8">
        <f>+Données!I288</f>
        <v>0</v>
      </c>
      <c r="G288" s="8">
        <f>+Données!J288</f>
        <v>23986.73</v>
      </c>
      <c r="H288" s="8">
        <f>Données!U288</f>
        <v>-22232.55</v>
      </c>
      <c r="I288" s="154">
        <f>Données!V288</f>
        <v>0</v>
      </c>
      <c r="J288" s="154">
        <f>Données!W288</f>
        <v>0</v>
      </c>
      <c r="K288" s="8">
        <f>+Données!Q288</f>
        <v>7673.07</v>
      </c>
      <c r="L288" s="350">
        <f t="shared" si="13"/>
        <v>1362420.74</v>
      </c>
      <c r="M288" s="8">
        <f>+Données!F288</f>
        <v>3960</v>
      </c>
      <c r="N288" s="8">
        <f>+Données!K288</f>
        <v>11383.75</v>
      </c>
      <c r="O288" s="8">
        <f>(Données!L288/Données!Y288)*1</f>
        <v>123717.29166666667</v>
      </c>
      <c r="P288" s="350">
        <f t="shared" si="14"/>
        <v>1501481.7816666667</v>
      </c>
      <c r="Q288" s="176">
        <f>+Données!X288</f>
        <v>72</v>
      </c>
      <c r="R288" s="350">
        <f t="shared" si="15"/>
        <v>20853.913634259261</v>
      </c>
    </row>
    <row r="289" spans="1:18" x14ac:dyDescent="0.25">
      <c r="A289" s="7">
        <f>Données!A289</f>
        <v>5921</v>
      </c>
      <c r="B289" s="27" t="str">
        <f>Données!B289</f>
        <v>Molondin</v>
      </c>
      <c r="C289" s="8">
        <f>Données!C289+Données!D289</f>
        <v>371854.19</v>
      </c>
      <c r="D289" s="8">
        <f>+Données!G289+Données!H289+Données!S289</f>
        <v>950</v>
      </c>
      <c r="E289" s="8">
        <f>+Données!E289</f>
        <v>0</v>
      </c>
      <c r="F289" s="8">
        <f>+Données!I289</f>
        <v>0</v>
      </c>
      <c r="G289" s="8">
        <f>+Données!J289</f>
        <v>6939.28</v>
      </c>
      <c r="H289" s="8">
        <f>Données!U289</f>
        <v>-7190.13</v>
      </c>
      <c r="I289" s="154">
        <f>Données!V289</f>
        <v>0</v>
      </c>
      <c r="J289" s="154">
        <f>Données!W289</f>
        <v>0</v>
      </c>
      <c r="K289" s="8">
        <f>+Données!Q289</f>
        <v>2503.8200000000002</v>
      </c>
      <c r="L289" s="350">
        <f t="shared" si="13"/>
        <v>375057.16000000003</v>
      </c>
      <c r="M289" s="8">
        <f>+Données!F289</f>
        <v>1421.7</v>
      </c>
      <c r="N289" s="8">
        <f>+Données!K289</f>
        <v>0</v>
      </c>
      <c r="O289" s="8">
        <f>(Données!L289/Données!Y289)*1</f>
        <v>35888.75</v>
      </c>
      <c r="P289" s="350">
        <f t="shared" si="14"/>
        <v>412367.61000000004</v>
      </c>
      <c r="Q289" s="176">
        <f>+Données!X289</f>
        <v>81</v>
      </c>
      <c r="R289" s="350">
        <f t="shared" si="15"/>
        <v>5090.9581481481491</v>
      </c>
    </row>
    <row r="290" spans="1:18" x14ac:dyDescent="0.25">
      <c r="A290" s="7">
        <f>Données!A290</f>
        <v>5922</v>
      </c>
      <c r="B290" s="27" t="str">
        <f>Données!B290</f>
        <v>Montagny-près-Yverdon</v>
      </c>
      <c r="C290" s="8">
        <f>Données!C290+Données!D290</f>
        <v>1566459.89</v>
      </c>
      <c r="D290" s="8">
        <f>+Données!G290+Données!H290+Données!S290</f>
        <v>531605.9</v>
      </c>
      <c r="E290" s="8">
        <f>+Données!E290</f>
        <v>0</v>
      </c>
      <c r="F290" s="8">
        <f>+Données!I290</f>
        <v>0</v>
      </c>
      <c r="G290" s="8">
        <f>+Données!J290</f>
        <v>85313.26</v>
      </c>
      <c r="H290" s="8">
        <f>Données!U290</f>
        <v>-18199.62</v>
      </c>
      <c r="I290" s="154">
        <f>Données!V290</f>
        <v>0</v>
      </c>
      <c r="J290" s="154">
        <f>Données!W290</f>
        <v>-254.07</v>
      </c>
      <c r="K290" s="8">
        <f>+Données!Q290</f>
        <v>0</v>
      </c>
      <c r="L290" s="350">
        <f t="shared" si="13"/>
        <v>2164925.36</v>
      </c>
      <c r="M290" s="8">
        <f>+Données!F290</f>
        <v>0</v>
      </c>
      <c r="N290" s="8">
        <f>+Données!K290</f>
        <v>65824.350000000006</v>
      </c>
      <c r="O290" s="8">
        <f>(Données!L290/Données!Y290)*1</f>
        <v>335925.06249999994</v>
      </c>
      <c r="P290" s="350">
        <f t="shared" si="14"/>
        <v>2566674.7725</v>
      </c>
      <c r="Q290" s="176">
        <f>+Données!X290</f>
        <v>64.5</v>
      </c>
      <c r="R290" s="350">
        <f t="shared" si="15"/>
        <v>39793.407325581393</v>
      </c>
    </row>
    <row r="291" spans="1:18" x14ac:dyDescent="0.25">
      <c r="A291" s="7">
        <f>Données!A291</f>
        <v>5923</v>
      </c>
      <c r="B291" s="27" t="str">
        <f>Données!B291</f>
        <v>Oppens</v>
      </c>
      <c r="C291" s="8">
        <f>Données!C291+Données!D291</f>
        <v>280536.77</v>
      </c>
      <c r="D291" s="8">
        <f>+Données!G291+Données!H291+Données!S291</f>
        <v>24545.839999999997</v>
      </c>
      <c r="E291" s="8">
        <f>+Données!E291</f>
        <v>0</v>
      </c>
      <c r="F291" s="8">
        <f>+Données!I291</f>
        <v>0</v>
      </c>
      <c r="G291" s="8">
        <f>+Données!J291</f>
        <v>31244.639999999999</v>
      </c>
      <c r="H291" s="8">
        <f>Données!U291</f>
        <v>-6113.84</v>
      </c>
      <c r="I291" s="154">
        <f>Données!V291</f>
        <v>0</v>
      </c>
      <c r="J291" s="154">
        <f>Données!W291</f>
        <v>0</v>
      </c>
      <c r="K291" s="8">
        <f>+Données!Q291</f>
        <v>3625.14</v>
      </c>
      <c r="L291" s="350">
        <f t="shared" si="13"/>
        <v>333838.55</v>
      </c>
      <c r="M291" s="8">
        <f>+Données!F291</f>
        <v>0</v>
      </c>
      <c r="N291" s="8">
        <f>+Données!K291</f>
        <v>0</v>
      </c>
      <c r="O291" s="8">
        <f>(Données!L291/Données!Y291)*1</f>
        <v>27354</v>
      </c>
      <c r="P291" s="350">
        <f t="shared" si="14"/>
        <v>361192.55</v>
      </c>
      <c r="Q291" s="176">
        <f>+Données!X291</f>
        <v>81</v>
      </c>
      <c r="R291" s="350">
        <f t="shared" si="15"/>
        <v>4459.1672839506173</v>
      </c>
    </row>
    <row r="292" spans="1:18" x14ac:dyDescent="0.25">
      <c r="A292" s="7">
        <f>Données!A292</f>
        <v>5924</v>
      </c>
      <c r="B292" s="27" t="str">
        <f>Données!B292</f>
        <v>Orges</v>
      </c>
      <c r="C292" s="8">
        <f>Données!C292+Données!D292</f>
        <v>762567.89</v>
      </c>
      <c r="D292" s="8">
        <f>+Données!G292+Données!H292+Données!S292</f>
        <v>13619.2</v>
      </c>
      <c r="E292" s="8">
        <f>+Données!E292</f>
        <v>0</v>
      </c>
      <c r="F292" s="8">
        <f>+Données!I292</f>
        <v>0</v>
      </c>
      <c r="G292" s="8">
        <f>+Données!J292</f>
        <v>22949.55</v>
      </c>
      <c r="H292" s="8">
        <f>Données!U292</f>
        <v>-1325.8</v>
      </c>
      <c r="I292" s="154">
        <f>Données!V292</f>
        <v>0</v>
      </c>
      <c r="J292" s="154">
        <f>Données!W292</f>
        <v>-145.54</v>
      </c>
      <c r="K292" s="8">
        <f>+Données!Q292</f>
        <v>1748.47</v>
      </c>
      <c r="L292" s="350">
        <f t="shared" si="13"/>
        <v>799413.7699999999</v>
      </c>
      <c r="M292" s="8">
        <f>+Données!F292</f>
        <v>0</v>
      </c>
      <c r="N292" s="8">
        <f>+Données!K292</f>
        <v>0</v>
      </c>
      <c r="O292" s="8">
        <f>(Données!L292/Données!Y292)*1</f>
        <v>61757.15</v>
      </c>
      <c r="P292" s="350">
        <f t="shared" si="14"/>
        <v>861170.91999999993</v>
      </c>
      <c r="Q292" s="176">
        <f>+Données!X292</f>
        <v>74</v>
      </c>
      <c r="R292" s="350">
        <f t="shared" si="15"/>
        <v>11637.444864864863</v>
      </c>
    </row>
    <row r="293" spans="1:18" x14ac:dyDescent="0.25">
      <c r="A293" s="7">
        <f>Données!A293</f>
        <v>5925</v>
      </c>
      <c r="B293" s="27" t="str">
        <f>Données!B293</f>
        <v>Orzens</v>
      </c>
      <c r="C293" s="8">
        <f>Données!C293+Données!D293</f>
        <v>372846.97</v>
      </c>
      <c r="D293" s="8">
        <f>+Données!G293+Données!H293+Données!S293</f>
        <v>3170.98</v>
      </c>
      <c r="E293" s="8">
        <f>+Données!E293</f>
        <v>0</v>
      </c>
      <c r="F293" s="8">
        <f>+Données!I293</f>
        <v>0</v>
      </c>
      <c r="G293" s="8">
        <f>+Données!J293</f>
        <v>11747.07</v>
      </c>
      <c r="H293" s="8">
        <f>Données!U293</f>
        <v>-10323.950000000001</v>
      </c>
      <c r="I293" s="154">
        <f>Données!V293</f>
        <v>0</v>
      </c>
      <c r="J293" s="154">
        <f>Données!W293</f>
        <v>-164.65</v>
      </c>
      <c r="K293" s="8">
        <f>+Données!Q293</f>
        <v>2220.4899999999998</v>
      </c>
      <c r="L293" s="350">
        <f t="shared" si="13"/>
        <v>379496.90999999992</v>
      </c>
      <c r="M293" s="8">
        <f>+Données!F293</f>
        <v>1210</v>
      </c>
      <c r="N293" s="8">
        <f>+Données!K293</f>
        <v>0</v>
      </c>
      <c r="O293" s="8">
        <f>(Données!L293/Données!Y293)*1</f>
        <v>34493.699999999997</v>
      </c>
      <c r="P293" s="350">
        <f t="shared" si="14"/>
        <v>415200.60999999993</v>
      </c>
      <c r="Q293" s="176">
        <f>+Données!X293</f>
        <v>79</v>
      </c>
      <c r="R293" s="350">
        <f t="shared" si="15"/>
        <v>5255.7039240506319</v>
      </c>
    </row>
    <row r="294" spans="1:18" x14ac:dyDescent="0.25">
      <c r="A294" s="7">
        <f>Données!A294</f>
        <v>5926</v>
      </c>
      <c r="B294" s="27" t="str">
        <f>Données!B294</f>
        <v>Pomy</v>
      </c>
      <c r="C294" s="8">
        <f>Données!C294+Données!D294</f>
        <v>1682350.7</v>
      </c>
      <c r="D294" s="8">
        <f>+Données!G294+Données!H294+Données!S294</f>
        <v>52274.700000000004</v>
      </c>
      <c r="E294" s="8">
        <f>+Données!E294</f>
        <v>0</v>
      </c>
      <c r="F294" s="8">
        <f>+Données!I294</f>
        <v>0</v>
      </c>
      <c r="G294" s="8">
        <f>+Données!J294</f>
        <v>39940.949999999997</v>
      </c>
      <c r="H294" s="8">
        <f>Données!U294</f>
        <v>-14155.75</v>
      </c>
      <c r="I294" s="154">
        <f>Données!V294</f>
        <v>0</v>
      </c>
      <c r="J294" s="154">
        <f>Données!W294</f>
        <v>-33.1</v>
      </c>
      <c r="K294" s="8">
        <f>+Données!Q294</f>
        <v>1395.7</v>
      </c>
      <c r="L294" s="350">
        <f t="shared" si="13"/>
        <v>1761773.1999999997</v>
      </c>
      <c r="M294" s="8">
        <f>+Données!F294</f>
        <v>0</v>
      </c>
      <c r="N294" s="8">
        <f>+Données!K294</f>
        <v>0</v>
      </c>
      <c r="O294" s="8">
        <f>(Données!L294/Données!Y294)*1</f>
        <v>139755.29999999999</v>
      </c>
      <c r="P294" s="350">
        <f t="shared" si="14"/>
        <v>1901528.4999999998</v>
      </c>
      <c r="Q294" s="176">
        <f>+Données!X294</f>
        <v>71</v>
      </c>
      <c r="R294" s="350">
        <f t="shared" si="15"/>
        <v>26782.091549295772</v>
      </c>
    </row>
    <row r="295" spans="1:18" x14ac:dyDescent="0.25">
      <c r="A295" s="7">
        <f>Données!A295</f>
        <v>5928</v>
      </c>
      <c r="B295" s="27" t="str">
        <f>Données!B295</f>
        <v>Rovray</v>
      </c>
      <c r="C295" s="8">
        <f>Données!C295+Données!D295</f>
        <v>331068.71000000002</v>
      </c>
      <c r="D295" s="8">
        <f>+Données!G295+Données!H295+Données!S295</f>
        <v>2118.96</v>
      </c>
      <c r="E295" s="8">
        <f>+Données!E295</f>
        <v>0</v>
      </c>
      <c r="F295" s="8">
        <f>+Données!I295</f>
        <v>0</v>
      </c>
      <c r="G295" s="8">
        <f>+Données!J295</f>
        <v>12054.8</v>
      </c>
      <c r="H295" s="8">
        <f>Données!U295</f>
        <v>-7221.21</v>
      </c>
      <c r="I295" s="154">
        <f>Données!V295</f>
        <v>0</v>
      </c>
      <c r="J295" s="154">
        <f>Données!W295</f>
        <v>0</v>
      </c>
      <c r="K295" s="8">
        <f>+Données!Q295</f>
        <v>11</v>
      </c>
      <c r="L295" s="350">
        <f t="shared" si="13"/>
        <v>338032.26</v>
      </c>
      <c r="M295" s="8">
        <f>+Données!F295</f>
        <v>0</v>
      </c>
      <c r="N295" s="8">
        <f>+Données!K295</f>
        <v>0</v>
      </c>
      <c r="O295" s="8">
        <f>(Données!L295/Données!Y295)*1</f>
        <v>26295.7</v>
      </c>
      <c r="P295" s="350">
        <f t="shared" si="14"/>
        <v>364327.96</v>
      </c>
      <c r="Q295" s="176">
        <f>+Données!X295</f>
        <v>71.5</v>
      </c>
      <c r="R295" s="350">
        <f t="shared" si="15"/>
        <v>5095.4959440559442</v>
      </c>
    </row>
    <row r="296" spans="1:18" x14ac:dyDescent="0.25">
      <c r="A296" s="7">
        <f>Données!A296</f>
        <v>5929</v>
      </c>
      <c r="B296" s="27" t="str">
        <f>Données!B296</f>
        <v>Suchy</v>
      </c>
      <c r="C296" s="8">
        <f>Données!C296+Données!D296</f>
        <v>1300998.48</v>
      </c>
      <c r="D296" s="8">
        <f>+Données!G296+Données!H296+Données!S296</f>
        <v>36950.949999999997</v>
      </c>
      <c r="E296" s="8">
        <f>+Données!E296</f>
        <v>0</v>
      </c>
      <c r="F296" s="8">
        <f>+Données!I296</f>
        <v>41100.15</v>
      </c>
      <c r="G296" s="8">
        <f>+Données!J296</f>
        <v>26464.74</v>
      </c>
      <c r="H296" s="8">
        <f>Données!U296</f>
        <v>-11366.04</v>
      </c>
      <c r="I296" s="154">
        <f>Données!V296</f>
        <v>0</v>
      </c>
      <c r="J296" s="154">
        <f>Données!W296</f>
        <v>-87.5</v>
      </c>
      <c r="K296" s="8">
        <f>+Données!Q296</f>
        <v>158.96</v>
      </c>
      <c r="L296" s="350">
        <f t="shared" si="13"/>
        <v>1394219.7399999998</v>
      </c>
      <c r="M296" s="8">
        <f>+Données!F296</f>
        <v>0</v>
      </c>
      <c r="N296" s="8">
        <f>+Données!K296</f>
        <v>0</v>
      </c>
      <c r="O296" s="8">
        <f>(Données!L296/Données!Y296)*1</f>
        <v>117965.75</v>
      </c>
      <c r="P296" s="350">
        <f t="shared" si="14"/>
        <v>1512185.4899999998</v>
      </c>
      <c r="Q296" s="176">
        <f>+Données!X296</f>
        <v>70</v>
      </c>
      <c r="R296" s="350">
        <f t="shared" si="15"/>
        <v>21602.649857142853</v>
      </c>
    </row>
    <row r="297" spans="1:18" s="158" customFormat="1" x14ac:dyDescent="0.25">
      <c r="A297" s="7">
        <f>Données!A297</f>
        <v>5930</v>
      </c>
      <c r="B297" s="27" t="str">
        <f>Données!B297</f>
        <v>Suscévaz</v>
      </c>
      <c r="C297" s="8">
        <f>Données!C297+Données!D297</f>
        <v>374593.95</v>
      </c>
      <c r="D297" s="8">
        <f>+Données!G297+Données!H297+Données!S297</f>
        <v>694.62</v>
      </c>
      <c r="E297" s="8">
        <f>+Données!E297</f>
        <v>0</v>
      </c>
      <c r="F297" s="8">
        <f>+Données!I297</f>
        <v>0</v>
      </c>
      <c r="G297" s="8">
        <f>+Données!J297</f>
        <v>6739.75</v>
      </c>
      <c r="H297" s="8">
        <f>Données!U297</f>
        <v>-42.39</v>
      </c>
      <c r="I297" s="154">
        <f>Données!V297</f>
        <v>0</v>
      </c>
      <c r="J297" s="154">
        <f>Données!W297</f>
        <v>-396.7</v>
      </c>
      <c r="K297" s="8">
        <f>+Données!Q297</f>
        <v>0</v>
      </c>
      <c r="L297" s="350">
        <f t="shared" si="13"/>
        <v>381589.23</v>
      </c>
      <c r="M297" s="8">
        <f>+Données!F297</f>
        <v>1150</v>
      </c>
      <c r="N297" s="8">
        <f>+Données!K297</f>
        <v>228.6</v>
      </c>
      <c r="O297" s="8">
        <f>(Données!L297/Données!Y297)*1</f>
        <v>30971.5</v>
      </c>
      <c r="P297" s="350">
        <f t="shared" si="14"/>
        <v>413939.32999999996</v>
      </c>
      <c r="Q297" s="176">
        <f>+Données!X297</f>
        <v>72</v>
      </c>
      <c r="R297" s="350">
        <f t="shared" si="15"/>
        <v>5749.1573611111107</v>
      </c>
    </row>
    <row r="298" spans="1:18" x14ac:dyDescent="0.25">
      <c r="A298" s="7">
        <f>Données!A298</f>
        <v>5931</v>
      </c>
      <c r="B298" s="27" t="str">
        <f>Données!B298</f>
        <v>Treycovagnes</v>
      </c>
      <c r="C298" s="8">
        <f>Données!C298+Données!D298</f>
        <v>1130681.82</v>
      </c>
      <c r="D298" s="8">
        <f>+Données!G298+Données!H298+Données!S298</f>
        <v>14468.44</v>
      </c>
      <c r="E298" s="8">
        <f>+Données!E298</f>
        <v>0</v>
      </c>
      <c r="F298" s="8">
        <f>+Données!I298</f>
        <v>0</v>
      </c>
      <c r="G298" s="8">
        <f>+Données!J298</f>
        <v>16964.7</v>
      </c>
      <c r="H298" s="8">
        <f>Données!U298</f>
        <v>-28547.599999999999</v>
      </c>
      <c r="I298" s="154">
        <f>Données!V298</f>
        <v>0</v>
      </c>
      <c r="J298" s="154">
        <f>Données!W298</f>
        <v>-39.6</v>
      </c>
      <c r="K298" s="8">
        <f>+Données!Q298</f>
        <v>2635.73</v>
      </c>
      <c r="L298" s="350">
        <f t="shared" si="13"/>
        <v>1136163.4899999998</v>
      </c>
      <c r="M298" s="8">
        <f>+Données!F298</f>
        <v>0</v>
      </c>
      <c r="N298" s="8">
        <f>+Données!K298</f>
        <v>1295.9000000000001</v>
      </c>
      <c r="O298" s="8">
        <f>(Données!L298/Données!Y298)*1</f>
        <v>85534.8</v>
      </c>
      <c r="P298" s="350">
        <f t="shared" si="14"/>
        <v>1222994.1899999997</v>
      </c>
      <c r="Q298" s="176">
        <f>+Données!X298</f>
        <v>75</v>
      </c>
      <c r="R298" s="350">
        <f t="shared" si="15"/>
        <v>16306.589199999997</v>
      </c>
    </row>
    <row r="299" spans="1:18" x14ac:dyDescent="0.25">
      <c r="A299" s="7">
        <f>Données!A299</f>
        <v>5932</v>
      </c>
      <c r="B299" s="27" t="str">
        <f>Données!B299</f>
        <v>Ursins</v>
      </c>
      <c r="C299" s="8">
        <f>Données!C299+Données!D299</f>
        <v>516996.56</v>
      </c>
      <c r="D299" s="8">
        <f>+Données!G299+Données!H299+Données!S299</f>
        <v>661.35</v>
      </c>
      <c r="E299" s="8">
        <f>+Données!E299</f>
        <v>0</v>
      </c>
      <c r="F299" s="8">
        <f>+Données!I299</f>
        <v>40597.800000000003</v>
      </c>
      <c r="G299" s="8">
        <f>+Données!J299</f>
        <v>5920.82</v>
      </c>
      <c r="H299" s="8">
        <f>Données!U299</f>
        <v>-4106.46</v>
      </c>
      <c r="I299" s="154">
        <f>Données!V299</f>
        <v>0</v>
      </c>
      <c r="J299" s="154">
        <f>Données!W299</f>
        <v>-53.7</v>
      </c>
      <c r="K299" s="8">
        <f>+Données!Q299</f>
        <v>56.86</v>
      </c>
      <c r="L299" s="350">
        <f t="shared" si="13"/>
        <v>560073.23</v>
      </c>
      <c r="M299" s="8">
        <f>+Données!F299</f>
        <v>1350</v>
      </c>
      <c r="N299" s="8">
        <f>+Données!K299</f>
        <v>819.5</v>
      </c>
      <c r="O299" s="8">
        <f>(Données!L299/Données!Y299)*1</f>
        <v>33679.300000000003</v>
      </c>
      <c r="P299" s="350">
        <f t="shared" si="14"/>
        <v>595922.03</v>
      </c>
      <c r="Q299" s="176">
        <f>+Données!X299</f>
        <v>75</v>
      </c>
      <c r="R299" s="350">
        <f t="shared" si="15"/>
        <v>7945.6270666666669</v>
      </c>
    </row>
    <row r="300" spans="1:18" x14ac:dyDescent="0.25">
      <c r="A300" s="7">
        <f>Données!A300</f>
        <v>5933</v>
      </c>
      <c r="B300" s="27" t="str">
        <f>Données!B300</f>
        <v>Valeyres-sous-Montagny</v>
      </c>
      <c r="C300" s="8">
        <f>Données!C300+Données!D300</f>
        <v>1506193.99</v>
      </c>
      <c r="D300" s="8">
        <f>+Données!G300+Données!H300+Données!S300</f>
        <v>27711.81</v>
      </c>
      <c r="E300" s="8">
        <f>+Données!E300</f>
        <v>0</v>
      </c>
      <c r="F300" s="8">
        <f>+Données!I300</f>
        <v>0</v>
      </c>
      <c r="G300" s="8">
        <f>+Données!J300</f>
        <v>15895.67</v>
      </c>
      <c r="H300" s="8">
        <f>Données!U300</f>
        <v>-21366.7</v>
      </c>
      <c r="I300" s="154">
        <f>Données!V300</f>
        <v>0</v>
      </c>
      <c r="J300" s="154">
        <f>Données!W300</f>
        <v>-0.21</v>
      </c>
      <c r="K300" s="8">
        <f>+Données!Q300</f>
        <v>153.87</v>
      </c>
      <c r="L300" s="350">
        <f t="shared" si="13"/>
        <v>1528588.4300000002</v>
      </c>
      <c r="M300" s="8">
        <f>+Données!F300</f>
        <v>0</v>
      </c>
      <c r="N300" s="8">
        <f>+Données!K300</f>
        <v>3437.05</v>
      </c>
      <c r="O300" s="8">
        <f>(Données!L300/Données!Y300)*1</f>
        <v>123173.55</v>
      </c>
      <c r="P300" s="350">
        <f t="shared" si="14"/>
        <v>1655199.0300000003</v>
      </c>
      <c r="Q300" s="176">
        <f>+Données!X300</f>
        <v>70.5</v>
      </c>
      <c r="R300" s="350">
        <f t="shared" si="15"/>
        <v>23478.000425531918</v>
      </c>
    </row>
    <row r="301" spans="1:18" x14ac:dyDescent="0.25">
      <c r="A301" s="7">
        <f>Données!A301</f>
        <v>5934</v>
      </c>
      <c r="B301" s="27" t="str">
        <f>Données!B301</f>
        <v>Valeyres-sous-Ursins</v>
      </c>
      <c r="C301" s="8">
        <f>Données!C301+Données!D301</f>
        <v>486913.9499999999</v>
      </c>
      <c r="D301" s="8">
        <f>+Données!G301+Données!H301+Données!S301</f>
        <v>-73.099999999999994</v>
      </c>
      <c r="E301" s="8">
        <f>+Données!E301</f>
        <v>0</v>
      </c>
      <c r="F301" s="8">
        <f>+Données!I301</f>
        <v>0</v>
      </c>
      <c r="G301" s="8">
        <f>+Données!J301</f>
        <v>16298.23</v>
      </c>
      <c r="H301" s="8">
        <f>Données!U301</f>
        <v>-1969.43</v>
      </c>
      <c r="I301" s="154">
        <f>Données!V301</f>
        <v>0</v>
      </c>
      <c r="J301" s="154">
        <f>Données!W301</f>
        <v>0</v>
      </c>
      <c r="K301" s="8">
        <f>+Données!Q301</f>
        <v>0</v>
      </c>
      <c r="L301" s="350">
        <f t="shared" si="13"/>
        <v>501169.64999999991</v>
      </c>
      <c r="M301" s="8">
        <f>+Données!F301</f>
        <v>1520</v>
      </c>
      <c r="N301" s="8">
        <f>+Données!K301</f>
        <v>34.700000000000003</v>
      </c>
      <c r="O301" s="8">
        <f>(Données!L301/Données!Y301)*1</f>
        <v>29927.4</v>
      </c>
      <c r="P301" s="350">
        <f t="shared" si="14"/>
        <v>532651.74999999988</v>
      </c>
      <c r="Q301" s="176">
        <f>+Données!X301</f>
        <v>77</v>
      </c>
      <c r="R301" s="350">
        <f t="shared" si="15"/>
        <v>6917.5551948051934</v>
      </c>
    </row>
    <row r="302" spans="1:18" x14ac:dyDescent="0.25">
      <c r="A302" s="7">
        <f>Données!A302</f>
        <v>5935</v>
      </c>
      <c r="B302" s="27" t="str">
        <f>Données!B302</f>
        <v>Villars-Epeney</v>
      </c>
      <c r="C302" s="8">
        <f>Données!C302+Données!D302</f>
        <v>432217.66000000003</v>
      </c>
      <c r="D302" s="8">
        <f>+Données!G302+Données!H302+Données!S302</f>
        <v>2562.56</v>
      </c>
      <c r="E302" s="8">
        <f>+Données!E302</f>
        <v>0</v>
      </c>
      <c r="F302" s="8">
        <f>+Données!I302</f>
        <v>0</v>
      </c>
      <c r="G302" s="8">
        <f>+Données!J302</f>
        <v>1751.41</v>
      </c>
      <c r="H302" s="8">
        <f>Données!U302</f>
        <v>-14.49</v>
      </c>
      <c r="I302" s="154">
        <f>Données!V302</f>
        <v>0</v>
      </c>
      <c r="J302" s="154">
        <f>Données!W302</f>
        <v>-121.1</v>
      </c>
      <c r="K302" s="8">
        <f>+Données!Q302</f>
        <v>0</v>
      </c>
      <c r="L302" s="350">
        <f t="shared" si="13"/>
        <v>436396.04000000004</v>
      </c>
      <c r="M302" s="8">
        <f>+Données!F302</f>
        <v>0</v>
      </c>
      <c r="N302" s="8">
        <f>+Données!K302</f>
        <v>0</v>
      </c>
      <c r="O302" s="8">
        <f>(Données!L302/Données!Y302)*1</f>
        <v>20862.05</v>
      </c>
      <c r="P302" s="350">
        <f t="shared" si="14"/>
        <v>457258.09</v>
      </c>
      <c r="Q302" s="176">
        <f>+Données!X302</f>
        <v>68</v>
      </c>
      <c r="R302" s="350">
        <f t="shared" si="15"/>
        <v>6724.3836764705884</v>
      </c>
    </row>
    <row r="303" spans="1:18" x14ac:dyDescent="0.25">
      <c r="A303" s="7">
        <f>Données!A303</f>
        <v>5937</v>
      </c>
      <c r="B303" s="27" t="str">
        <f>Données!B303</f>
        <v>Vugelles-La Mothe</v>
      </c>
      <c r="C303" s="8">
        <f>Données!C303+Données!D303</f>
        <v>215278.37000000002</v>
      </c>
      <c r="D303" s="8">
        <f>+Données!G303+Données!H303+Données!S303</f>
        <v>1417.4399999999998</v>
      </c>
      <c r="E303" s="8">
        <f>+Données!E303</f>
        <v>0</v>
      </c>
      <c r="F303" s="8">
        <f>+Données!I303</f>
        <v>0</v>
      </c>
      <c r="G303" s="8">
        <f>+Données!J303</f>
        <v>2117.29</v>
      </c>
      <c r="H303" s="8">
        <f>Données!U303</f>
        <v>-2699.57</v>
      </c>
      <c r="I303" s="154">
        <f>Données!V303</f>
        <v>0</v>
      </c>
      <c r="J303" s="154">
        <f>Données!W303</f>
        <v>0</v>
      </c>
      <c r="K303" s="8">
        <f>+Données!Q303</f>
        <v>52.83</v>
      </c>
      <c r="L303" s="350">
        <f t="shared" si="13"/>
        <v>216166.36000000002</v>
      </c>
      <c r="M303" s="8">
        <f>+Données!F303</f>
        <v>0</v>
      </c>
      <c r="N303" s="8">
        <f>+Données!K303</f>
        <v>0</v>
      </c>
      <c r="O303" s="8">
        <f>(Données!L303/Données!Y303)*1</f>
        <v>17905.100000000002</v>
      </c>
      <c r="P303" s="350">
        <f t="shared" si="14"/>
        <v>234071.46000000002</v>
      </c>
      <c r="Q303" s="176">
        <f>+Données!X303</f>
        <v>70</v>
      </c>
      <c r="R303" s="350">
        <f t="shared" si="15"/>
        <v>3343.8780000000002</v>
      </c>
    </row>
    <row r="304" spans="1:18" x14ac:dyDescent="0.25">
      <c r="A304" s="7">
        <f>Données!A304</f>
        <v>5938</v>
      </c>
      <c r="B304" s="27" t="str">
        <f>Données!B304</f>
        <v>Yverdon-les-Bains</v>
      </c>
      <c r="C304" s="8">
        <f>Données!C304+Données!D304</f>
        <v>47378408.359999999</v>
      </c>
      <c r="D304" s="8">
        <f>+Données!G304+Données!H304+Données!S304</f>
        <v>4597304.32</v>
      </c>
      <c r="E304" s="8">
        <f>+Données!E304</f>
        <v>0</v>
      </c>
      <c r="F304" s="8">
        <f>+Données!I304</f>
        <v>0</v>
      </c>
      <c r="G304" s="8">
        <f>+Données!J304</f>
        <v>2035405.47</v>
      </c>
      <c r="H304" s="8">
        <f>Données!U304</f>
        <v>-1193782.54</v>
      </c>
      <c r="I304" s="154">
        <f>Données!V304</f>
        <v>0</v>
      </c>
      <c r="J304" s="154">
        <f>Données!W304</f>
        <v>-17227.91</v>
      </c>
      <c r="K304" s="8">
        <f>+Données!Q304</f>
        <v>309378.27</v>
      </c>
      <c r="L304" s="350">
        <f t="shared" si="13"/>
        <v>53109485.970000006</v>
      </c>
      <c r="M304" s="8">
        <f>+Données!F304</f>
        <v>0</v>
      </c>
      <c r="N304" s="8">
        <f>+Données!K304</f>
        <v>733178.2</v>
      </c>
      <c r="O304" s="8">
        <f>(Données!L304/Données!Y304)*1</f>
        <v>4698262.95</v>
      </c>
      <c r="P304" s="350">
        <f t="shared" si="14"/>
        <v>58540927.120000012</v>
      </c>
      <c r="Q304" s="176">
        <f>+Données!X304</f>
        <v>75</v>
      </c>
      <c r="R304" s="350">
        <f t="shared" si="15"/>
        <v>780545.69493333355</v>
      </c>
    </row>
    <row r="305" spans="1:18" x14ac:dyDescent="0.25">
      <c r="A305" s="7">
        <f>Données!A305</f>
        <v>5939</v>
      </c>
      <c r="B305" s="27" t="str">
        <f>Données!B305</f>
        <v>Yvonand</v>
      </c>
      <c r="C305" s="8">
        <f>Données!C305+Données!D305</f>
        <v>5922390.7000000002</v>
      </c>
      <c r="D305" s="8">
        <f>+Données!G305+Données!H305+Données!S305</f>
        <v>414734.73000000004</v>
      </c>
      <c r="E305" s="8">
        <f>+Données!E305</f>
        <v>0</v>
      </c>
      <c r="F305" s="8">
        <f>+Données!I305</f>
        <v>0</v>
      </c>
      <c r="G305" s="8">
        <f>+Données!J305</f>
        <v>64905.83</v>
      </c>
      <c r="H305" s="8">
        <f>Données!U305</f>
        <v>-123423.25</v>
      </c>
      <c r="I305" s="154">
        <f>Données!V305</f>
        <v>0</v>
      </c>
      <c r="J305" s="154">
        <f>Données!W305</f>
        <v>-416.3</v>
      </c>
      <c r="K305" s="8">
        <f>+Données!Q305</f>
        <v>34210.68</v>
      </c>
      <c r="L305" s="350">
        <f t="shared" si="13"/>
        <v>6312402.3900000006</v>
      </c>
      <c r="M305" s="8">
        <f>+Données!F305</f>
        <v>0</v>
      </c>
      <c r="N305" s="8">
        <f>+Données!K305</f>
        <v>53322.6</v>
      </c>
      <c r="O305" s="8">
        <f>(Données!L305/Données!Y305)*1</f>
        <v>597639.35</v>
      </c>
      <c r="P305" s="350">
        <f t="shared" si="14"/>
        <v>6963364.3399999999</v>
      </c>
      <c r="Q305" s="176">
        <f>+Données!X305</f>
        <v>71.5</v>
      </c>
      <c r="R305" s="350">
        <f t="shared" si="15"/>
        <v>97389.711048951052</v>
      </c>
    </row>
    <row r="306" spans="1:18" x14ac:dyDescent="0.25">
      <c r="A306" s="6"/>
      <c r="B306" s="19">
        <f>COUNTA(B6:B305)</f>
        <v>300</v>
      </c>
      <c r="C306" s="9">
        <f t="shared" ref="C306:P306" si="16">SUM(C6:C305)</f>
        <v>2039902584.7499998</v>
      </c>
      <c r="D306" s="9">
        <f t="shared" si="16"/>
        <v>345003428.97999984</v>
      </c>
      <c r="E306" s="9">
        <f t="shared" si="16"/>
        <v>0</v>
      </c>
      <c r="F306" s="9">
        <f t="shared" si="16"/>
        <v>40975270.140000008</v>
      </c>
      <c r="G306" s="9">
        <f t="shared" si="16"/>
        <v>80353589.530000046</v>
      </c>
      <c r="H306" s="9">
        <f t="shared" si="16"/>
        <v>-31681422.970000003</v>
      </c>
      <c r="I306" s="9">
        <f t="shared" si="16"/>
        <v>-35431.199999999997</v>
      </c>
      <c r="J306" s="9">
        <f t="shared" si="16"/>
        <v>-5868235.3999999985</v>
      </c>
      <c r="K306" s="9">
        <f t="shared" si="16"/>
        <v>9674237.9099999946</v>
      </c>
      <c r="L306" s="351">
        <f t="shared" si="16"/>
        <v>2478324021.7399979</v>
      </c>
      <c r="M306" s="62">
        <f t="shared" si="16"/>
        <v>120898.59999999999</v>
      </c>
      <c r="N306" s="9">
        <f t="shared" si="16"/>
        <v>21427695.000000004</v>
      </c>
      <c r="O306" s="9">
        <f t="shared" si="16"/>
        <v>193697259.88831612</v>
      </c>
      <c r="P306" s="351">
        <f t="shared" si="16"/>
        <v>2693569875.2283154</v>
      </c>
      <c r="Q306" s="17">
        <f>P306/R306</f>
        <v>67.673642186656622</v>
      </c>
      <c r="R306" s="351">
        <f t="shared" ref="R306" si="17">SUM(R6:R305)</f>
        <v>39802348.273186527</v>
      </c>
    </row>
    <row r="307" spans="1:18" x14ac:dyDescent="0.25">
      <c r="C307" s="5"/>
      <c r="E307" s="5"/>
      <c r="G307" s="5"/>
      <c r="H307" s="5"/>
      <c r="I307" s="5"/>
      <c r="J307" s="5"/>
      <c r="K307" s="5"/>
      <c r="L307" s="5"/>
      <c r="M307" s="5"/>
      <c r="N307" s="5"/>
      <c r="O307" s="148"/>
      <c r="P307" s="5"/>
      <c r="Q307" s="5"/>
      <c r="R307" s="5"/>
    </row>
    <row r="308" spans="1:18" x14ac:dyDescent="0.25">
      <c r="C308" s="5"/>
      <c r="H308" s="5"/>
      <c r="I308" s="5"/>
      <c r="J308" s="5"/>
      <c r="K308" s="5"/>
      <c r="L308" s="5"/>
      <c r="M308" s="5"/>
      <c r="P308" s="5"/>
      <c r="Q308" s="5"/>
      <c r="R308" s="5"/>
    </row>
    <row r="309" spans="1:18" s="158" customFormat="1" x14ac:dyDescent="0.25">
      <c r="A309" s="3"/>
      <c r="C309" s="5"/>
      <c r="D309" s="5"/>
      <c r="F309" s="5"/>
      <c r="H309" s="5"/>
      <c r="I309" s="5"/>
      <c r="J309" s="5"/>
      <c r="K309" s="5"/>
      <c r="L309" s="5"/>
      <c r="M309" s="5"/>
      <c r="O309" s="175"/>
      <c r="P309" s="5"/>
      <c r="Q309" s="5"/>
      <c r="R309" s="5"/>
    </row>
    <row r="310" spans="1:18" s="158" customFormat="1" x14ac:dyDescent="0.25">
      <c r="A310" s="3"/>
      <c r="C310" s="5"/>
      <c r="D310" s="5"/>
      <c r="F310" s="5"/>
      <c r="H310" s="5"/>
      <c r="I310" s="5"/>
      <c r="J310" s="5"/>
      <c r="K310" s="5"/>
      <c r="L310" s="5"/>
      <c r="M310" s="5"/>
      <c r="O310" s="175"/>
      <c r="P310" s="5"/>
      <c r="Q310" s="5"/>
      <c r="R310" s="5"/>
    </row>
    <row r="311" spans="1:18" x14ac:dyDescent="0.25">
      <c r="C311" s="5"/>
      <c r="I311" s="5"/>
      <c r="P311" s="5"/>
    </row>
    <row r="312" spans="1:18" x14ac:dyDescent="0.25">
      <c r="C312" s="5"/>
      <c r="G312" s="5"/>
      <c r="I312" s="29"/>
      <c r="P312" s="5"/>
    </row>
    <row r="313" spans="1:18" x14ac:dyDescent="0.25">
      <c r="G313" s="5"/>
      <c r="P313" s="5"/>
    </row>
    <row r="314" spans="1:18" x14ac:dyDescent="0.25">
      <c r="G314" s="5"/>
      <c r="P314" s="5"/>
    </row>
    <row r="315" spans="1:18" x14ac:dyDescent="0.25">
      <c r="G315" s="5"/>
      <c r="P315" s="5"/>
    </row>
    <row r="316" spans="1:18" x14ac:dyDescent="0.25">
      <c r="G316" s="29"/>
      <c r="P316" s="5"/>
    </row>
    <row r="317" spans="1:18" s="5" customFormat="1" x14ac:dyDescent="0.25">
      <c r="A317" s="4"/>
    </row>
  </sheetData>
  <sheetProtection sheet="1" objects="1" scenarios="1"/>
  <mergeCells count="9">
    <mergeCell ref="O4:O5"/>
    <mergeCell ref="P4:P5"/>
    <mergeCell ref="A4:A5"/>
    <mergeCell ref="B4:B5"/>
    <mergeCell ref="K4:K5"/>
    <mergeCell ref="L4:L5"/>
    <mergeCell ref="H4:H5"/>
    <mergeCell ref="I4:I5"/>
    <mergeCell ref="J4:J5"/>
  </mergeCells>
  <phoneticPr fontId="0" type="noConversion"/>
  <hyperlinks>
    <hyperlink ref="E1" location="Données!A1" display="← Précédent" xr:uid="{BBD3D6D8-6A8D-46DD-B28F-66885CE3043A}"/>
    <hyperlink ref="F1" location="'Table des matières'!A1" display="Table des             matières" xr:uid="{A8DDC96E-1717-4FF4-AED1-4FC492DF2C51}"/>
    <hyperlink ref="G1" location="PCS!A1" display="Suivant →" xr:uid="{744A35FE-F150-4B65-9CDD-34566698A827}"/>
  </hyperlinks>
  <pageMargins left="0" right="0" top="0" bottom="0" header="0.51181102362204722" footer="0.51181102362204722"/>
  <pageSetup paperSize="8" scale="70" orientation="landscape" horizontalDpi="4294967292" vertic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C00000"/>
  </sheetPr>
  <dimension ref="A1:AC324"/>
  <sheetViews>
    <sheetView workbookViewId="0">
      <pane ySplit="11" topLeftCell="A12" activePane="bottomLeft" state="frozen"/>
      <selection pane="bottomLeft" activeCell="A12" sqref="A12"/>
    </sheetView>
  </sheetViews>
  <sheetFormatPr baseColWidth="10" defaultColWidth="10.75" defaultRowHeight="15" x14ac:dyDescent="0.25"/>
  <cols>
    <col min="1" max="1" width="7.25" style="11" customWidth="1"/>
    <col min="2" max="2" width="20.25" style="11" customWidth="1"/>
    <col min="3" max="3" width="16.25" style="11" customWidth="1"/>
    <col min="4" max="4" width="12.75" style="11" customWidth="1"/>
    <col min="5" max="5" width="16.125" style="11" customWidth="1"/>
    <col min="6" max="6" width="12.5" style="11" customWidth="1"/>
    <col min="7" max="7" width="12.125" style="11" customWidth="1"/>
    <col min="8" max="8" width="12.5" style="11" customWidth="1"/>
    <col min="9" max="9" width="10.75" style="158" bestFit="1" customWidth="1"/>
    <col min="10" max="10" width="14" style="11" customWidth="1"/>
    <col min="11" max="16" width="12.125" style="11" customWidth="1"/>
    <col min="17" max="19" width="8.125" style="11" customWidth="1"/>
    <col min="20" max="27" width="11" style="11" customWidth="1"/>
    <col min="28" max="28" width="9.25" style="11" customWidth="1"/>
    <col min="29" max="29" width="11" style="11" customWidth="1"/>
    <col min="30" max="16384" width="10.75" style="11"/>
  </cols>
  <sheetData>
    <row r="1" spans="1:29" s="33" customFormat="1" ht="26.25" x14ac:dyDescent="0.25">
      <c r="A1" s="207" t="s">
        <v>423</v>
      </c>
      <c r="B1" s="32"/>
      <c r="C1" s="49"/>
      <c r="D1" s="49"/>
      <c r="E1" s="314" t="s">
        <v>403</v>
      </c>
      <c r="F1" s="230" t="s">
        <v>395</v>
      </c>
      <c r="G1" s="389" t="s">
        <v>404</v>
      </c>
      <c r="H1" s="49"/>
      <c r="I1" s="160"/>
      <c r="J1" s="11"/>
      <c r="K1" s="11"/>
      <c r="L1" s="11"/>
      <c r="M1" s="11"/>
      <c r="N1" s="11"/>
      <c r="O1" s="11"/>
      <c r="P1" s="11"/>
      <c r="Q1" s="11"/>
      <c r="R1" s="11"/>
      <c r="S1" s="11"/>
      <c r="T1" s="11"/>
      <c r="U1" s="11"/>
      <c r="V1" s="11"/>
      <c r="W1" s="11"/>
      <c r="X1" s="11"/>
      <c r="Y1" s="11"/>
      <c r="Z1" s="11"/>
      <c r="AA1" s="11"/>
      <c r="AB1" s="11"/>
      <c r="AC1" s="11"/>
    </row>
    <row r="2" spans="1:29" s="33" customFormat="1" ht="15.75" x14ac:dyDescent="0.25">
      <c r="A2" s="278" t="str">
        <f>Paramètres!B4</f>
        <v>Acomptes 2024</v>
      </c>
      <c r="B2" s="32"/>
      <c r="C2" s="160"/>
      <c r="D2" s="160"/>
      <c r="E2" s="160"/>
      <c r="F2" s="160"/>
      <c r="G2" s="160"/>
      <c r="H2" s="160"/>
      <c r="I2" s="160"/>
      <c r="J2" s="158"/>
      <c r="K2" s="158"/>
      <c r="L2" s="158"/>
      <c r="M2" s="158"/>
      <c r="N2" s="158"/>
      <c r="O2" s="158"/>
      <c r="P2" s="158"/>
      <c r="Q2" s="158"/>
      <c r="R2" s="158"/>
      <c r="S2" s="158"/>
      <c r="T2" s="158"/>
      <c r="U2" s="158"/>
      <c r="V2" s="158"/>
      <c r="W2" s="158"/>
      <c r="X2" s="158"/>
      <c r="Y2" s="158"/>
      <c r="Z2" s="158"/>
      <c r="AA2" s="158"/>
      <c r="AB2" s="158"/>
      <c r="AC2" s="158"/>
    </row>
    <row r="3" spans="1:29" s="40" customFormat="1" x14ac:dyDescent="0.25">
      <c r="A3" s="22"/>
      <c r="D3" s="11"/>
      <c r="E3" s="11"/>
      <c r="F3" s="11"/>
      <c r="G3" s="11"/>
      <c r="H3" s="287"/>
      <c r="I3" s="287"/>
      <c r="J3" s="11"/>
      <c r="K3" s="11"/>
      <c r="L3" s="11"/>
      <c r="M3" s="11"/>
      <c r="N3" s="11"/>
      <c r="O3" s="11"/>
      <c r="P3" s="11"/>
      <c r="Q3" s="11"/>
      <c r="R3" s="11"/>
      <c r="S3" s="11"/>
      <c r="T3" s="11"/>
      <c r="U3" s="11"/>
      <c r="V3" s="11"/>
      <c r="W3" s="11"/>
      <c r="X3" s="11"/>
      <c r="Y3" s="11"/>
      <c r="Z3" s="11"/>
      <c r="AA3" s="11"/>
      <c r="AB3" s="11"/>
      <c r="AC3" s="11"/>
    </row>
    <row r="4" spans="1:29" s="40" customFormat="1" ht="15" customHeight="1" x14ac:dyDescent="0.25">
      <c r="A4" s="673" t="s">
        <v>411</v>
      </c>
      <c r="B4" s="674"/>
      <c r="C4" s="674"/>
      <c r="D4" s="252" t="s">
        <v>379</v>
      </c>
      <c r="E4" s="254" t="s">
        <v>379</v>
      </c>
      <c r="F4" s="158"/>
      <c r="G4" s="298"/>
      <c r="H4" s="298"/>
      <c r="I4" s="298"/>
      <c r="J4" s="11"/>
      <c r="K4" s="11"/>
      <c r="L4" s="11"/>
      <c r="M4" s="11"/>
      <c r="N4" s="11"/>
      <c r="O4" s="11"/>
      <c r="P4" s="11"/>
      <c r="Q4" s="11"/>
      <c r="R4" s="11"/>
      <c r="S4" s="11"/>
      <c r="T4" s="11"/>
      <c r="U4" s="11"/>
      <c r="V4" s="11"/>
      <c r="W4" s="11"/>
      <c r="X4" s="11"/>
      <c r="Y4" s="11"/>
      <c r="Z4" s="11"/>
      <c r="AA4" s="11"/>
      <c r="AB4" s="11"/>
      <c r="AC4" s="11"/>
    </row>
    <row r="5" spans="1:29" s="356" customFormat="1" ht="18" customHeight="1" x14ac:dyDescent="0.2">
      <c r="A5" s="682" t="s">
        <v>419</v>
      </c>
      <c r="B5" s="683"/>
      <c r="C5" s="353">
        <f>+Paramètres!B11</f>
        <v>790754700</v>
      </c>
      <c r="D5" s="354">
        <f>C5/$E$5</f>
        <v>19.867036351036209</v>
      </c>
      <c r="E5" s="355">
        <f>VPI!R306</f>
        <v>39802348.273186527</v>
      </c>
      <c r="F5" s="237"/>
      <c r="G5" s="298"/>
      <c r="H5" s="298"/>
      <c r="I5" s="298"/>
      <c r="J5" s="237"/>
      <c r="K5" s="237"/>
      <c r="L5" s="237"/>
      <c r="M5" s="237"/>
      <c r="N5" s="237"/>
      <c r="O5" s="237"/>
      <c r="P5" s="237"/>
      <c r="Q5" s="237"/>
      <c r="R5" s="237"/>
      <c r="S5" s="237"/>
      <c r="T5" s="237"/>
      <c r="U5" s="237"/>
      <c r="V5" s="237"/>
      <c r="W5" s="237"/>
      <c r="X5" s="237"/>
      <c r="Y5" s="237"/>
      <c r="Z5" s="237"/>
      <c r="AA5" s="237"/>
      <c r="AB5" s="237"/>
      <c r="AC5" s="237"/>
    </row>
    <row r="6" spans="1:29" s="356" customFormat="1" ht="18" customHeight="1" x14ac:dyDescent="0.2">
      <c r="A6" s="684" t="s">
        <v>309</v>
      </c>
      <c r="B6" s="685"/>
      <c r="C6" s="357">
        <f>-F312</f>
        <v>-167575396.14499995</v>
      </c>
      <c r="D6" s="358">
        <f>C6/$E$5</f>
        <v>-4.210188680196282</v>
      </c>
      <c r="E6" s="359"/>
      <c r="F6" s="237"/>
      <c r="G6" s="298"/>
      <c r="H6" s="298"/>
      <c r="I6" s="298"/>
      <c r="J6" s="237"/>
      <c r="K6" s="237"/>
      <c r="L6" s="237"/>
      <c r="M6" s="237"/>
      <c r="N6" s="237"/>
      <c r="O6" s="237"/>
      <c r="P6" s="237"/>
      <c r="Q6" s="237"/>
      <c r="R6" s="237"/>
      <c r="S6" s="237"/>
      <c r="T6" s="237"/>
      <c r="U6" s="237"/>
      <c r="V6" s="237"/>
      <c r="W6" s="237"/>
      <c r="X6" s="237"/>
      <c r="Y6" s="237"/>
      <c r="Z6" s="237"/>
      <c r="AA6" s="237"/>
      <c r="AB6" s="237"/>
      <c r="AC6" s="237"/>
    </row>
    <row r="7" spans="1:29" s="356" customFormat="1" ht="18" customHeight="1" x14ac:dyDescent="0.2">
      <c r="A7" s="686" t="s">
        <v>310</v>
      </c>
      <c r="B7" s="687"/>
      <c r="C7" s="360">
        <f>-Ecrêtage!M306</f>
        <v>-125715596.50028637</v>
      </c>
      <c r="D7" s="361">
        <f>C7/$E$5</f>
        <v>-3.1584969720235487</v>
      </c>
      <c r="E7" s="359"/>
      <c r="F7" s="237"/>
      <c r="G7" s="298"/>
      <c r="H7" s="298"/>
      <c r="I7" s="298"/>
      <c r="J7" s="237"/>
      <c r="K7" s="237"/>
      <c r="L7" s="237"/>
      <c r="M7" s="237"/>
      <c r="N7" s="237"/>
      <c r="O7" s="237"/>
      <c r="P7" s="237"/>
      <c r="Q7" s="237"/>
      <c r="R7" s="237"/>
      <c r="S7" s="237"/>
      <c r="T7" s="237"/>
      <c r="U7" s="237"/>
      <c r="V7" s="237"/>
      <c r="W7" s="237"/>
      <c r="X7" s="237"/>
      <c r="Y7" s="237"/>
      <c r="Z7" s="237"/>
      <c r="AA7" s="237"/>
      <c r="AB7" s="237"/>
      <c r="AC7" s="237"/>
    </row>
    <row r="8" spans="1:29" s="356" customFormat="1" ht="18" customHeight="1" x14ac:dyDescent="0.2">
      <c r="A8" s="682" t="s">
        <v>420</v>
      </c>
      <c r="B8" s="683"/>
      <c r="C8" s="353">
        <f>C5+C7+C6</f>
        <v>497463707.35471368</v>
      </c>
      <c r="D8" s="354">
        <f>C8/$E$5</f>
        <v>12.498350698816378</v>
      </c>
      <c r="E8" s="359"/>
      <c r="F8" s="237"/>
      <c r="G8" s="298"/>
      <c r="H8" s="298"/>
      <c r="I8" s="298"/>
      <c r="J8" s="237"/>
      <c r="K8" s="237"/>
      <c r="L8" s="237"/>
      <c r="M8" s="237"/>
      <c r="N8" s="237"/>
      <c r="O8" s="237"/>
      <c r="P8" s="237"/>
      <c r="Q8" s="237"/>
      <c r="R8" s="237"/>
      <c r="S8" s="237"/>
      <c r="T8" s="237"/>
      <c r="U8" s="237"/>
      <c r="V8" s="237"/>
      <c r="W8" s="237"/>
      <c r="X8" s="237"/>
      <c r="Y8" s="237"/>
      <c r="Z8" s="237"/>
      <c r="AA8" s="237"/>
      <c r="AB8" s="237"/>
      <c r="AC8" s="237"/>
    </row>
    <row r="9" spans="1:29" s="40" customFormat="1" x14ac:dyDescent="0.25">
      <c r="A9" s="22"/>
      <c r="D9" s="11"/>
      <c r="E9" s="11"/>
      <c r="F9" s="11"/>
      <c r="G9" s="11"/>
      <c r="J9" s="11"/>
      <c r="K9" s="11"/>
      <c r="L9" s="11"/>
      <c r="M9" s="11"/>
      <c r="N9" s="11"/>
      <c r="O9" s="11"/>
      <c r="P9" s="11"/>
      <c r="Q9" s="11"/>
      <c r="R9" s="11"/>
      <c r="S9" s="11"/>
      <c r="T9" s="11"/>
      <c r="U9" s="11"/>
      <c r="V9" s="11"/>
      <c r="W9" s="11"/>
      <c r="X9" s="11"/>
      <c r="Y9" s="11"/>
      <c r="Z9" s="11"/>
      <c r="AA9" s="11"/>
      <c r="AB9" s="11"/>
      <c r="AC9" s="11"/>
    </row>
    <row r="10" spans="1:29" ht="49.5" customHeight="1" x14ac:dyDescent="0.25">
      <c r="A10" s="675" t="s">
        <v>44</v>
      </c>
      <c r="B10" s="679" t="s">
        <v>84</v>
      </c>
      <c r="C10" s="675" t="s">
        <v>492</v>
      </c>
      <c r="D10" s="242" t="s">
        <v>418</v>
      </c>
      <c r="E10" s="242" t="s">
        <v>525</v>
      </c>
      <c r="F10" s="675" t="s">
        <v>350</v>
      </c>
      <c r="G10" s="679" t="s">
        <v>363</v>
      </c>
      <c r="H10" s="252" t="s">
        <v>480</v>
      </c>
      <c r="I10" s="677" t="s">
        <v>334</v>
      </c>
    </row>
    <row r="11" spans="1:29" ht="14.45" customHeight="1" x14ac:dyDescent="0.25">
      <c r="A11" s="676"/>
      <c r="B11" s="680"/>
      <c r="C11" s="681"/>
      <c r="D11" s="243">
        <f>Paramètres!B20</f>
        <v>0.3</v>
      </c>
      <c r="E11" s="244">
        <f>Paramètres!B19</f>
        <v>0.5</v>
      </c>
      <c r="F11" s="676"/>
      <c r="G11" s="680"/>
      <c r="H11" s="362">
        <f>D8</f>
        <v>12.498350698816378</v>
      </c>
      <c r="I11" s="678"/>
    </row>
    <row r="12" spans="1:29" x14ac:dyDescent="0.25">
      <c r="A12" s="36">
        <f>Données!A6</f>
        <v>5401</v>
      </c>
      <c r="B12" s="420" t="str">
        <f>Données!B6</f>
        <v>Aigle</v>
      </c>
      <c r="C12" s="253">
        <f>VPI!R6</f>
        <v>294617.5415151515</v>
      </c>
      <c r="D12" s="41">
        <f>Données!N6</f>
        <v>1326279.6499999999</v>
      </c>
      <c r="E12" s="174">
        <f>Données!O6+Données!P6+Données!R6</f>
        <v>1898594.2999999998</v>
      </c>
      <c r="F12" s="390">
        <f>D12*$D$11+E12*$E$11</f>
        <v>1347181.0449999999</v>
      </c>
      <c r="G12" s="390">
        <f>Ecrêtage!M6</f>
        <v>0</v>
      </c>
      <c r="H12" s="391">
        <f t="shared" ref="H12" si="0">$H$11*C12</f>
        <v>3682233.3558794567</v>
      </c>
      <c r="I12" s="245">
        <f t="shared" ref="I12" si="1">F12+H12+G12</f>
        <v>5029414.4008794567</v>
      </c>
    </row>
    <row r="13" spans="1:29" s="35" customFormat="1" x14ac:dyDescent="0.25">
      <c r="A13" s="38">
        <f>Données!A7</f>
        <v>5402</v>
      </c>
      <c r="B13" s="421" t="str">
        <f>Données!B7</f>
        <v>Bex</v>
      </c>
      <c r="C13" s="31">
        <f>VPI!R7</f>
        <v>191952.18042253522</v>
      </c>
      <c r="D13" s="8">
        <f>Données!N7</f>
        <v>327388.7</v>
      </c>
      <c r="E13" s="174">
        <f>Données!O7+Données!P7+Données!R7</f>
        <v>1644383.65</v>
      </c>
      <c r="F13" s="390">
        <f t="shared" ref="F13:F76" si="2">D13*$D$11+E13*$E$11</f>
        <v>920408.43499999994</v>
      </c>
      <c r="G13" s="390">
        <f>Ecrêtage!M7</f>
        <v>0</v>
      </c>
      <c r="H13" s="391">
        <f t="shared" ref="H13:H76" si="3">$H$11*C13</f>
        <v>2399085.6683233203</v>
      </c>
      <c r="I13" s="245">
        <f t="shared" ref="I13:I76" si="4">F13+H13+G13</f>
        <v>3319494.1033233204</v>
      </c>
    </row>
    <row r="14" spans="1:29" s="35" customFormat="1" x14ac:dyDescent="0.25">
      <c r="A14" s="38">
        <f>Données!A8</f>
        <v>5403</v>
      </c>
      <c r="B14" s="421" t="str">
        <f>Données!B8</f>
        <v>Chessel</v>
      </c>
      <c r="C14" s="31">
        <f>VPI!R8</f>
        <v>13520.577538461539</v>
      </c>
      <c r="D14" s="8">
        <f>Données!N8</f>
        <v>5643</v>
      </c>
      <c r="E14" s="174">
        <f>Données!O8+Données!P8+Données!R8</f>
        <v>29347.25</v>
      </c>
      <c r="F14" s="390">
        <f t="shared" si="2"/>
        <v>16366.525</v>
      </c>
      <c r="G14" s="390">
        <f>Ecrêtage!M8</f>
        <v>0</v>
      </c>
      <c r="H14" s="391">
        <f t="shared" si="3"/>
        <v>168984.9197262318</v>
      </c>
      <c r="I14" s="245">
        <f t="shared" si="4"/>
        <v>185351.4447262318</v>
      </c>
    </row>
    <row r="15" spans="1:29" s="35" customFormat="1" x14ac:dyDescent="0.25">
      <c r="A15" s="38">
        <f>Données!A9</f>
        <v>5404</v>
      </c>
      <c r="B15" s="421" t="str">
        <f>Données!B9</f>
        <v>Corbeyrier</v>
      </c>
      <c r="C15" s="31">
        <f>VPI!R9</f>
        <v>11663.176261261262</v>
      </c>
      <c r="D15" s="8">
        <f>Données!N9</f>
        <v>21844.1</v>
      </c>
      <c r="E15" s="174">
        <f>Données!O9+Données!P9+Données!R9</f>
        <v>196036.3</v>
      </c>
      <c r="F15" s="390">
        <f t="shared" si="2"/>
        <v>104571.37999999999</v>
      </c>
      <c r="G15" s="390">
        <f>Ecrêtage!M9</f>
        <v>0</v>
      </c>
      <c r="H15" s="391">
        <f t="shared" si="3"/>
        <v>145770.46717535329</v>
      </c>
      <c r="I15" s="245">
        <f t="shared" si="4"/>
        <v>250341.84717535326</v>
      </c>
    </row>
    <row r="16" spans="1:29" s="35" customFormat="1" x14ac:dyDescent="0.25">
      <c r="A16" s="38">
        <f>Données!A10</f>
        <v>5405</v>
      </c>
      <c r="B16" s="421" t="str">
        <f>Données!B10</f>
        <v>Gryon</v>
      </c>
      <c r="C16" s="31">
        <f>VPI!R10</f>
        <v>73284.694739229046</v>
      </c>
      <c r="D16" s="8">
        <f>Données!N10</f>
        <v>3649.4</v>
      </c>
      <c r="E16" s="174">
        <f>Données!O10+Données!P10+Données!R10</f>
        <v>1184528.5499999998</v>
      </c>
      <c r="F16" s="390">
        <f t="shared" si="2"/>
        <v>593359.09499999986</v>
      </c>
      <c r="G16" s="390">
        <f>Ecrêtage!M10</f>
        <v>99065.114104448032</v>
      </c>
      <c r="H16" s="391">
        <f t="shared" si="3"/>
        <v>915937.81570658821</v>
      </c>
      <c r="I16" s="245">
        <f t="shared" si="4"/>
        <v>1608362.0248110362</v>
      </c>
    </row>
    <row r="17" spans="1:9" s="35" customFormat="1" x14ac:dyDescent="0.25">
      <c r="A17" s="38">
        <f>Données!A11</f>
        <v>5406</v>
      </c>
      <c r="B17" s="421" t="str">
        <f>Données!B11</f>
        <v>Lavey-Morcles</v>
      </c>
      <c r="C17" s="31">
        <f>VPI!R11</f>
        <v>22110.99022054868</v>
      </c>
      <c r="D17" s="8">
        <f>Données!N11</f>
        <v>9333.2999999999993</v>
      </c>
      <c r="E17" s="174">
        <f>Données!O11+Données!P11+Données!R11</f>
        <v>329097.7</v>
      </c>
      <c r="F17" s="390">
        <f t="shared" si="2"/>
        <v>167348.84</v>
      </c>
      <c r="G17" s="390">
        <f>Ecrêtage!M11</f>
        <v>0</v>
      </c>
      <c r="H17" s="391">
        <f t="shared" si="3"/>
        <v>276350.91007451667</v>
      </c>
      <c r="I17" s="245">
        <f t="shared" si="4"/>
        <v>443699.75007451663</v>
      </c>
    </row>
    <row r="18" spans="1:9" s="35" customFormat="1" x14ac:dyDescent="0.25">
      <c r="A18" s="38">
        <f>Données!A12</f>
        <v>5407</v>
      </c>
      <c r="B18" s="421" t="str">
        <f>Données!B12</f>
        <v>Leysin</v>
      </c>
      <c r="C18" s="31">
        <f>VPI!R12</f>
        <v>89840.418034188027</v>
      </c>
      <c r="D18" s="8">
        <f>Données!N12</f>
        <v>86933</v>
      </c>
      <c r="E18" s="174">
        <f>Données!O12+Données!P12+Données!R12</f>
        <v>899160.45</v>
      </c>
      <c r="F18" s="390">
        <f t="shared" si="2"/>
        <v>475660.125</v>
      </c>
      <c r="G18" s="390">
        <f>Ecrêtage!M12</f>
        <v>0</v>
      </c>
      <c r="H18" s="391">
        <f t="shared" si="3"/>
        <v>1122857.0515195495</v>
      </c>
      <c r="I18" s="245">
        <f t="shared" si="4"/>
        <v>1598517.1765195495</v>
      </c>
    </row>
    <row r="19" spans="1:9" s="35" customFormat="1" x14ac:dyDescent="0.25">
      <c r="A19" s="38">
        <f>Données!A13</f>
        <v>5408</v>
      </c>
      <c r="B19" s="421" t="str">
        <f>Données!B13</f>
        <v>Noville</v>
      </c>
      <c r="C19" s="31">
        <f>VPI!R13</f>
        <v>41970.812088888903</v>
      </c>
      <c r="D19" s="8">
        <f>Données!N13</f>
        <v>164080.04999999999</v>
      </c>
      <c r="E19" s="174">
        <f>Données!O13+Données!P13+Données!R13</f>
        <v>157495.15</v>
      </c>
      <c r="F19" s="390">
        <f t="shared" si="2"/>
        <v>127971.59</v>
      </c>
      <c r="G19" s="390">
        <f>Ecrêtage!M13</f>
        <v>0</v>
      </c>
      <c r="H19" s="391">
        <f t="shared" si="3"/>
        <v>524565.92860105552</v>
      </c>
      <c r="I19" s="245">
        <f t="shared" si="4"/>
        <v>652537.51860105549</v>
      </c>
    </row>
    <row r="20" spans="1:9" s="35" customFormat="1" x14ac:dyDescent="0.25">
      <c r="A20" s="38">
        <f>Données!A14</f>
        <v>5409</v>
      </c>
      <c r="B20" s="421" t="str">
        <f>Données!B14</f>
        <v>Ollon</v>
      </c>
      <c r="C20" s="31">
        <f>VPI!R14</f>
        <v>405929.69030542986</v>
      </c>
      <c r="D20" s="8">
        <f>Données!N14</f>
        <v>96927.8</v>
      </c>
      <c r="E20" s="174">
        <f>Données!O14+Données!P14+Données!R14</f>
        <v>4832229.6500000004</v>
      </c>
      <c r="F20" s="390">
        <f t="shared" si="2"/>
        <v>2445193.165</v>
      </c>
      <c r="G20" s="390">
        <f>Ecrêtage!M14</f>
        <v>329648.46175083017</v>
      </c>
      <c r="H20" s="391">
        <f t="shared" si="3"/>
        <v>5073451.6284991847</v>
      </c>
      <c r="I20" s="245">
        <f t="shared" si="4"/>
        <v>7848293.2552500153</v>
      </c>
    </row>
    <row r="21" spans="1:9" s="35" customFormat="1" x14ac:dyDescent="0.25">
      <c r="A21" s="38">
        <f>Données!A15</f>
        <v>5410</v>
      </c>
      <c r="B21" s="421" t="str">
        <f>Données!B15</f>
        <v>Ormont-Dessous</v>
      </c>
      <c r="C21" s="31">
        <f>VPI!R15</f>
        <v>38412.928528138524</v>
      </c>
      <c r="D21" s="8">
        <f>Données!N15</f>
        <v>10917.9</v>
      </c>
      <c r="E21" s="174">
        <f>Données!O15+Données!P15+Données!R15</f>
        <v>510827.2</v>
      </c>
      <c r="F21" s="390">
        <f t="shared" si="2"/>
        <v>258688.97</v>
      </c>
      <c r="G21" s="390">
        <f>Ecrêtage!M15</f>
        <v>0</v>
      </c>
      <c r="H21" s="391">
        <f t="shared" si="3"/>
        <v>480098.25211324368</v>
      </c>
      <c r="I21" s="245">
        <f t="shared" si="4"/>
        <v>738787.22211324365</v>
      </c>
    </row>
    <row r="22" spans="1:9" s="35" customFormat="1" x14ac:dyDescent="0.25">
      <c r="A22" s="38">
        <f>Données!A16</f>
        <v>5411</v>
      </c>
      <c r="B22" s="421" t="str">
        <f>Données!B16</f>
        <v>Ormont-Dessus</v>
      </c>
      <c r="C22" s="31">
        <f>VPI!R16</f>
        <v>76159.947763157907</v>
      </c>
      <c r="D22" s="8">
        <f>Données!N16</f>
        <v>2113.6</v>
      </c>
      <c r="E22" s="174">
        <f>Données!O16+Données!P16+Données!R16</f>
        <v>1200626.8999999999</v>
      </c>
      <c r="F22" s="390">
        <f t="shared" si="2"/>
        <v>600947.52999999991</v>
      </c>
      <c r="G22" s="390">
        <f>Ecrêtage!M16</f>
        <v>119922.72866066918</v>
      </c>
      <c r="H22" s="391">
        <f t="shared" si="3"/>
        <v>951873.73634748347</v>
      </c>
      <c r="I22" s="245">
        <f t="shared" si="4"/>
        <v>1672743.9950081524</v>
      </c>
    </row>
    <row r="23" spans="1:9" s="35" customFormat="1" x14ac:dyDescent="0.25">
      <c r="A23" s="38">
        <f>Données!A17</f>
        <v>5412</v>
      </c>
      <c r="B23" s="421" t="str">
        <f>Données!B17</f>
        <v>Rennaz</v>
      </c>
      <c r="C23" s="31">
        <f>VPI!R17</f>
        <v>32236.510434782613</v>
      </c>
      <c r="D23" s="8">
        <f>Données!N17</f>
        <v>916742.45</v>
      </c>
      <c r="E23" s="174">
        <f>Données!O17+Données!P17+Données!R17</f>
        <v>303300.84999999998</v>
      </c>
      <c r="F23" s="390">
        <f t="shared" si="2"/>
        <v>426673.16</v>
      </c>
      <c r="G23" s="390">
        <f>Ecrêtage!M17</f>
        <v>0</v>
      </c>
      <c r="H23" s="391">
        <f t="shared" si="3"/>
        <v>402903.21271996672</v>
      </c>
      <c r="I23" s="245">
        <f t="shared" si="4"/>
        <v>829576.37271996669</v>
      </c>
    </row>
    <row r="24" spans="1:9" s="35" customFormat="1" x14ac:dyDescent="0.25">
      <c r="A24" s="38">
        <f>Données!A18</f>
        <v>5413</v>
      </c>
      <c r="B24" s="421" t="str">
        <f>Données!B18</f>
        <v>Roche</v>
      </c>
      <c r="C24" s="31">
        <f>VPI!R18</f>
        <v>42591.589534313724</v>
      </c>
      <c r="D24" s="8">
        <f>Données!N18</f>
        <v>281315.65000000002</v>
      </c>
      <c r="E24" s="174">
        <f>Données!O18+Données!P18+Données!R18</f>
        <v>641229.10000000009</v>
      </c>
      <c r="F24" s="390">
        <f t="shared" si="2"/>
        <v>405009.24500000005</v>
      </c>
      <c r="G24" s="390">
        <f>Ecrêtage!M18</f>
        <v>0</v>
      </c>
      <c r="H24" s="391">
        <f t="shared" si="3"/>
        <v>532324.62281989027</v>
      </c>
      <c r="I24" s="245">
        <f t="shared" si="4"/>
        <v>937333.86781989038</v>
      </c>
    </row>
    <row r="25" spans="1:9" s="35" customFormat="1" x14ac:dyDescent="0.25">
      <c r="A25" s="38">
        <f>Données!A19</f>
        <v>5414</v>
      </c>
      <c r="B25" s="421" t="str">
        <f>Données!B19</f>
        <v>Villeneuve</v>
      </c>
      <c r="C25" s="31">
        <f>VPI!R19</f>
        <v>165869.64903703702</v>
      </c>
      <c r="D25" s="8">
        <f>Données!N19</f>
        <v>1394258.5</v>
      </c>
      <c r="E25" s="174">
        <f>Données!O19+Données!P19+Données!R19</f>
        <v>1282307.3500000001</v>
      </c>
      <c r="F25" s="390">
        <f t="shared" si="2"/>
        <v>1059431.2250000001</v>
      </c>
      <c r="G25" s="390">
        <f>Ecrêtage!M19</f>
        <v>0</v>
      </c>
      <c r="H25" s="391">
        <f t="shared" si="3"/>
        <v>2073097.0439544788</v>
      </c>
      <c r="I25" s="245">
        <f t="shared" si="4"/>
        <v>3132528.2689544791</v>
      </c>
    </row>
    <row r="26" spans="1:9" s="35" customFormat="1" x14ac:dyDescent="0.25">
      <c r="A26" s="38">
        <f>Données!A20</f>
        <v>5415</v>
      </c>
      <c r="B26" s="421" t="str">
        <f>Données!B20</f>
        <v>Yvorne</v>
      </c>
      <c r="C26" s="31">
        <f>VPI!R20</f>
        <v>33673.599766899759</v>
      </c>
      <c r="D26" s="8">
        <f>Données!N20</f>
        <v>34023.050000000003</v>
      </c>
      <c r="E26" s="174">
        <f>Données!O20+Données!P20+Données!R20</f>
        <v>369043.95</v>
      </c>
      <c r="F26" s="390">
        <f t="shared" si="2"/>
        <v>194728.89</v>
      </c>
      <c r="G26" s="390">
        <f>Ecrêtage!M20</f>
        <v>0</v>
      </c>
      <c r="H26" s="391">
        <f t="shared" si="3"/>
        <v>420864.45917829458</v>
      </c>
      <c r="I26" s="245">
        <f t="shared" si="4"/>
        <v>615593.34917829465</v>
      </c>
    </row>
    <row r="27" spans="1:9" s="35" customFormat="1" x14ac:dyDescent="0.25">
      <c r="A27" s="38">
        <f>Données!A21</f>
        <v>5422</v>
      </c>
      <c r="B27" s="421" t="str">
        <f>Données!B21</f>
        <v>Aubonne</v>
      </c>
      <c r="C27" s="31">
        <f>VPI!R21</f>
        <v>297528.5668571429</v>
      </c>
      <c r="D27" s="8">
        <f>Données!N21</f>
        <v>752200.65</v>
      </c>
      <c r="E27" s="174">
        <f>Données!O21+Données!P21+Données!R21</f>
        <v>2582963.15</v>
      </c>
      <c r="F27" s="390">
        <f t="shared" si="2"/>
        <v>1517141.77</v>
      </c>
      <c r="G27" s="390">
        <f>Ecrêtage!M21</f>
        <v>2353829.0056229257</v>
      </c>
      <c r="H27" s="391">
        <f t="shared" si="3"/>
        <v>3718616.3714968073</v>
      </c>
      <c r="I27" s="245">
        <f t="shared" si="4"/>
        <v>7589587.1471197326</v>
      </c>
    </row>
    <row r="28" spans="1:9" s="35" customFormat="1" x14ac:dyDescent="0.25">
      <c r="A28" s="38">
        <f>Données!A22</f>
        <v>5423</v>
      </c>
      <c r="B28" s="421" t="str">
        <f>Données!B22</f>
        <v>Ballens</v>
      </c>
      <c r="C28" s="31">
        <f>VPI!R22</f>
        <v>17345.56260273973</v>
      </c>
      <c r="D28" s="8">
        <f>Données!N22</f>
        <v>31754.2</v>
      </c>
      <c r="E28" s="174">
        <f>Données!O22+Données!P22+Données!R22</f>
        <v>208105.2</v>
      </c>
      <c r="F28" s="390">
        <f t="shared" si="2"/>
        <v>113578.86</v>
      </c>
      <c r="G28" s="390">
        <f>Ecrêtage!M22</f>
        <v>0</v>
      </c>
      <c r="H28" s="391">
        <f t="shared" si="3"/>
        <v>216790.92447731533</v>
      </c>
      <c r="I28" s="245">
        <f t="shared" si="4"/>
        <v>330369.78447731532</v>
      </c>
    </row>
    <row r="29" spans="1:9" s="35" customFormat="1" x14ac:dyDescent="0.25">
      <c r="A29" s="38">
        <f>Données!A23</f>
        <v>5424</v>
      </c>
      <c r="B29" s="421" t="str">
        <f>Données!B23</f>
        <v>Berolle</v>
      </c>
      <c r="C29" s="31">
        <f>VPI!R23</f>
        <v>10263.233774834438</v>
      </c>
      <c r="D29" s="8">
        <f>Données!N23</f>
        <v>0</v>
      </c>
      <c r="E29" s="174">
        <f>Données!O23+Données!P23+Données!R23</f>
        <v>77094.850000000006</v>
      </c>
      <c r="F29" s="390">
        <f t="shared" si="2"/>
        <v>38547.425000000003</v>
      </c>
      <c r="G29" s="390">
        <f>Ecrêtage!M23</f>
        <v>0</v>
      </c>
      <c r="H29" s="391">
        <f t="shared" si="3"/>
        <v>128273.49502181784</v>
      </c>
      <c r="I29" s="245">
        <f t="shared" si="4"/>
        <v>166820.92002181784</v>
      </c>
    </row>
    <row r="30" spans="1:9" s="35" customFormat="1" x14ac:dyDescent="0.25">
      <c r="A30" s="38">
        <f>Données!A24</f>
        <v>5425</v>
      </c>
      <c r="B30" s="421" t="str">
        <f>Données!B24</f>
        <v>Bière</v>
      </c>
      <c r="C30" s="31">
        <f>VPI!R24</f>
        <v>42246.57887556222</v>
      </c>
      <c r="D30" s="8">
        <f>Données!N24</f>
        <v>82325.3</v>
      </c>
      <c r="E30" s="174">
        <f>Données!O24+Données!P24+Données!R24</f>
        <v>187241.1</v>
      </c>
      <c r="F30" s="390">
        <f t="shared" si="2"/>
        <v>118318.14</v>
      </c>
      <c r="G30" s="390">
        <f>Ecrêtage!M24</f>
        <v>0</v>
      </c>
      <c r="H30" s="391">
        <f t="shared" si="3"/>
        <v>528012.55861198425</v>
      </c>
      <c r="I30" s="245">
        <f t="shared" si="4"/>
        <v>646330.69861198426</v>
      </c>
    </row>
    <row r="31" spans="1:9" s="35" customFormat="1" x14ac:dyDescent="0.25">
      <c r="A31" s="38">
        <f>Données!A25</f>
        <v>5426</v>
      </c>
      <c r="B31" s="421" t="str">
        <f>Données!B25</f>
        <v>Bougy-Villars</v>
      </c>
      <c r="C31" s="31">
        <f>VPI!R25</f>
        <v>61944.740516795857</v>
      </c>
      <c r="D31" s="8">
        <f>Données!N25</f>
        <v>14437.65</v>
      </c>
      <c r="E31" s="174">
        <f>Données!O25+Données!P25+Données!R25</f>
        <v>709184.05</v>
      </c>
      <c r="F31" s="390">
        <f t="shared" si="2"/>
        <v>358923.32</v>
      </c>
      <c r="G31" s="390">
        <f>Ecrêtage!M25</f>
        <v>950102.30663439911</v>
      </c>
      <c r="H31" s="391">
        <f t="shared" si="3"/>
        <v>774207.09092609468</v>
      </c>
      <c r="I31" s="245">
        <f t="shared" si="4"/>
        <v>2083232.7175604939</v>
      </c>
    </row>
    <row r="32" spans="1:9" s="35" customFormat="1" x14ac:dyDescent="0.25">
      <c r="A32" s="38">
        <f>Données!A26</f>
        <v>5427</v>
      </c>
      <c r="B32" s="421" t="str">
        <f>Données!B26</f>
        <v>Féchy</v>
      </c>
      <c r="C32" s="31">
        <f>VPI!R26</f>
        <v>86921.388449519218</v>
      </c>
      <c r="D32" s="8">
        <f>Données!N26</f>
        <v>11648.35</v>
      </c>
      <c r="E32" s="174">
        <f>Données!O26+Données!P26+Données!R26</f>
        <v>530130.85</v>
      </c>
      <c r="F32" s="390">
        <f t="shared" si="2"/>
        <v>268559.93</v>
      </c>
      <c r="G32" s="390">
        <f>Ecrêtage!M26</f>
        <v>959287.50776820572</v>
      </c>
      <c r="H32" s="391">
        <f t="shared" si="3"/>
        <v>1086373.9960701384</v>
      </c>
      <c r="I32" s="245">
        <f t="shared" si="4"/>
        <v>2314221.4338383442</v>
      </c>
    </row>
    <row r="33" spans="1:9" s="35" customFormat="1" x14ac:dyDescent="0.25">
      <c r="A33" s="38">
        <f>Données!A27</f>
        <v>5428</v>
      </c>
      <c r="B33" s="421" t="str">
        <f>Données!B27</f>
        <v>Gimel</v>
      </c>
      <c r="C33" s="31">
        <f>VPI!R27</f>
        <v>71357.07080536912</v>
      </c>
      <c r="D33" s="8">
        <f>Données!N27</f>
        <v>239748.8</v>
      </c>
      <c r="E33" s="174">
        <f>Données!O27+Données!P27+Données!R27</f>
        <v>751728.64999999991</v>
      </c>
      <c r="F33" s="390">
        <f t="shared" si="2"/>
        <v>447788.96499999997</v>
      </c>
      <c r="G33" s="390">
        <f>Ecrêtage!M27</f>
        <v>0</v>
      </c>
      <c r="H33" s="391">
        <f t="shared" si="3"/>
        <v>891845.69576577481</v>
      </c>
      <c r="I33" s="245">
        <f t="shared" si="4"/>
        <v>1339634.6607657748</v>
      </c>
    </row>
    <row r="34" spans="1:9" s="35" customFormat="1" x14ac:dyDescent="0.25">
      <c r="A34" s="38">
        <f>Données!A28</f>
        <v>5429</v>
      </c>
      <c r="B34" s="421" t="str">
        <f>Données!B28</f>
        <v>Longirod</v>
      </c>
      <c r="C34" s="31">
        <f>VPI!R28</f>
        <v>17141.954451612906</v>
      </c>
      <c r="D34" s="8">
        <f>Données!N28</f>
        <v>15883.15</v>
      </c>
      <c r="E34" s="174">
        <f>Données!O28+Données!P28+Données!R28</f>
        <v>111888.1</v>
      </c>
      <c r="F34" s="390">
        <f t="shared" si="2"/>
        <v>60708.995000000003</v>
      </c>
      <c r="G34" s="390">
        <f>Ecrêtage!M28</f>
        <v>0</v>
      </c>
      <c r="H34" s="391">
        <f t="shared" si="3"/>
        <v>214246.15839939468</v>
      </c>
      <c r="I34" s="245">
        <f t="shared" si="4"/>
        <v>274955.15339939471</v>
      </c>
    </row>
    <row r="35" spans="1:9" s="35" customFormat="1" x14ac:dyDescent="0.25">
      <c r="A35" s="38">
        <f>Données!A29</f>
        <v>5430</v>
      </c>
      <c r="B35" s="421" t="str">
        <f>Données!B29</f>
        <v>Marchissy</v>
      </c>
      <c r="C35" s="31">
        <f>VPI!R29</f>
        <v>17121.702064516132</v>
      </c>
      <c r="D35" s="8">
        <f>Données!N29</f>
        <v>11206.4</v>
      </c>
      <c r="E35" s="174">
        <f>Données!O29+Données!P29+Données!R29</f>
        <v>114531.45</v>
      </c>
      <c r="F35" s="390">
        <f t="shared" si="2"/>
        <v>60627.644999999997</v>
      </c>
      <c r="G35" s="390">
        <f>Ecrêtage!M29</f>
        <v>0</v>
      </c>
      <c r="H35" s="391">
        <f t="shared" si="3"/>
        <v>213993.036962971</v>
      </c>
      <c r="I35" s="245">
        <f t="shared" si="4"/>
        <v>274620.68196297099</v>
      </c>
    </row>
    <row r="36" spans="1:9" s="35" customFormat="1" x14ac:dyDescent="0.25">
      <c r="A36" s="38">
        <f>Données!A30</f>
        <v>5431</v>
      </c>
      <c r="B36" s="421" t="str">
        <f>Données!B30</f>
        <v>Mollens</v>
      </c>
      <c r="C36" s="31">
        <f>VPI!R30</f>
        <v>9475.2202702702707</v>
      </c>
      <c r="D36" s="8">
        <f>Données!N30</f>
        <v>266.60000000000002</v>
      </c>
      <c r="E36" s="174">
        <f>Données!O30+Données!P30+Données!R30</f>
        <v>58047.6</v>
      </c>
      <c r="F36" s="390">
        <f t="shared" si="2"/>
        <v>29103.78</v>
      </c>
      <c r="G36" s="390">
        <f>Ecrêtage!M30</f>
        <v>0</v>
      </c>
      <c r="H36" s="391">
        <f t="shared" si="3"/>
        <v>118424.62588637155</v>
      </c>
      <c r="I36" s="245">
        <f t="shared" si="4"/>
        <v>147528.40588637156</v>
      </c>
    </row>
    <row r="37" spans="1:9" s="35" customFormat="1" x14ac:dyDescent="0.25">
      <c r="A37" s="38">
        <f>Données!A31</f>
        <v>5434</v>
      </c>
      <c r="B37" s="421" t="str">
        <f>Données!B31</f>
        <v>Saint-George</v>
      </c>
      <c r="C37" s="31">
        <f>VPI!R31</f>
        <v>40910.420311750597</v>
      </c>
      <c r="D37" s="8">
        <f>Données!N31</f>
        <v>22601.85</v>
      </c>
      <c r="E37" s="174">
        <f>Données!O31+Données!P31+Données!R31</f>
        <v>665760.19999999995</v>
      </c>
      <c r="F37" s="390">
        <f t="shared" si="2"/>
        <v>339660.65499999997</v>
      </c>
      <c r="G37" s="390">
        <f>Ecrêtage!M31</f>
        <v>0</v>
      </c>
      <c r="H37" s="391">
        <f t="shared" si="3"/>
        <v>511312.7802922398</v>
      </c>
      <c r="I37" s="245">
        <f t="shared" si="4"/>
        <v>850973.43529223977</v>
      </c>
    </row>
    <row r="38" spans="1:9" s="35" customFormat="1" x14ac:dyDescent="0.25">
      <c r="A38" s="38">
        <f>Données!A32</f>
        <v>5435</v>
      </c>
      <c r="B38" s="421" t="str">
        <f>Données!B32</f>
        <v>Saint-Livres</v>
      </c>
      <c r="C38" s="31">
        <f>VPI!R32</f>
        <v>25462.062463768114</v>
      </c>
      <c r="D38" s="8">
        <f>Données!N32</f>
        <v>13664.5</v>
      </c>
      <c r="E38" s="174">
        <f>Données!O32+Données!P32+Données!R32</f>
        <v>353373.10000000003</v>
      </c>
      <c r="F38" s="390">
        <f t="shared" si="2"/>
        <v>180785.90000000002</v>
      </c>
      <c r="G38" s="390">
        <f>Ecrêtage!M32</f>
        <v>0</v>
      </c>
      <c r="H38" s="391">
        <f t="shared" si="3"/>
        <v>318233.78618734248</v>
      </c>
      <c r="I38" s="245">
        <f t="shared" si="4"/>
        <v>499019.68618734251</v>
      </c>
    </row>
    <row r="39" spans="1:9" s="35" customFormat="1" x14ac:dyDescent="0.25">
      <c r="A39" s="38">
        <f>Données!A33</f>
        <v>5436</v>
      </c>
      <c r="B39" s="421" t="str">
        <f>Données!B33</f>
        <v>Saint-Oyens</v>
      </c>
      <c r="C39" s="31">
        <f>VPI!R33</f>
        <v>16425.302151898733</v>
      </c>
      <c r="D39" s="8">
        <f>Données!N33</f>
        <v>851</v>
      </c>
      <c r="E39" s="174">
        <f>Données!O33+Données!P33+Données!R33</f>
        <v>43506.600000000006</v>
      </c>
      <c r="F39" s="390">
        <f t="shared" si="2"/>
        <v>22008.600000000002</v>
      </c>
      <c r="G39" s="390">
        <f>Ecrêtage!M33</f>
        <v>0</v>
      </c>
      <c r="H39" s="391">
        <f t="shared" si="3"/>
        <v>205289.1866284537</v>
      </c>
      <c r="I39" s="245">
        <f t="shared" si="4"/>
        <v>227297.7866284537</v>
      </c>
    </row>
    <row r="40" spans="1:9" s="35" customFormat="1" x14ac:dyDescent="0.25">
      <c r="A40" s="38">
        <f>Données!A34</f>
        <v>5437</v>
      </c>
      <c r="B40" s="421" t="str">
        <f>Données!B34</f>
        <v>Saubraz</v>
      </c>
      <c r="C40" s="31">
        <f>VPI!R34</f>
        <v>12131.165499999999</v>
      </c>
      <c r="D40" s="8">
        <f>Données!N34</f>
        <v>0</v>
      </c>
      <c r="E40" s="174">
        <f>Données!O34+Données!P34+Données!R34</f>
        <v>169398.59999999998</v>
      </c>
      <c r="F40" s="390">
        <f t="shared" si="2"/>
        <v>84699.299999999988</v>
      </c>
      <c r="G40" s="390">
        <f>Ecrêtage!M34</f>
        <v>0</v>
      </c>
      <c r="H40" s="391">
        <f t="shared" si="3"/>
        <v>151619.56080438211</v>
      </c>
      <c r="I40" s="245">
        <f t="shared" si="4"/>
        <v>236318.8608043821</v>
      </c>
    </row>
    <row r="41" spans="1:9" s="35" customFormat="1" x14ac:dyDescent="0.25">
      <c r="A41" s="38">
        <f>Données!A35</f>
        <v>5451</v>
      </c>
      <c r="B41" s="421" t="str">
        <f>Données!B35</f>
        <v>Avenches</v>
      </c>
      <c r="C41" s="31">
        <f>VPI!R35</f>
        <v>142603.64295739346</v>
      </c>
      <c r="D41" s="8">
        <f>Données!N35</f>
        <v>576515.75</v>
      </c>
      <c r="E41" s="174">
        <f>Données!O35+Données!P35+Données!R35</f>
        <v>857392.29999999993</v>
      </c>
      <c r="F41" s="390">
        <f t="shared" si="2"/>
        <v>601650.875</v>
      </c>
      <c r="G41" s="390">
        <f>Ecrêtage!M35</f>
        <v>0</v>
      </c>
      <c r="H41" s="391">
        <f t="shared" si="3"/>
        <v>1782310.3406102997</v>
      </c>
      <c r="I41" s="245">
        <f t="shared" si="4"/>
        <v>2383961.2156102997</v>
      </c>
    </row>
    <row r="42" spans="1:9" s="35" customFormat="1" x14ac:dyDescent="0.25">
      <c r="A42" s="38">
        <f>Données!A36</f>
        <v>5456</v>
      </c>
      <c r="B42" s="421" t="str">
        <f>Données!B36</f>
        <v>Cudrefin</v>
      </c>
      <c r="C42" s="31">
        <f>VPI!R36</f>
        <v>64059.429152542369</v>
      </c>
      <c r="D42" s="8">
        <f>Données!N36</f>
        <v>1727.7</v>
      </c>
      <c r="E42" s="174">
        <f>Données!O36+Données!P36+Données!R36</f>
        <v>646396.4</v>
      </c>
      <c r="F42" s="390">
        <f t="shared" si="2"/>
        <v>323716.51</v>
      </c>
      <c r="G42" s="390">
        <f>Ecrêtage!M36</f>
        <v>0</v>
      </c>
      <c r="H42" s="391">
        <f t="shared" si="3"/>
        <v>800637.21111445618</v>
      </c>
      <c r="I42" s="245">
        <f t="shared" si="4"/>
        <v>1124353.7211144562</v>
      </c>
    </row>
    <row r="43" spans="1:9" s="35" customFormat="1" x14ac:dyDescent="0.25">
      <c r="A43" s="38">
        <f>Données!A37</f>
        <v>5458</v>
      </c>
      <c r="B43" s="421" t="str">
        <f>Données!B37</f>
        <v>Faoug</v>
      </c>
      <c r="C43" s="31">
        <f>VPI!R37</f>
        <v>32630.608820512818</v>
      </c>
      <c r="D43" s="8">
        <f>Données!N37</f>
        <v>3372.25</v>
      </c>
      <c r="E43" s="174">
        <f>Données!O37+Données!P37+Données!R37</f>
        <v>160299.5</v>
      </c>
      <c r="F43" s="390">
        <f t="shared" si="2"/>
        <v>81161.425000000003</v>
      </c>
      <c r="G43" s="390">
        <f>Ecrêtage!M37</f>
        <v>0</v>
      </c>
      <c r="H43" s="391">
        <f t="shared" si="3"/>
        <v>407828.79255466023</v>
      </c>
      <c r="I43" s="245">
        <f t="shared" si="4"/>
        <v>488990.21755466022</v>
      </c>
    </row>
    <row r="44" spans="1:9" s="35" customFormat="1" x14ac:dyDescent="0.25">
      <c r="A44" s="38">
        <f>Données!A38</f>
        <v>5464</v>
      </c>
      <c r="B44" s="421" t="str">
        <f>Données!B38</f>
        <v>Vully-les-Lacs</v>
      </c>
      <c r="C44" s="31">
        <f>VPI!R38</f>
        <v>117932.28119402986</v>
      </c>
      <c r="D44" s="8">
        <f>Données!N38</f>
        <v>4335.55</v>
      </c>
      <c r="E44" s="174">
        <f>Données!O38+Données!P38+Données!R38</f>
        <v>1034160</v>
      </c>
      <c r="F44" s="390">
        <f t="shared" si="2"/>
        <v>518380.66499999998</v>
      </c>
      <c r="G44" s="390">
        <f>Ecrêtage!M38</f>
        <v>0</v>
      </c>
      <c r="H44" s="391">
        <f t="shared" si="3"/>
        <v>1473959.0090744125</v>
      </c>
      <c r="I44" s="245">
        <f t="shared" si="4"/>
        <v>1992339.6740744126</v>
      </c>
    </row>
    <row r="45" spans="1:9" s="35" customFormat="1" x14ac:dyDescent="0.25">
      <c r="A45" s="38">
        <f>Données!A39</f>
        <v>5471</v>
      </c>
      <c r="B45" s="421" t="str">
        <f>Données!B39</f>
        <v>Bettens</v>
      </c>
      <c r="C45" s="31">
        <f>VPI!R39</f>
        <v>22692.008412698411</v>
      </c>
      <c r="D45" s="8">
        <f>Données!N39</f>
        <v>13213</v>
      </c>
      <c r="E45" s="174">
        <f>Données!O39+Données!P39+Données!R39</f>
        <v>68668.55</v>
      </c>
      <c r="F45" s="390">
        <f t="shared" si="2"/>
        <v>38298.175000000003</v>
      </c>
      <c r="G45" s="390">
        <f>Ecrêtage!M39</f>
        <v>0</v>
      </c>
      <c r="H45" s="391">
        <f t="shared" si="3"/>
        <v>283612.67920239631</v>
      </c>
      <c r="I45" s="245">
        <f t="shared" si="4"/>
        <v>321910.85420239629</v>
      </c>
    </row>
    <row r="46" spans="1:9" s="35" customFormat="1" x14ac:dyDescent="0.25">
      <c r="A46" s="38">
        <f>Données!A40</f>
        <v>5472</v>
      </c>
      <c r="B46" s="421" t="str">
        <f>Données!B40</f>
        <v>Bournens</v>
      </c>
      <c r="C46" s="31">
        <f>VPI!R40</f>
        <v>19974.815147058827</v>
      </c>
      <c r="D46" s="8">
        <f>Données!N40</f>
        <v>0</v>
      </c>
      <c r="E46" s="174">
        <f>Données!O40+Données!P40+Données!R40</f>
        <v>142971.04999999999</v>
      </c>
      <c r="F46" s="390">
        <f t="shared" si="2"/>
        <v>71485.524999999994</v>
      </c>
      <c r="G46" s="390">
        <f>Ecrêtage!M40</f>
        <v>0</v>
      </c>
      <c r="H46" s="391">
        <f t="shared" si="3"/>
        <v>249652.24485197067</v>
      </c>
      <c r="I46" s="245">
        <f t="shared" si="4"/>
        <v>321137.76985197066</v>
      </c>
    </row>
    <row r="47" spans="1:9" s="35" customFormat="1" x14ac:dyDescent="0.25">
      <c r="A47" s="38">
        <f>Données!A41</f>
        <v>5473</v>
      </c>
      <c r="B47" s="421" t="str">
        <f>Données!B41</f>
        <v>Boussens</v>
      </c>
      <c r="C47" s="31">
        <f>VPI!R41</f>
        <v>40042.684696969693</v>
      </c>
      <c r="D47" s="8">
        <f>Données!N41</f>
        <v>3562.05</v>
      </c>
      <c r="E47" s="174">
        <f>Données!O41+Données!P41+Données!R41</f>
        <v>219342.40000000002</v>
      </c>
      <c r="F47" s="390">
        <f t="shared" si="2"/>
        <v>110739.81500000002</v>
      </c>
      <c r="G47" s="390">
        <f>Ecrêtage!M41</f>
        <v>0</v>
      </c>
      <c r="H47" s="391">
        <f t="shared" si="3"/>
        <v>500467.51626485505</v>
      </c>
      <c r="I47" s="245">
        <f t="shared" si="4"/>
        <v>611207.33126485511</v>
      </c>
    </row>
    <row r="48" spans="1:9" s="35" customFormat="1" x14ac:dyDescent="0.25">
      <c r="A48" s="38">
        <f>Données!A42</f>
        <v>5474</v>
      </c>
      <c r="B48" s="421" t="str">
        <f>Données!B42</f>
        <v>La Chaux (Cossonay)</v>
      </c>
      <c r="C48" s="31">
        <f>VPI!R42</f>
        <v>13862.371951754385</v>
      </c>
      <c r="D48" s="8">
        <f>Données!N42</f>
        <v>3011.65</v>
      </c>
      <c r="E48" s="174">
        <f>Données!O42+Données!P42+Données!R42</f>
        <v>88956.6</v>
      </c>
      <c r="F48" s="390">
        <f t="shared" si="2"/>
        <v>45381.795000000006</v>
      </c>
      <c r="G48" s="390">
        <f>Ecrêtage!M42</f>
        <v>0</v>
      </c>
      <c r="H48" s="391">
        <f t="shared" si="3"/>
        <v>173256.78617046197</v>
      </c>
      <c r="I48" s="245">
        <f t="shared" si="4"/>
        <v>218638.58117046198</v>
      </c>
    </row>
    <row r="49" spans="1:9" s="35" customFormat="1" x14ac:dyDescent="0.25">
      <c r="A49" s="38">
        <f>Données!A43</f>
        <v>5475</v>
      </c>
      <c r="B49" s="421" t="str">
        <f>Données!B43</f>
        <v>Chavannes-le-Veyron</v>
      </c>
      <c r="C49" s="31">
        <f>VPI!R43</f>
        <v>4297.1488000000008</v>
      </c>
      <c r="D49" s="8">
        <f>Données!N43</f>
        <v>0</v>
      </c>
      <c r="E49" s="174">
        <f>Données!O43+Données!P43+Données!R43</f>
        <v>22220</v>
      </c>
      <c r="F49" s="390">
        <f t="shared" si="2"/>
        <v>11110</v>
      </c>
      <c r="G49" s="390">
        <f>Ecrêtage!M43</f>
        <v>0</v>
      </c>
      <c r="H49" s="391">
        <f t="shared" si="3"/>
        <v>53707.272707397969</v>
      </c>
      <c r="I49" s="245">
        <f t="shared" si="4"/>
        <v>64817.272707397969</v>
      </c>
    </row>
    <row r="50" spans="1:9" s="35" customFormat="1" x14ac:dyDescent="0.25">
      <c r="A50" s="38">
        <f>Données!A44</f>
        <v>5476</v>
      </c>
      <c r="B50" s="421" t="str">
        <f>Données!B44</f>
        <v>Chevilly</v>
      </c>
      <c r="C50" s="31">
        <f>VPI!R44</f>
        <v>13558.448137931036</v>
      </c>
      <c r="D50" s="8">
        <f>Données!N44</f>
        <v>0</v>
      </c>
      <c r="E50" s="174">
        <f>Données!O44+Données!P44+Données!R44</f>
        <v>58376.5</v>
      </c>
      <c r="F50" s="390">
        <f t="shared" si="2"/>
        <v>29188.25</v>
      </c>
      <c r="G50" s="390">
        <f>Ecrêtage!M44</f>
        <v>0</v>
      </c>
      <c r="H50" s="391">
        <f t="shared" si="3"/>
        <v>169458.23975957598</v>
      </c>
      <c r="I50" s="245">
        <f t="shared" si="4"/>
        <v>198646.48975957598</v>
      </c>
    </row>
    <row r="51" spans="1:9" s="35" customFormat="1" x14ac:dyDescent="0.25">
      <c r="A51" s="38">
        <f>Données!A45</f>
        <v>5477</v>
      </c>
      <c r="B51" s="421" t="str">
        <f>Données!B45</f>
        <v>Cossonay</v>
      </c>
      <c r="C51" s="31">
        <f>VPI!R45</f>
        <v>151484.78088235293</v>
      </c>
      <c r="D51" s="8">
        <f>Données!N45</f>
        <v>98390.45</v>
      </c>
      <c r="E51" s="174">
        <f>Données!O45+Données!P45+Données!R45</f>
        <v>1475258.0499999998</v>
      </c>
      <c r="F51" s="390">
        <f t="shared" si="2"/>
        <v>767146.15999999992</v>
      </c>
      <c r="G51" s="390">
        <f>Ecrêtage!M45</f>
        <v>0</v>
      </c>
      <c r="H51" s="391">
        <f t="shared" si="3"/>
        <v>1893309.9170010015</v>
      </c>
      <c r="I51" s="245">
        <f t="shared" si="4"/>
        <v>2660456.0770010017</v>
      </c>
    </row>
    <row r="52" spans="1:9" s="35" customFormat="1" x14ac:dyDescent="0.25">
      <c r="A52" s="38">
        <f>Données!A46</f>
        <v>5479</v>
      </c>
      <c r="B52" s="421" t="str">
        <f>Données!B46</f>
        <v>Cuarnens</v>
      </c>
      <c r="C52" s="31">
        <f>VPI!R46</f>
        <v>14331.03077922078</v>
      </c>
      <c r="D52" s="8">
        <f>Données!N46</f>
        <v>8152</v>
      </c>
      <c r="E52" s="174">
        <f>Données!O46+Données!P46+Données!R46</f>
        <v>111112.4</v>
      </c>
      <c r="F52" s="390">
        <f t="shared" si="2"/>
        <v>58001.799999999996</v>
      </c>
      <c r="G52" s="390">
        <f>Ecrêtage!M46</f>
        <v>0</v>
      </c>
      <c r="H52" s="391">
        <f t="shared" si="3"/>
        <v>179114.24855423305</v>
      </c>
      <c r="I52" s="245">
        <f t="shared" si="4"/>
        <v>237116.04855423304</v>
      </c>
    </row>
    <row r="53" spans="1:9" s="35" customFormat="1" x14ac:dyDescent="0.25">
      <c r="A53" s="38">
        <f>Données!A47</f>
        <v>5480</v>
      </c>
      <c r="B53" s="421" t="str">
        <f>Données!B47</f>
        <v>Daillens</v>
      </c>
      <c r="C53" s="31">
        <f>VPI!R47</f>
        <v>42741.079141414142</v>
      </c>
      <c r="D53" s="8">
        <f>Données!N47</f>
        <v>226810.45</v>
      </c>
      <c r="E53" s="174">
        <f>Données!O47+Données!P47+Données!R47</f>
        <v>744904.15</v>
      </c>
      <c r="F53" s="390">
        <f t="shared" si="2"/>
        <v>440495.21</v>
      </c>
      <c r="G53" s="390">
        <f>Ecrêtage!M47</f>
        <v>0</v>
      </c>
      <c r="H53" s="391">
        <f t="shared" si="3"/>
        <v>534192.99635525956</v>
      </c>
      <c r="I53" s="245">
        <f t="shared" si="4"/>
        <v>974688.20635525952</v>
      </c>
    </row>
    <row r="54" spans="1:9" s="35" customFormat="1" x14ac:dyDescent="0.25">
      <c r="A54" s="38">
        <f>Données!A48</f>
        <v>5481</v>
      </c>
      <c r="B54" s="421" t="str">
        <f>Données!B48</f>
        <v>Dizy</v>
      </c>
      <c r="C54" s="31">
        <f>VPI!R48</f>
        <v>8551.9890666666652</v>
      </c>
      <c r="D54" s="8">
        <f>Données!N48</f>
        <v>0</v>
      </c>
      <c r="E54" s="174">
        <f>Données!O48+Données!P48+Données!R48</f>
        <v>42973.25</v>
      </c>
      <c r="F54" s="390">
        <f t="shared" si="2"/>
        <v>21486.625</v>
      </c>
      <c r="G54" s="390">
        <f>Ecrêtage!M48</f>
        <v>0</v>
      </c>
      <c r="H54" s="391">
        <f t="shared" si="3"/>
        <v>106885.75852764334</v>
      </c>
      <c r="I54" s="245">
        <f t="shared" si="4"/>
        <v>128372.38352764334</v>
      </c>
    </row>
    <row r="55" spans="1:9" s="35" customFormat="1" x14ac:dyDescent="0.25">
      <c r="A55" s="38">
        <f>Données!A49</f>
        <v>5482</v>
      </c>
      <c r="B55" s="421" t="str">
        <f>Données!B49</f>
        <v>Eclépens</v>
      </c>
      <c r="C55" s="31">
        <f>VPI!R49</f>
        <v>48311.561086956521</v>
      </c>
      <c r="D55" s="8">
        <f>Données!N49</f>
        <v>483265.35</v>
      </c>
      <c r="E55" s="174">
        <f>Données!O49+Données!P49+Données!R49</f>
        <v>150093.79999999999</v>
      </c>
      <c r="F55" s="390">
        <f t="shared" si="2"/>
        <v>220026.50499999998</v>
      </c>
      <c r="G55" s="390">
        <f>Ecrêtage!M49</f>
        <v>0</v>
      </c>
      <c r="H55" s="391">
        <f t="shared" si="3"/>
        <v>603814.83327207319</v>
      </c>
      <c r="I55" s="245">
        <f t="shared" si="4"/>
        <v>823841.33827207319</v>
      </c>
    </row>
    <row r="56" spans="1:9" s="35" customFormat="1" x14ac:dyDescent="0.25">
      <c r="A56" s="38">
        <f>Données!A50</f>
        <v>5483</v>
      </c>
      <c r="B56" s="421" t="str">
        <f>Données!B50</f>
        <v>Ferreyres</v>
      </c>
      <c r="C56" s="31">
        <f>VPI!R50</f>
        <v>10284.191184210527</v>
      </c>
      <c r="D56" s="8">
        <f>Données!N50</f>
        <v>0</v>
      </c>
      <c r="E56" s="174">
        <f>Données!O50+Données!P50+Données!R50</f>
        <v>11450.3</v>
      </c>
      <c r="F56" s="390">
        <f t="shared" si="2"/>
        <v>5725.15</v>
      </c>
      <c r="G56" s="390">
        <f>Ecrêtage!M50</f>
        <v>0</v>
      </c>
      <c r="H56" s="391">
        <f t="shared" si="3"/>
        <v>128535.42807393888</v>
      </c>
      <c r="I56" s="245">
        <f t="shared" si="4"/>
        <v>134260.57807393887</v>
      </c>
    </row>
    <row r="57" spans="1:9" s="35" customFormat="1" x14ac:dyDescent="0.25">
      <c r="A57" s="38">
        <f>Données!A51</f>
        <v>5484</v>
      </c>
      <c r="B57" s="421" t="str">
        <f>Données!B51</f>
        <v>Gollion</v>
      </c>
      <c r="C57" s="31">
        <f>VPI!R51</f>
        <v>32601.092837837834</v>
      </c>
      <c r="D57" s="8">
        <f>Données!N51</f>
        <v>32016.55</v>
      </c>
      <c r="E57" s="174">
        <f>Données!O51+Données!P51+Données!R51</f>
        <v>202674.95</v>
      </c>
      <c r="F57" s="390">
        <f t="shared" si="2"/>
        <v>110942.44</v>
      </c>
      <c r="G57" s="390">
        <f>Ecrêtage!M51</f>
        <v>0</v>
      </c>
      <c r="H57" s="391">
        <f t="shared" si="3"/>
        <v>407459.89145196811</v>
      </c>
      <c r="I57" s="245">
        <f t="shared" si="4"/>
        <v>518402.33145196812</v>
      </c>
    </row>
    <row r="58" spans="1:9" s="35" customFormat="1" x14ac:dyDescent="0.25">
      <c r="A58" s="38">
        <f>Données!A52</f>
        <v>5485</v>
      </c>
      <c r="B58" s="421" t="str">
        <f>Données!B52</f>
        <v>Grancy</v>
      </c>
      <c r="C58" s="31">
        <f>VPI!R52</f>
        <v>18961.04185714286</v>
      </c>
      <c r="D58" s="8">
        <f>Données!N52</f>
        <v>5968.6</v>
      </c>
      <c r="E58" s="174">
        <f>Données!O52+Données!P52+Données!R52</f>
        <v>78378.3</v>
      </c>
      <c r="F58" s="390">
        <f t="shared" si="2"/>
        <v>40979.730000000003</v>
      </c>
      <c r="G58" s="390">
        <f>Ecrêtage!M52</f>
        <v>0</v>
      </c>
      <c r="H58" s="391">
        <f t="shared" si="3"/>
        <v>236981.75074550803</v>
      </c>
      <c r="I58" s="245">
        <f t="shared" si="4"/>
        <v>277961.48074550804</v>
      </c>
    </row>
    <row r="59" spans="1:9" s="35" customFormat="1" x14ac:dyDescent="0.25">
      <c r="A59" s="38">
        <f>Données!A53</f>
        <v>5486</v>
      </c>
      <c r="B59" s="421" t="str">
        <f>Données!B53</f>
        <v>L'Isle</v>
      </c>
      <c r="C59" s="31">
        <f>VPI!R53</f>
        <v>34755.462666666674</v>
      </c>
      <c r="D59" s="8">
        <f>Données!N53</f>
        <v>89687.85</v>
      </c>
      <c r="E59" s="174">
        <f>Données!O53+Données!P53+Données!R53</f>
        <v>308989.3</v>
      </c>
      <c r="F59" s="390">
        <f t="shared" si="2"/>
        <v>181401.005</v>
      </c>
      <c r="G59" s="390">
        <f>Ecrêtage!M53</f>
        <v>0</v>
      </c>
      <c r="H59" s="391">
        <f t="shared" si="3"/>
        <v>434385.96110761992</v>
      </c>
      <c r="I59" s="245">
        <f t="shared" si="4"/>
        <v>615786.96610761993</v>
      </c>
    </row>
    <row r="60" spans="1:9" s="35" customFormat="1" x14ac:dyDescent="0.25">
      <c r="A60" s="38">
        <f>Données!A54</f>
        <v>5487</v>
      </c>
      <c r="B60" s="421" t="str">
        <f>Données!B54</f>
        <v>Lussery-Villars</v>
      </c>
      <c r="C60" s="31">
        <f>VPI!R54</f>
        <v>12042.578266666667</v>
      </c>
      <c r="D60" s="8">
        <f>Données!N54</f>
        <v>0</v>
      </c>
      <c r="E60" s="174">
        <f>Données!O54+Données!P54+Données!R54</f>
        <v>84303.9</v>
      </c>
      <c r="F60" s="390">
        <f t="shared" si="2"/>
        <v>42151.95</v>
      </c>
      <c r="G60" s="390">
        <f>Ecrêtage!M54</f>
        <v>0</v>
      </c>
      <c r="H60" s="391">
        <f t="shared" si="3"/>
        <v>150512.36649474426</v>
      </c>
      <c r="I60" s="245">
        <f t="shared" si="4"/>
        <v>192664.31649474427</v>
      </c>
    </row>
    <row r="61" spans="1:9" s="35" customFormat="1" x14ac:dyDescent="0.25">
      <c r="A61" s="38">
        <f>Données!A55</f>
        <v>5488</v>
      </c>
      <c r="B61" s="421" t="str">
        <f>Données!B55</f>
        <v>Mauraz</v>
      </c>
      <c r="C61" s="31">
        <f>VPI!R55</f>
        <v>2131.605194805195</v>
      </c>
      <c r="D61" s="8">
        <f>Données!N55</f>
        <v>0</v>
      </c>
      <c r="E61" s="174">
        <f>Données!O55+Données!P55+Données!R55</f>
        <v>38854.550000000003</v>
      </c>
      <c r="F61" s="390">
        <f t="shared" si="2"/>
        <v>19427.275000000001</v>
      </c>
      <c r="G61" s="390">
        <f>Ecrêtage!M55</f>
        <v>0</v>
      </c>
      <c r="H61" s="391">
        <f t="shared" si="3"/>
        <v>26641.549276094131</v>
      </c>
      <c r="I61" s="245">
        <f t="shared" si="4"/>
        <v>46068.824276094136</v>
      </c>
    </row>
    <row r="62" spans="1:9" s="35" customFormat="1" x14ac:dyDescent="0.25">
      <c r="A62" s="38">
        <f>Données!A56</f>
        <v>5489</v>
      </c>
      <c r="B62" s="421" t="str">
        <f>Données!B56</f>
        <v>Mex</v>
      </c>
      <c r="C62" s="31">
        <f>VPI!R56</f>
        <v>60289.963529411769</v>
      </c>
      <c r="D62" s="8">
        <f>Données!N56</f>
        <v>190350.55</v>
      </c>
      <c r="E62" s="174">
        <f>Données!O56+Données!P56+Données!R56</f>
        <v>334361.5</v>
      </c>
      <c r="F62" s="390">
        <f t="shared" si="2"/>
        <v>224285.91499999998</v>
      </c>
      <c r="G62" s="390">
        <f>Ecrêtage!M56</f>
        <v>340305.29387880792</v>
      </c>
      <c r="H62" s="391">
        <f t="shared" si="3"/>
        <v>753525.10780943744</v>
      </c>
      <c r="I62" s="245">
        <f t="shared" si="4"/>
        <v>1318116.3166882454</v>
      </c>
    </row>
    <row r="63" spans="1:9" s="35" customFormat="1" x14ac:dyDescent="0.25">
      <c r="A63" s="38">
        <f>Données!A57</f>
        <v>5490</v>
      </c>
      <c r="B63" s="421" t="str">
        <f>Données!B57</f>
        <v>Moiry</v>
      </c>
      <c r="C63" s="31">
        <f>VPI!R57</f>
        <v>8460.9402597402623</v>
      </c>
      <c r="D63" s="8">
        <f>Données!N57</f>
        <v>0</v>
      </c>
      <c r="E63" s="174">
        <f>Données!O57+Données!P57+Données!R57</f>
        <v>19864.7</v>
      </c>
      <c r="F63" s="390">
        <f t="shared" si="2"/>
        <v>9932.35</v>
      </c>
      <c r="G63" s="390">
        <f>Ecrêtage!M57</f>
        <v>0</v>
      </c>
      <c r="H63" s="391">
        <f t="shared" si="3"/>
        <v>105747.79860796833</v>
      </c>
      <c r="I63" s="245">
        <f t="shared" si="4"/>
        <v>115680.14860796834</v>
      </c>
    </row>
    <row r="64" spans="1:9" s="35" customFormat="1" x14ac:dyDescent="0.25">
      <c r="A64" s="38">
        <f>Données!A58</f>
        <v>5491</v>
      </c>
      <c r="B64" s="421" t="str">
        <f>Données!B58</f>
        <v>Mont-la-Ville</v>
      </c>
      <c r="C64" s="31">
        <f>VPI!R58</f>
        <v>13841.869078947369</v>
      </c>
      <c r="D64" s="8">
        <f>Données!N58</f>
        <v>3208.25</v>
      </c>
      <c r="E64" s="174">
        <f>Données!O58+Données!P58+Données!R58</f>
        <v>135966.1</v>
      </c>
      <c r="F64" s="390">
        <f t="shared" si="2"/>
        <v>68945.525000000009</v>
      </c>
      <c r="G64" s="390">
        <f>Ecrêtage!M58</f>
        <v>0</v>
      </c>
      <c r="H64" s="391">
        <f t="shared" si="3"/>
        <v>173000.53407578665</v>
      </c>
      <c r="I64" s="245">
        <f t="shared" si="4"/>
        <v>241946.05907578667</v>
      </c>
    </row>
    <row r="65" spans="1:9" s="35" customFormat="1" x14ac:dyDescent="0.25">
      <c r="A65" s="38">
        <f>Données!A59</f>
        <v>5492</v>
      </c>
      <c r="B65" s="421" t="str">
        <f>Données!B59</f>
        <v>Montricher</v>
      </c>
      <c r="C65" s="31">
        <f>VPI!R59</f>
        <v>149906.53015624997</v>
      </c>
      <c r="D65" s="8">
        <f>Données!N59</f>
        <v>10971.2</v>
      </c>
      <c r="E65" s="174">
        <f>Données!O59+Données!P59+Données!R59</f>
        <v>230633.15000000002</v>
      </c>
      <c r="F65" s="390">
        <f t="shared" si="2"/>
        <v>118607.93500000001</v>
      </c>
      <c r="G65" s="390">
        <f>Ecrêtage!M59</f>
        <v>2847653.5307047679</v>
      </c>
      <c r="H65" s="391">
        <f t="shared" si="3"/>
        <v>1873584.3859355052</v>
      </c>
      <c r="I65" s="245">
        <f t="shared" si="4"/>
        <v>4839845.8516402729</v>
      </c>
    </row>
    <row r="66" spans="1:9" s="35" customFormat="1" x14ac:dyDescent="0.25">
      <c r="A66" s="38">
        <f>Données!A60</f>
        <v>5493</v>
      </c>
      <c r="B66" s="421" t="str">
        <f>Données!B60</f>
        <v>Orny</v>
      </c>
      <c r="C66" s="31">
        <f>VPI!R60</f>
        <v>14635.714141201266</v>
      </c>
      <c r="D66" s="8">
        <f>Données!N60</f>
        <v>62678</v>
      </c>
      <c r="E66" s="174">
        <f>Données!O60+Données!P60+Données!R60</f>
        <v>72910.899999999994</v>
      </c>
      <c r="F66" s="390">
        <f t="shared" si="2"/>
        <v>55258.849999999991</v>
      </c>
      <c r="G66" s="390">
        <f>Ecrêtage!M60</f>
        <v>0</v>
      </c>
      <c r="H66" s="391">
        <f t="shared" si="3"/>
        <v>182922.28806435957</v>
      </c>
      <c r="I66" s="245">
        <f t="shared" si="4"/>
        <v>238181.13806435955</v>
      </c>
    </row>
    <row r="67" spans="1:9" s="35" customFormat="1" x14ac:dyDescent="0.25">
      <c r="A67" s="38">
        <f>Données!A61</f>
        <v>5495</v>
      </c>
      <c r="B67" s="421" t="str">
        <f>Données!B61</f>
        <v>Penthalaz</v>
      </c>
      <c r="C67" s="31">
        <f>VPI!R61</f>
        <v>103053.60797297298</v>
      </c>
      <c r="D67" s="8">
        <f>Données!N61</f>
        <v>301863.25</v>
      </c>
      <c r="E67" s="174">
        <f>Données!O61+Données!P61+Données!R61</f>
        <v>527112.70000000019</v>
      </c>
      <c r="F67" s="390">
        <f t="shared" si="2"/>
        <v>354115.32500000007</v>
      </c>
      <c r="G67" s="390">
        <f>Ecrêtage!M61</f>
        <v>0</v>
      </c>
      <c r="H67" s="391">
        <f t="shared" si="3"/>
        <v>1288000.133224556</v>
      </c>
      <c r="I67" s="245">
        <f t="shared" si="4"/>
        <v>1642115.4582245559</v>
      </c>
    </row>
    <row r="68" spans="1:9" s="35" customFormat="1" x14ac:dyDescent="0.25">
      <c r="A68" s="38">
        <f>Données!A62</f>
        <v>5496</v>
      </c>
      <c r="B68" s="421" t="str">
        <f>Données!B62</f>
        <v>Penthaz</v>
      </c>
      <c r="C68" s="31">
        <f>VPI!R62</f>
        <v>61649.529352517988</v>
      </c>
      <c r="D68" s="8">
        <f>Données!N62</f>
        <v>85804.3</v>
      </c>
      <c r="E68" s="174">
        <f>Données!O62+Données!P62+Données!R62</f>
        <v>264369.25</v>
      </c>
      <c r="F68" s="390">
        <f t="shared" si="2"/>
        <v>157925.91500000001</v>
      </c>
      <c r="G68" s="390">
        <f>Ecrêtage!M62</f>
        <v>0</v>
      </c>
      <c r="H68" s="391">
        <f t="shared" si="3"/>
        <v>770517.43826474401</v>
      </c>
      <c r="I68" s="245">
        <f t="shared" si="4"/>
        <v>928443.35326474404</v>
      </c>
    </row>
    <row r="69" spans="1:9" s="35" customFormat="1" x14ac:dyDescent="0.25">
      <c r="A69" s="38">
        <f>Données!A63</f>
        <v>5497</v>
      </c>
      <c r="B69" s="421" t="str">
        <f>Données!B63</f>
        <v>Pompaples</v>
      </c>
      <c r="C69" s="31">
        <f>VPI!R63</f>
        <v>22949.555</v>
      </c>
      <c r="D69" s="8">
        <f>Données!N63</f>
        <v>202629.9</v>
      </c>
      <c r="E69" s="174">
        <f>Données!O63+Données!P63+Données!R63</f>
        <v>89028</v>
      </c>
      <c r="F69" s="390">
        <f t="shared" si="2"/>
        <v>105302.97</v>
      </c>
      <c r="G69" s="390">
        <f>Ecrêtage!M63</f>
        <v>0</v>
      </c>
      <c r="H69" s="391">
        <f t="shared" si="3"/>
        <v>286831.58677177492</v>
      </c>
      <c r="I69" s="245">
        <f t="shared" si="4"/>
        <v>392134.55677177489</v>
      </c>
    </row>
    <row r="70" spans="1:9" s="35" customFormat="1" x14ac:dyDescent="0.25">
      <c r="A70" s="38">
        <f>Données!A64</f>
        <v>5498</v>
      </c>
      <c r="B70" s="421" t="str">
        <f>Données!B64</f>
        <v>La Sarraz</v>
      </c>
      <c r="C70" s="31">
        <f>VPI!R64</f>
        <v>73742.233181818185</v>
      </c>
      <c r="D70" s="8">
        <f>Données!N64</f>
        <v>122746.25</v>
      </c>
      <c r="E70" s="174">
        <f>Données!O64+Données!P64+Données!R64</f>
        <v>233869.45</v>
      </c>
      <c r="F70" s="390">
        <f t="shared" si="2"/>
        <v>153758.6</v>
      </c>
      <c r="G70" s="390">
        <f>Ecrêtage!M64</f>
        <v>0</v>
      </c>
      <c r="H70" s="391">
        <f t="shared" si="3"/>
        <v>921656.29162025754</v>
      </c>
      <c r="I70" s="245">
        <f t="shared" si="4"/>
        <v>1075414.8916202576</v>
      </c>
    </row>
    <row r="71" spans="1:9" s="35" customFormat="1" x14ac:dyDescent="0.25">
      <c r="A71" s="38">
        <f>Données!A65</f>
        <v>5499</v>
      </c>
      <c r="B71" s="421" t="str">
        <f>Données!B65</f>
        <v>Senarclens</v>
      </c>
      <c r="C71" s="31">
        <f>VPI!R65</f>
        <v>20490.878394160583</v>
      </c>
      <c r="D71" s="8">
        <f>Données!N65</f>
        <v>26883.5</v>
      </c>
      <c r="E71" s="174">
        <f>Données!O65+Données!P65+Données!R65</f>
        <v>81660.7</v>
      </c>
      <c r="F71" s="390">
        <f t="shared" si="2"/>
        <v>48895.399999999994</v>
      </c>
      <c r="G71" s="390">
        <f>Ecrêtage!M65</f>
        <v>0</v>
      </c>
      <c r="H71" s="391">
        <f t="shared" si="3"/>
        <v>256102.18429701834</v>
      </c>
      <c r="I71" s="245">
        <f t="shared" si="4"/>
        <v>304997.58429701836</v>
      </c>
    </row>
    <row r="72" spans="1:9" s="35" customFormat="1" x14ac:dyDescent="0.25">
      <c r="A72" s="38">
        <f>Données!A66</f>
        <v>5501</v>
      </c>
      <c r="B72" s="421" t="str">
        <f>Données!B66</f>
        <v>Sullens</v>
      </c>
      <c r="C72" s="31">
        <f>VPI!R66</f>
        <v>53839.001093749997</v>
      </c>
      <c r="D72" s="8">
        <f>Données!N66</f>
        <v>17893.7</v>
      </c>
      <c r="E72" s="174">
        <f>Données!O66+Données!P66+Données!R66</f>
        <v>555509.4</v>
      </c>
      <c r="F72" s="390">
        <f t="shared" si="2"/>
        <v>283122.81</v>
      </c>
      <c r="G72" s="390">
        <f>Ecrêtage!M66</f>
        <v>0</v>
      </c>
      <c r="H72" s="391">
        <f t="shared" si="3"/>
        <v>672898.71694364597</v>
      </c>
      <c r="I72" s="245">
        <f t="shared" si="4"/>
        <v>956021.52694364591</v>
      </c>
    </row>
    <row r="73" spans="1:9" s="35" customFormat="1" x14ac:dyDescent="0.25">
      <c r="A73" s="38">
        <f>Données!A67</f>
        <v>5503</v>
      </c>
      <c r="B73" s="421" t="str">
        <f>Données!B67</f>
        <v>Vufflens-la-Ville</v>
      </c>
      <c r="C73" s="31">
        <f>VPI!R67</f>
        <v>75815.146368159199</v>
      </c>
      <c r="D73" s="8">
        <f>Données!N67</f>
        <v>217052.05</v>
      </c>
      <c r="E73" s="174">
        <f>Données!O67+Données!P67+Données!R67</f>
        <v>152868.79999999999</v>
      </c>
      <c r="F73" s="390">
        <f t="shared" si="2"/>
        <v>141550.01499999998</v>
      </c>
      <c r="G73" s="390">
        <f>Ecrêtage!M67</f>
        <v>159521.22275868201</v>
      </c>
      <c r="H73" s="391">
        <f t="shared" si="3"/>
        <v>947564.28759134852</v>
      </c>
      <c r="I73" s="245">
        <f t="shared" si="4"/>
        <v>1248635.5253500305</v>
      </c>
    </row>
    <row r="74" spans="1:9" s="35" customFormat="1" x14ac:dyDescent="0.25">
      <c r="A74" s="38">
        <f>Données!A68</f>
        <v>5511</v>
      </c>
      <c r="B74" s="421" t="str">
        <f>Données!B68</f>
        <v>Assens</v>
      </c>
      <c r="C74" s="31">
        <f>VPI!R68</f>
        <v>72829.098714285734</v>
      </c>
      <c r="D74" s="8">
        <f>Données!N68</f>
        <v>228206.35</v>
      </c>
      <c r="E74" s="174">
        <f>Données!O68+Données!P68+Données!R68</f>
        <v>181769.9</v>
      </c>
      <c r="F74" s="390">
        <f t="shared" si="2"/>
        <v>159346.85499999998</v>
      </c>
      <c r="G74" s="390">
        <f>Ecrêtage!M68</f>
        <v>0</v>
      </c>
      <c r="H74" s="391">
        <f t="shared" si="3"/>
        <v>910243.61680985999</v>
      </c>
      <c r="I74" s="245">
        <f t="shared" si="4"/>
        <v>1069590.4718098599</v>
      </c>
    </row>
    <row r="75" spans="1:9" s="35" customFormat="1" x14ac:dyDescent="0.25">
      <c r="A75" s="38">
        <f>Données!A69</f>
        <v>5512</v>
      </c>
      <c r="B75" s="421" t="str">
        <f>Données!B69</f>
        <v>Bercher</v>
      </c>
      <c r="C75" s="31">
        <f>VPI!R69</f>
        <v>41197.962531645571</v>
      </c>
      <c r="D75" s="8">
        <f>Données!N69</f>
        <v>89160.45</v>
      </c>
      <c r="E75" s="174">
        <f>Données!O69+Données!P69+Données!R69</f>
        <v>181971.85</v>
      </c>
      <c r="F75" s="390">
        <f t="shared" si="2"/>
        <v>117734.06</v>
      </c>
      <c r="G75" s="390">
        <f>Ecrêtage!M69</f>
        <v>0</v>
      </c>
      <c r="H75" s="391">
        <f t="shared" si="3"/>
        <v>514906.58379720338</v>
      </c>
      <c r="I75" s="245">
        <f t="shared" si="4"/>
        <v>632640.64379720343</v>
      </c>
    </row>
    <row r="76" spans="1:9" s="35" customFormat="1" x14ac:dyDescent="0.25">
      <c r="A76" s="38">
        <f>Données!A70</f>
        <v>5514</v>
      </c>
      <c r="B76" s="421" t="str">
        <f>Données!B70</f>
        <v>Bottens</v>
      </c>
      <c r="C76" s="31">
        <f>VPI!R70</f>
        <v>45711.625241379304</v>
      </c>
      <c r="D76" s="8">
        <f>Données!N70</f>
        <v>9237.1</v>
      </c>
      <c r="E76" s="174">
        <f>Données!O70+Données!P70+Données!R70</f>
        <v>200711.1</v>
      </c>
      <c r="F76" s="390">
        <f t="shared" si="2"/>
        <v>103126.68000000001</v>
      </c>
      <c r="G76" s="390">
        <f>Ecrêtage!M70</f>
        <v>0</v>
      </c>
      <c r="H76" s="391">
        <f t="shared" si="3"/>
        <v>571319.92327962536</v>
      </c>
      <c r="I76" s="245">
        <f t="shared" si="4"/>
        <v>674446.60327962541</v>
      </c>
    </row>
    <row r="77" spans="1:9" s="35" customFormat="1" x14ac:dyDescent="0.25">
      <c r="A77" s="38">
        <f>Données!A71</f>
        <v>5515</v>
      </c>
      <c r="B77" s="421" t="str">
        <f>Données!B71</f>
        <v>Bretigny-sur-Morrens</v>
      </c>
      <c r="C77" s="31">
        <f>VPI!R71</f>
        <v>29284.807179487179</v>
      </c>
      <c r="D77" s="8">
        <f>Données!N71</f>
        <v>7362.9</v>
      </c>
      <c r="E77" s="174">
        <f>Données!O71+Données!P71+Données!R71</f>
        <v>91376.15</v>
      </c>
      <c r="F77" s="390">
        <f t="shared" ref="F77:F140" si="5">D77*$D$11+E77*$E$11</f>
        <v>47896.945</v>
      </c>
      <c r="G77" s="390">
        <f>Ecrêtage!M71</f>
        <v>0</v>
      </c>
      <c r="H77" s="391">
        <f t="shared" ref="H77:H140" si="6">$H$11*C77</f>
        <v>366011.79027644644</v>
      </c>
      <c r="I77" s="245">
        <f t="shared" ref="I77:I140" si="7">F77+H77+G77</f>
        <v>413908.73527644644</v>
      </c>
    </row>
    <row r="78" spans="1:9" s="35" customFormat="1" x14ac:dyDescent="0.25">
      <c r="A78" s="38">
        <f>Données!A72</f>
        <v>5516</v>
      </c>
      <c r="B78" s="421" t="str">
        <f>Données!B72</f>
        <v>Cugy</v>
      </c>
      <c r="C78" s="31">
        <f>VPI!R72</f>
        <v>110286.19364035087</v>
      </c>
      <c r="D78" s="8">
        <f>Données!N72</f>
        <v>89061.8</v>
      </c>
      <c r="E78" s="174">
        <f>Données!O72+Données!P72+Données!R72</f>
        <v>564136.39999999991</v>
      </c>
      <c r="F78" s="390">
        <f t="shared" si="5"/>
        <v>308786.73999999993</v>
      </c>
      <c r="G78" s="390">
        <f>Ecrêtage!M72</f>
        <v>0</v>
      </c>
      <c r="H78" s="391">
        <f t="shared" si="6"/>
        <v>1378395.5253546776</v>
      </c>
      <c r="I78" s="245">
        <f t="shared" si="7"/>
        <v>1687182.2653546776</v>
      </c>
    </row>
    <row r="79" spans="1:9" s="35" customFormat="1" x14ac:dyDescent="0.25">
      <c r="A79" s="38">
        <f>Données!A73</f>
        <v>5518</v>
      </c>
      <c r="B79" s="421" t="str">
        <f>Données!B73</f>
        <v>Echallens</v>
      </c>
      <c r="C79" s="31">
        <f>VPI!R73</f>
        <v>193272.16565517243</v>
      </c>
      <c r="D79" s="8">
        <f>Données!N73</f>
        <v>223921.4</v>
      </c>
      <c r="E79" s="174">
        <f>Données!O73+Données!P73+Données!R73</f>
        <v>1109366.8999999999</v>
      </c>
      <c r="F79" s="390">
        <f t="shared" si="5"/>
        <v>621859.87</v>
      </c>
      <c r="G79" s="390">
        <f>Ecrêtage!M73</f>
        <v>0</v>
      </c>
      <c r="H79" s="391">
        <f t="shared" si="6"/>
        <v>2415583.3066780791</v>
      </c>
      <c r="I79" s="245">
        <f t="shared" si="7"/>
        <v>3037443.1766780792</v>
      </c>
    </row>
    <row r="80" spans="1:9" s="35" customFormat="1" x14ac:dyDescent="0.25">
      <c r="A80" s="38">
        <f>Données!A74</f>
        <v>5520</v>
      </c>
      <c r="B80" s="421" t="str">
        <f>Données!B74</f>
        <v>Essertines-sur-Yverdon</v>
      </c>
      <c r="C80" s="31">
        <f>VPI!R74</f>
        <v>31421.603918918918</v>
      </c>
      <c r="D80" s="8">
        <f>Données!N74</f>
        <v>7550.95</v>
      </c>
      <c r="E80" s="174">
        <f>Données!O74+Données!P74+Données!R74</f>
        <v>256261.65</v>
      </c>
      <c r="F80" s="390">
        <f t="shared" si="5"/>
        <v>130396.11</v>
      </c>
      <c r="G80" s="390">
        <f>Ecrêtage!M74</f>
        <v>0</v>
      </c>
      <c r="H80" s="391">
        <f t="shared" si="6"/>
        <v>392718.22529795166</v>
      </c>
      <c r="I80" s="245">
        <f t="shared" si="7"/>
        <v>523114.33529795165</v>
      </c>
    </row>
    <row r="81" spans="1:9" s="35" customFormat="1" x14ac:dyDescent="0.25">
      <c r="A81" s="38">
        <f>Données!A75</f>
        <v>5521</v>
      </c>
      <c r="B81" s="421" t="str">
        <f>Données!B75</f>
        <v>Etagnières</v>
      </c>
      <c r="C81" s="31">
        <f>VPI!R75</f>
        <v>47186.910273972615</v>
      </c>
      <c r="D81" s="8">
        <f>Données!N75</f>
        <v>100109.65</v>
      </c>
      <c r="E81" s="174">
        <f>Données!O75+Données!P75+Données!R75</f>
        <v>680606.5</v>
      </c>
      <c r="F81" s="390">
        <f t="shared" si="5"/>
        <v>370336.14500000002</v>
      </c>
      <c r="G81" s="390">
        <f>Ecrêtage!M75</f>
        <v>0</v>
      </c>
      <c r="H81" s="391">
        <f t="shared" si="6"/>
        <v>589758.55299769132</v>
      </c>
      <c r="I81" s="245">
        <f t="shared" si="7"/>
        <v>960094.69799769134</v>
      </c>
    </row>
    <row r="82" spans="1:9" s="35" customFormat="1" x14ac:dyDescent="0.25">
      <c r="A82" s="38">
        <f>Données!A76</f>
        <v>5522</v>
      </c>
      <c r="B82" s="421" t="str">
        <f>Données!B76</f>
        <v>Fey</v>
      </c>
      <c r="C82" s="31">
        <f>VPI!R76</f>
        <v>24171.660400000001</v>
      </c>
      <c r="D82" s="8">
        <f>Données!N76</f>
        <v>4142.45</v>
      </c>
      <c r="E82" s="174">
        <f>Données!O76+Données!P76+Données!R76</f>
        <v>144783.15</v>
      </c>
      <c r="F82" s="390">
        <f t="shared" si="5"/>
        <v>73634.31</v>
      </c>
      <c r="G82" s="390">
        <f>Ecrêtage!M76</f>
        <v>0</v>
      </c>
      <c r="H82" s="391">
        <f t="shared" si="6"/>
        <v>302105.88865189219</v>
      </c>
      <c r="I82" s="245">
        <f t="shared" si="7"/>
        <v>375740.19865189219</v>
      </c>
    </row>
    <row r="83" spans="1:9" s="35" customFormat="1" x14ac:dyDescent="0.25">
      <c r="A83" s="38">
        <f>Données!A77</f>
        <v>5523</v>
      </c>
      <c r="B83" s="421" t="str">
        <f>Données!B77</f>
        <v>Froideville</v>
      </c>
      <c r="C83" s="31">
        <f>VPI!R77</f>
        <v>92223.451805555553</v>
      </c>
      <c r="D83" s="8">
        <f>Données!N77</f>
        <v>6529.5</v>
      </c>
      <c r="E83" s="174">
        <f>Données!O77+Données!P77+Données!R77</f>
        <v>721211.55</v>
      </c>
      <c r="F83" s="390">
        <f t="shared" si="5"/>
        <v>362564.625</v>
      </c>
      <c r="G83" s="390">
        <f>Ecrêtage!M77</f>
        <v>0</v>
      </c>
      <c r="H83" s="391">
        <f t="shared" si="6"/>
        <v>1152641.0433212237</v>
      </c>
      <c r="I83" s="245">
        <f t="shared" si="7"/>
        <v>1515205.6683212237</v>
      </c>
    </row>
    <row r="84" spans="1:9" s="35" customFormat="1" x14ac:dyDescent="0.25">
      <c r="A84" s="38">
        <f>Données!A78</f>
        <v>5527</v>
      </c>
      <c r="B84" s="421" t="str">
        <f>Données!B78</f>
        <v>Morrens</v>
      </c>
      <c r="C84" s="31">
        <f>VPI!R78</f>
        <v>40722.210135135138</v>
      </c>
      <c r="D84" s="8">
        <f>Données!N78</f>
        <v>11668.5</v>
      </c>
      <c r="E84" s="174">
        <f>Données!O78+Données!P78+Données!R78</f>
        <v>279168.40000000002</v>
      </c>
      <c r="F84" s="390">
        <f t="shared" si="5"/>
        <v>143084.75</v>
      </c>
      <c r="G84" s="390">
        <f>Ecrêtage!M78</f>
        <v>0</v>
      </c>
      <c r="H84" s="391">
        <f t="shared" si="6"/>
        <v>508960.46349981363</v>
      </c>
      <c r="I84" s="245">
        <f t="shared" si="7"/>
        <v>652045.21349981357</v>
      </c>
    </row>
    <row r="85" spans="1:9" s="35" customFormat="1" x14ac:dyDescent="0.25">
      <c r="A85" s="38">
        <f>Données!A79</f>
        <v>5529</v>
      </c>
      <c r="B85" s="421" t="str">
        <f>Données!B79</f>
        <v>Oulens-sous-Echallens</v>
      </c>
      <c r="C85" s="31">
        <f>VPI!R79</f>
        <v>22676.673521126762</v>
      </c>
      <c r="D85" s="8">
        <f>Données!N79</f>
        <v>0</v>
      </c>
      <c r="E85" s="174">
        <f>Données!O79+Données!P79+Données!R79</f>
        <v>12210</v>
      </c>
      <c r="F85" s="390">
        <f t="shared" si="5"/>
        <v>6105</v>
      </c>
      <c r="G85" s="390">
        <f>Ecrêtage!M79</f>
        <v>0</v>
      </c>
      <c r="H85" s="391">
        <f t="shared" si="6"/>
        <v>283421.0183496055</v>
      </c>
      <c r="I85" s="245">
        <f t="shared" si="7"/>
        <v>289526.0183496055</v>
      </c>
    </row>
    <row r="86" spans="1:9" s="35" customFormat="1" x14ac:dyDescent="0.25">
      <c r="A86" s="38">
        <f>Données!A80</f>
        <v>5530</v>
      </c>
      <c r="B86" s="421" t="str">
        <f>Données!B80</f>
        <v>Pailly</v>
      </c>
      <c r="C86" s="31">
        <f>VPI!R80</f>
        <v>20358.644320175437</v>
      </c>
      <c r="D86" s="8">
        <f>Données!N80</f>
        <v>20999.9</v>
      </c>
      <c r="E86" s="174">
        <f>Données!O80+Données!P80+Données!R80</f>
        <v>532950.6</v>
      </c>
      <c r="F86" s="390">
        <f t="shared" si="5"/>
        <v>272775.26999999996</v>
      </c>
      <c r="G86" s="390">
        <f>Ecrêtage!M80</f>
        <v>0</v>
      </c>
      <c r="H86" s="391">
        <f t="shared" si="6"/>
        <v>254449.47646601876</v>
      </c>
      <c r="I86" s="245">
        <f t="shared" si="7"/>
        <v>527224.74646601873</v>
      </c>
    </row>
    <row r="87" spans="1:9" s="35" customFormat="1" x14ac:dyDescent="0.25">
      <c r="A87" s="38">
        <f>Données!A81</f>
        <v>5531</v>
      </c>
      <c r="B87" s="421" t="str">
        <f>Données!B81</f>
        <v>Penthéréaz</v>
      </c>
      <c r="C87" s="31">
        <f>VPI!R81</f>
        <v>17299.265810810808</v>
      </c>
      <c r="D87" s="8">
        <f>Données!N81</f>
        <v>27044.6</v>
      </c>
      <c r="E87" s="174">
        <f>Données!O81+Données!P81+Données!R81</f>
        <v>31415.05</v>
      </c>
      <c r="F87" s="390">
        <f t="shared" si="5"/>
        <v>23820.904999999999</v>
      </c>
      <c r="G87" s="390">
        <f>Ecrêtage!M81</f>
        <v>0</v>
      </c>
      <c r="H87" s="391">
        <f t="shared" si="6"/>
        <v>216212.29093555754</v>
      </c>
      <c r="I87" s="245">
        <f t="shared" si="7"/>
        <v>240033.19593555754</v>
      </c>
    </row>
    <row r="88" spans="1:9" s="35" customFormat="1" x14ac:dyDescent="0.25">
      <c r="A88" s="38">
        <f>Données!A82</f>
        <v>5533</v>
      </c>
      <c r="B88" s="421" t="str">
        <f>Données!B82</f>
        <v>Poliez-Pittet</v>
      </c>
      <c r="C88" s="31">
        <f>VPI!R82</f>
        <v>28011.409726027396</v>
      </c>
      <c r="D88" s="8">
        <f>Données!N82</f>
        <v>14127</v>
      </c>
      <c r="E88" s="174">
        <f>Données!O82+Données!P82+Données!R82</f>
        <v>110619.35</v>
      </c>
      <c r="F88" s="390">
        <f t="shared" si="5"/>
        <v>59547.775000000001</v>
      </c>
      <c r="G88" s="390">
        <f>Ecrêtage!M82</f>
        <v>0</v>
      </c>
      <c r="H88" s="391">
        <f t="shared" si="6"/>
        <v>350096.42232412635</v>
      </c>
      <c r="I88" s="245">
        <f t="shared" si="7"/>
        <v>409644.19732412638</v>
      </c>
    </row>
    <row r="89" spans="1:9" s="35" customFormat="1" x14ac:dyDescent="0.25">
      <c r="A89" s="38">
        <f>Données!A83</f>
        <v>5534</v>
      </c>
      <c r="B89" s="421" t="str">
        <f>Données!B83</f>
        <v>Rueyres</v>
      </c>
      <c r="C89" s="31">
        <f>VPI!R83</f>
        <v>15039.569474885846</v>
      </c>
      <c r="D89" s="8">
        <f>Données!N83</f>
        <v>22036.5</v>
      </c>
      <c r="E89" s="174">
        <f>Données!O83+Données!P83+Données!R83</f>
        <v>37607.399999999994</v>
      </c>
      <c r="F89" s="390">
        <f t="shared" si="5"/>
        <v>25414.649999999998</v>
      </c>
      <c r="G89" s="390">
        <f>Ecrêtage!M83</f>
        <v>7637.9746263281431</v>
      </c>
      <c r="H89" s="391">
        <f t="shared" si="6"/>
        <v>187969.81365633698</v>
      </c>
      <c r="I89" s="245">
        <f t="shared" si="7"/>
        <v>221022.43828266513</v>
      </c>
    </row>
    <row r="90" spans="1:9" s="35" customFormat="1" x14ac:dyDescent="0.25">
      <c r="A90" s="38">
        <f>Données!A84</f>
        <v>5535</v>
      </c>
      <c r="B90" s="421" t="str">
        <f>Données!B84</f>
        <v>Saint-Barthélemy</v>
      </c>
      <c r="C90" s="31">
        <f>VPI!R84</f>
        <v>25492.320666666663</v>
      </c>
      <c r="D90" s="8">
        <f>Données!N84</f>
        <v>51430.3</v>
      </c>
      <c r="E90" s="174">
        <f>Données!O84+Données!P84+Données!R84</f>
        <v>136336.85</v>
      </c>
      <c r="F90" s="390">
        <f t="shared" si="5"/>
        <v>83597.514999999999</v>
      </c>
      <c r="G90" s="390">
        <f>Ecrêtage!M84</f>
        <v>0</v>
      </c>
      <c r="H90" s="391">
        <f t="shared" si="6"/>
        <v>318611.96381868445</v>
      </c>
      <c r="I90" s="245">
        <f t="shared" si="7"/>
        <v>402209.47881868447</v>
      </c>
    </row>
    <row r="91" spans="1:9" s="35" customFormat="1" x14ac:dyDescent="0.25">
      <c r="A91" s="38">
        <f>Données!A85</f>
        <v>5537</v>
      </c>
      <c r="B91" s="421" t="str">
        <f>Données!B85</f>
        <v>Villars-le-Terroir</v>
      </c>
      <c r="C91" s="31">
        <f>VPI!R85</f>
        <v>39162.025657894737</v>
      </c>
      <c r="D91" s="8">
        <f>Données!N85</f>
        <v>0</v>
      </c>
      <c r="E91" s="174">
        <f>Données!O85+Données!P85+Données!R85</f>
        <v>129651.20000000001</v>
      </c>
      <c r="F91" s="390">
        <f t="shared" si="5"/>
        <v>64825.600000000006</v>
      </c>
      <c r="G91" s="390">
        <f>Ecrêtage!M85</f>
        <v>0</v>
      </c>
      <c r="H91" s="391">
        <f t="shared" si="6"/>
        <v>489460.7307484136</v>
      </c>
      <c r="I91" s="245">
        <f t="shared" si="7"/>
        <v>554286.33074841357</v>
      </c>
    </row>
    <row r="92" spans="1:9" s="35" customFormat="1" x14ac:dyDescent="0.25">
      <c r="A92" s="38">
        <f>Données!A86</f>
        <v>5539</v>
      </c>
      <c r="B92" s="421" t="str">
        <f>Données!B86</f>
        <v>Vuarrens</v>
      </c>
      <c r="C92" s="31">
        <f>VPI!R86</f>
        <v>34442.298537414965</v>
      </c>
      <c r="D92" s="8">
        <f>Données!N86</f>
        <v>18487.849999999999</v>
      </c>
      <c r="E92" s="174">
        <f>Données!O86+Données!P86+Données!R86</f>
        <v>201580.05</v>
      </c>
      <c r="F92" s="390">
        <f t="shared" si="5"/>
        <v>106336.37999999999</v>
      </c>
      <c r="G92" s="390">
        <f>Ecrêtage!M86</f>
        <v>0</v>
      </c>
      <c r="H92" s="391">
        <f t="shared" si="6"/>
        <v>430471.9259939426</v>
      </c>
      <c r="I92" s="245">
        <f t="shared" si="7"/>
        <v>536808.30599394254</v>
      </c>
    </row>
    <row r="93" spans="1:9" s="35" customFormat="1" x14ac:dyDescent="0.25">
      <c r="A93" s="38">
        <f>Données!A87</f>
        <v>5540</v>
      </c>
      <c r="B93" s="421" t="str">
        <f>Données!B87</f>
        <v>Montilliez</v>
      </c>
      <c r="C93" s="31">
        <f>VPI!R87</f>
        <v>67462.536103448278</v>
      </c>
      <c r="D93" s="8">
        <f>Données!N87</f>
        <v>6525.8</v>
      </c>
      <c r="E93" s="174">
        <f>Données!O87+Données!P87+Données!R87</f>
        <v>235980.34999999998</v>
      </c>
      <c r="F93" s="390">
        <f t="shared" si="5"/>
        <v>119947.91499999999</v>
      </c>
      <c r="G93" s="390">
        <f>Ecrêtage!M87</f>
        <v>0</v>
      </c>
      <c r="H93" s="391">
        <f t="shared" si="6"/>
        <v>843170.43525245786</v>
      </c>
      <c r="I93" s="245">
        <f t="shared" si="7"/>
        <v>963118.35025245789</v>
      </c>
    </row>
    <row r="94" spans="1:9" s="35" customFormat="1" x14ac:dyDescent="0.25">
      <c r="A94" s="38">
        <f>Données!A88</f>
        <v>5541</v>
      </c>
      <c r="B94" s="421" t="str">
        <f>Données!B88</f>
        <v>Goumoëns</v>
      </c>
      <c r="C94" s="31">
        <f>VPI!R88</f>
        <v>41725.831258278151</v>
      </c>
      <c r="D94" s="8">
        <f>Données!N88</f>
        <v>6812.1</v>
      </c>
      <c r="E94" s="174">
        <f>Données!O88+Données!P88+Données!R88</f>
        <v>271237.75</v>
      </c>
      <c r="F94" s="390">
        <f t="shared" si="5"/>
        <v>137662.505</v>
      </c>
      <c r="G94" s="390">
        <f>Ecrêtage!M88</f>
        <v>0</v>
      </c>
      <c r="H94" s="391">
        <f t="shared" si="6"/>
        <v>521504.07226559496</v>
      </c>
      <c r="I94" s="245">
        <f t="shared" si="7"/>
        <v>659166.57726559497</v>
      </c>
    </row>
    <row r="95" spans="1:9" s="35" customFormat="1" x14ac:dyDescent="0.25">
      <c r="A95" s="38">
        <f>Données!A89</f>
        <v>5551</v>
      </c>
      <c r="B95" s="421" t="str">
        <f>Données!B89</f>
        <v>Bonvillars</v>
      </c>
      <c r="C95" s="31">
        <f>VPI!R89</f>
        <v>18574.407321428567</v>
      </c>
      <c r="D95" s="8">
        <f>Données!N89</f>
        <v>4739.05</v>
      </c>
      <c r="E95" s="174">
        <f>Données!O89+Données!P89+Données!R89</f>
        <v>350352.5</v>
      </c>
      <c r="F95" s="390">
        <f t="shared" si="5"/>
        <v>176597.965</v>
      </c>
      <c r="G95" s="390">
        <f>Ecrêtage!M89</f>
        <v>0</v>
      </c>
      <c r="H95" s="391">
        <f t="shared" si="6"/>
        <v>232149.45672587678</v>
      </c>
      <c r="I95" s="245">
        <f t="shared" si="7"/>
        <v>408747.42172587675</v>
      </c>
    </row>
    <row r="96" spans="1:9" s="35" customFormat="1" x14ac:dyDescent="0.25">
      <c r="A96" s="38">
        <f>Données!A90</f>
        <v>5552</v>
      </c>
      <c r="B96" s="421" t="str">
        <f>Données!B90</f>
        <v>Bullet</v>
      </c>
      <c r="C96" s="31">
        <f>VPI!R90</f>
        <v>19038.467972027971</v>
      </c>
      <c r="D96" s="8">
        <f>Données!N90</f>
        <v>75308.75</v>
      </c>
      <c r="E96" s="174">
        <f>Données!O90+Données!P90+Données!R90</f>
        <v>117266.35</v>
      </c>
      <c r="F96" s="390">
        <f t="shared" si="5"/>
        <v>81225.8</v>
      </c>
      <c r="G96" s="390">
        <f>Ecrêtage!M90</f>
        <v>0</v>
      </c>
      <c r="H96" s="391">
        <f t="shared" si="6"/>
        <v>237949.449482589</v>
      </c>
      <c r="I96" s="245">
        <f t="shared" si="7"/>
        <v>319175.24948258902</v>
      </c>
    </row>
    <row r="97" spans="1:9" s="35" customFormat="1" x14ac:dyDescent="0.25">
      <c r="A97" s="38">
        <f>Données!A91</f>
        <v>5553</v>
      </c>
      <c r="B97" s="421" t="str">
        <f>Données!B91</f>
        <v>Champagne</v>
      </c>
      <c r="C97" s="31">
        <f>VPI!R91</f>
        <v>38261.021999999997</v>
      </c>
      <c r="D97" s="8">
        <f>Données!N91</f>
        <v>163610.25</v>
      </c>
      <c r="E97" s="174">
        <f>Données!O91+Données!P91+Données!R91</f>
        <v>159660.5</v>
      </c>
      <c r="F97" s="390">
        <f t="shared" si="5"/>
        <v>128913.325</v>
      </c>
      <c r="G97" s="390">
        <f>Ecrêtage!M91</f>
        <v>0</v>
      </c>
      <c r="H97" s="391">
        <f t="shared" si="6"/>
        <v>478199.67105112877</v>
      </c>
      <c r="I97" s="245">
        <f t="shared" si="7"/>
        <v>607112.99605112872</v>
      </c>
    </row>
    <row r="98" spans="1:9" s="35" customFormat="1" x14ac:dyDescent="0.25">
      <c r="A98" s="38">
        <f>Données!A92</f>
        <v>5554</v>
      </c>
      <c r="B98" s="421" t="str">
        <f>Données!B92</f>
        <v>Concise</v>
      </c>
      <c r="C98" s="31">
        <f>VPI!R92</f>
        <v>33906.908000000003</v>
      </c>
      <c r="D98" s="8">
        <f>Données!N92</f>
        <v>12823.55</v>
      </c>
      <c r="E98" s="174">
        <f>Données!O92+Données!P92+Données!R92</f>
        <v>259569.2</v>
      </c>
      <c r="F98" s="390">
        <f t="shared" si="5"/>
        <v>133631.66500000001</v>
      </c>
      <c r="G98" s="390">
        <f>Ecrêtage!M92</f>
        <v>0</v>
      </c>
      <c r="H98" s="391">
        <f t="shared" si="6"/>
        <v>423780.42729650263</v>
      </c>
      <c r="I98" s="245">
        <f t="shared" si="7"/>
        <v>557412.09229650267</v>
      </c>
    </row>
    <row r="99" spans="1:9" s="35" customFormat="1" x14ac:dyDescent="0.25">
      <c r="A99" s="38">
        <f>Données!A93</f>
        <v>5555</v>
      </c>
      <c r="B99" s="421" t="str">
        <f>Données!B93</f>
        <v>Corcelles-près-Concise</v>
      </c>
      <c r="C99" s="31">
        <f>VPI!R93</f>
        <v>13425.133333333333</v>
      </c>
      <c r="D99" s="8">
        <f>Données!N93</f>
        <v>9002.75</v>
      </c>
      <c r="E99" s="174">
        <f>Données!O93+Données!P93+Données!R93</f>
        <v>25554.55</v>
      </c>
      <c r="F99" s="390">
        <f t="shared" si="5"/>
        <v>15478.099999999999</v>
      </c>
      <c r="G99" s="390">
        <f>Ecrêtage!M93</f>
        <v>0</v>
      </c>
      <c r="H99" s="391">
        <f t="shared" si="6"/>
        <v>167792.02457836972</v>
      </c>
      <c r="I99" s="245">
        <f t="shared" si="7"/>
        <v>183270.12457836972</v>
      </c>
    </row>
    <row r="100" spans="1:9" s="35" customFormat="1" x14ac:dyDescent="0.25">
      <c r="A100" s="38">
        <f>Données!A94</f>
        <v>5556</v>
      </c>
      <c r="B100" s="421" t="str">
        <f>Données!B94</f>
        <v>Fiez</v>
      </c>
      <c r="C100" s="31">
        <f>VPI!R94</f>
        <v>13304.178019323672</v>
      </c>
      <c r="D100" s="8">
        <f>Données!N94</f>
        <v>0</v>
      </c>
      <c r="E100" s="174">
        <f>Données!O94+Données!P94+Données!R94</f>
        <v>123237.95000000001</v>
      </c>
      <c r="F100" s="390">
        <f t="shared" si="5"/>
        <v>61618.975000000006</v>
      </c>
      <c r="G100" s="390">
        <f>Ecrêtage!M94</f>
        <v>0</v>
      </c>
      <c r="H100" s="391">
        <f t="shared" si="6"/>
        <v>166280.2826449915</v>
      </c>
      <c r="I100" s="245">
        <f t="shared" si="7"/>
        <v>227899.25764499151</v>
      </c>
    </row>
    <row r="101" spans="1:9" s="35" customFormat="1" x14ac:dyDescent="0.25">
      <c r="A101" s="38">
        <f>Données!A95</f>
        <v>5557</v>
      </c>
      <c r="B101" s="421" t="str">
        <f>Données!B95</f>
        <v>Fontaines-sur-Grandson</v>
      </c>
      <c r="C101" s="31">
        <f>VPI!R95</f>
        <v>5098.6839130434782</v>
      </c>
      <c r="D101" s="8">
        <f>Données!N95</f>
        <v>0</v>
      </c>
      <c r="E101" s="174">
        <f>Données!O95+Données!P95+Données!R95</f>
        <v>17748.350000000002</v>
      </c>
      <c r="F101" s="390">
        <f t="shared" si="5"/>
        <v>8874.1750000000011</v>
      </c>
      <c r="G101" s="390">
        <f>Ecrêtage!M95</f>
        <v>0</v>
      </c>
      <c r="H101" s="391">
        <f t="shared" si="6"/>
        <v>63725.139647630778</v>
      </c>
      <c r="I101" s="245">
        <f t="shared" si="7"/>
        <v>72599.314647630774</v>
      </c>
    </row>
    <row r="102" spans="1:9" s="35" customFormat="1" x14ac:dyDescent="0.25">
      <c r="A102" s="38">
        <f>Données!A96</f>
        <v>5559</v>
      </c>
      <c r="B102" s="421" t="str">
        <f>Données!B96</f>
        <v>Giez</v>
      </c>
      <c r="C102" s="31">
        <f>VPI!R96</f>
        <v>21009.564242424243</v>
      </c>
      <c r="D102" s="8">
        <f>Données!N96</f>
        <v>6024.7</v>
      </c>
      <c r="E102" s="174">
        <f>Données!O96+Données!P96+Données!R96</f>
        <v>120160.05</v>
      </c>
      <c r="F102" s="390">
        <f t="shared" si="5"/>
        <v>61887.434999999998</v>
      </c>
      <c r="G102" s="390">
        <f>Ecrêtage!M96</f>
        <v>0</v>
      </c>
      <c r="H102" s="391">
        <f t="shared" si="6"/>
        <v>262584.90193113062</v>
      </c>
      <c r="I102" s="245">
        <f t="shared" si="7"/>
        <v>324472.33693113062</v>
      </c>
    </row>
    <row r="103" spans="1:9" s="35" customFormat="1" x14ac:dyDescent="0.25">
      <c r="A103" s="38">
        <f>Données!A97</f>
        <v>5560</v>
      </c>
      <c r="B103" s="421" t="str">
        <f>Données!B97</f>
        <v>Grandevent</v>
      </c>
      <c r="C103" s="31">
        <f>VPI!R97</f>
        <v>8996.1019718309853</v>
      </c>
      <c r="D103" s="8">
        <f>Données!N97</f>
        <v>0</v>
      </c>
      <c r="E103" s="174">
        <f>Données!O97+Données!P97+Données!R97</f>
        <v>53297</v>
      </c>
      <c r="F103" s="390">
        <f t="shared" si="5"/>
        <v>26648.5</v>
      </c>
      <c r="G103" s="390">
        <f>Ecrêtage!M97</f>
        <v>0</v>
      </c>
      <c r="H103" s="391">
        <f t="shared" si="6"/>
        <v>112436.43736625719</v>
      </c>
      <c r="I103" s="245">
        <f t="shared" si="7"/>
        <v>139084.93736625719</v>
      </c>
    </row>
    <row r="104" spans="1:9" s="35" customFormat="1" x14ac:dyDescent="0.25">
      <c r="A104" s="38">
        <f>Données!A98</f>
        <v>5561</v>
      </c>
      <c r="B104" s="421" t="str">
        <f>Données!B98</f>
        <v>Grandson</v>
      </c>
      <c r="C104" s="31">
        <f>VPI!R98</f>
        <v>132373.10913043478</v>
      </c>
      <c r="D104" s="8">
        <f>Données!N98</f>
        <v>389122</v>
      </c>
      <c r="E104" s="174">
        <f>Données!O98+Données!P98+Données!R98</f>
        <v>649969.55000000005</v>
      </c>
      <c r="F104" s="390">
        <f t="shared" si="5"/>
        <v>441721.375</v>
      </c>
      <c r="G104" s="390">
        <f>Ecrêtage!M98</f>
        <v>0</v>
      </c>
      <c r="H104" s="391">
        <f t="shared" si="6"/>
        <v>1654445.5410048661</v>
      </c>
      <c r="I104" s="245">
        <f t="shared" si="7"/>
        <v>2096166.9160048661</v>
      </c>
    </row>
    <row r="105" spans="1:9" s="35" customFormat="1" x14ac:dyDescent="0.25">
      <c r="A105" s="38">
        <f>Données!A99</f>
        <v>5562</v>
      </c>
      <c r="B105" s="421" t="str">
        <f>Données!B99</f>
        <v>Mauborget</v>
      </c>
      <c r="C105" s="31">
        <f>VPI!R99</f>
        <v>4559.8122619047608</v>
      </c>
      <c r="D105" s="8">
        <f>Données!N99</f>
        <v>0</v>
      </c>
      <c r="E105" s="174">
        <f>Données!O99+Données!P99+Données!R99</f>
        <v>8098</v>
      </c>
      <c r="F105" s="390">
        <f t="shared" si="5"/>
        <v>4049</v>
      </c>
      <c r="G105" s="390">
        <f>Ecrêtage!M99</f>
        <v>0</v>
      </c>
      <c r="H105" s="391">
        <f t="shared" si="6"/>
        <v>56990.132770048855</v>
      </c>
      <c r="I105" s="245">
        <f t="shared" si="7"/>
        <v>61039.132770048855</v>
      </c>
    </row>
    <row r="106" spans="1:9" s="35" customFormat="1" x14ac:dyDescent="0.25">
      <c r="A106" s="38">
        <f>Données!A100</f>
        <v>5563</v>
      </c>
      <c r="B106" s="421" t="str">
        <f>Données!B100</f>
        <v>Mutrux</v>
      </c>
      <c r="C106" s="31">
        <f>VPI!R100</f>
        <v>2282.0827499999996</v>
      </c>
      <c r="D106" s="8">
        <f>Données!N100</f>
        <v>0</v>
      </c>
      <c r="E106" s="174">
        <f>Données!O100+Données!P100+Données!R100</f>
        <v>61694.75</v>
      </c>
      <c r="F106" s="390">
        <f t="shared" si="5"/>
        <v>30847.375</v>
      </c>
      <c r="G106" s="390">
        <f>Ecrêtage!M100</f>
        <v>0</v>
      </c>
      <c r="H106" s="391">
        <f t="shared" si="6"/>
        <v>28522.270533219296</v>
      </c>
      <c r="I106" s="245">
        <f t="shared" si="7"/>
        <v>59369.6455332193</v>
      </c>
    </row>
    <row r="107" spans="1:9" s="35" customFormat="1" x14ac:dyDescent="0.25">
      <c r="A107" s="38">
        <f>Données!A101</f>
        <v>5564</v>
      </c>
      <c r="B107" s="421" t="str">
        <f>Données!B101</f>
        <v>Novalles</v>
      </c>
      <c r="C107" s="31">
        <f>VPI!R101</f>
        <v>2548.8721381578953</v>
      </c>
      <c r="D107" s="8">
        <f>Données!N101</f>
        <v>0</v>
      </c>
      <c r="E107" s="174">
        <f>Données!O101+Données!P101+Données!R101</f>
        <v>0</v>
      </c>
      <c r="F107" s="390">
        <f t="shared" si="5"/>
        <v>0</v>
      </c>
      <c r="G107" s="390">
        <f>Ecrêtage!M101</f>
        <v>0</v>
      </c>
      <c r="H107" s="391">
        <f t="shared" si="6"/>
        <v>31856.697869139323</v>
      </c>
      <c r="I107" s="245">
        <f t="shared" si="7"/>
        <v>31856.697869139323</v>
      </c>
    </row>
    <row r="108" spans="1:9" s="35" customFormat="1" x14ac:dyDescent="0.25">
      <c r="A108" s="38">
        <f>Données!A102</f>
        <v>5565</v>
      </c>
      <c r="B108" s="421" t="str">
        <f>Données!B102</f>
        <v>Onnens</v>
      </c>
      <c r="C108" s="31">
        <f>VPI!R102</f>
        <v>19043.042992125989</v>
      </c>
      <c r="D108" s="8">
        <f>Données!N102</f>
        <v>33324.1</v>
      </c>
      <c r="E108" s="174">
        <f>Données!O102+Données!P102+Données!R102</f>
        <v>57305.7</v>
      </c>
      <c r="F108" s="390">
        <f t="shared" si="5"/>
        <v>38650.080000000002</v>
      </c>
      <c r="G108" s="390">
        <f>Ecrêtage!M102</f>
        <v>0</v>
      </c>
      <c r="H108" s="391">
        <f t="shared" si="6"/>
        <v>238006.62968822819</v>
      </c>
      <c r="I108" s="245">
        <f t="shared" si="7"/>
        <v>276656.70968822821</v>
      </c>
    </row>
    <row r="109" spans="1:9" s="35" customFormat="1" x14ac:dyDescent="0.25">
      <c r="A109" s="38">
        <f>Données!A103</f>
        <v>5566</v>
      </c>
      <c r="B109" s="421" t="str">
        <f>Données!B103</f>
        <v>Provence</v>
      </c>
      <c r="C109" s="31">
        <f>VPI!R103</f>
        <v>8528.7641152263368</v>
      </c>
      <c r="D109" s="8">
        <f>Données!N103</f>
        <v>14030.45</v>
      </c>
      <c r="E109" s="174">
        <f>Données!O103+Données!P103+Données!R103</f>
        <v>69454.150000000009</v>
      </c>
      <c r="F109" s="390">
        <f t="shared" si="5"/>
        <v>38936.210000000006</v>
      </c>
      <c r="G109" s="390">
        <f>Ecrêtage!M103</f>
        <v>0</v>
      </c>
      <c r="H109" s="391">
        <f t="shared" si="6"/>
        <v>106595.48493957912</v>
      </c>
      <c r="I109" s="245">
        <f t="shared" si="7"/>
        <v>145531.69493957912</v>
      </c>
    </row>
    <row r="110" spans="1:9" s="35" customFormat="1" x14ac:dyDescent="0.25">
      <c r="A110" s="38">
        <f>Données!A104</f>
        <v>5568</v>
      </c>
      <c r="B110" s="421" t="str">
        <f>Données!B104</f>
        <v>Sainte-Croix</v>
      </c>
      <c r="C110" s="31">
        <f>VPI!R104</f>
        <v>106003.06099999999</v>
      </c>
      <c r="D110" s="8">
        <f>Données!N104</f>
        <v>2185427.75</v>
      </c>
      <c r="E110" s="174">
        <f>Données!O104+Données!P104+Données!R104</f>
        <v>841506.4</v>
      </c>
      <c r="F110" s="390">
        <f t="shared" si="5"/>
        <v>1076381.5249999999</v>
      </c>
      <c r="G110" s="390">
        <f>Ecrêtage!M104</f>
        <v>0</v>
      </c>
      <c r="H110" s="391">
        <f t="shared" si="6"/>
        <v>1324863.4315260248</v>
      </c>
      <c r="I110" s="245">
        <f t="shared" si="7"/>
        <v>2401244.9565260247</v>
      </c>
    </row>
    <row r="111" spans="1:9" s="35" customFormat="1" x14ac:dyDescent="0.25">
      <c r="A111" s="38">
        <f>Données!A105</f>
        <v>5571</v>
      </c>
      <c r="B111" s="421" t="str">
        <f>Données!B105</f>
        <v>Tévenon</v>
      </c>
      <c r="C111" s="31">
        <f>VPI!R105</f>
        <v>25906.923962703961</v>
      </c>
      <c r="D111" s="8">
        <f>Données!N105</f>
        <v>51701.55</v>
      </c>
      <c r="E111" s="174">
        <f>Données!O105+Données!P105+Données!R105</f>
        <v>82478.75</v>
      </c>
      <c r="F111" s="390">
        <f t="shared" si="5"/>
        <v>56749.84</v>
      </c>
      <c r="G111" s="390">
        <f>Ecrêtage!M105</f>
        <v>0</v>
      </c>
      <c r="H111" s="391">
        <f t="shared" si="6"/>
        <v>323793.82121344382</v>
      </c>
      <c r="I111" s="245">
        <f t="shared" si="7"/>
        <v>380543.66121344385</v>
      </c>
    </row>
    <row r="112" spans="1:9" s="35" customFormat="1" x14ac:dyDescent="0.25">
      <c r="A112" s="38">
        <f>Données!A106</f>
        <v>5581</v>
      </c>
      <c r="B112" s="421" t="str">
        <f>Données!B106</f>
        <v>Belmont-sur-Lausanne</v>
      </c>
      <c r="C112" s="31">
        <f>VPI!R106</f>
        <v>233667.07055555552</v>
      </c>
      <c r="D112" s="8">
        <f>Données!N106</f>
        <v>7195.2</v>
      </c>
      <c r="E112" s="174">
        <f>Données!O106+Données!P106+Données!R106</f>
        <v>1234613.1500000001</v>
      </c>
      <c r="F112" s="390">
        <f t="shared" si="5"/>
        <v>619465.13500000013</v>
      </c>
      <c r="G112" s="390">
        <f>Ecrêtage!M106</f>
        <v>814048.02574794251</v>
      </c>
      <c r="H112" s="391">
        <f t="shared" si="6"/>
        <v>2920452.9945684029</v>
      </c>
      <c r="I112" s="245">
        <f t="shared" si="7"/>
        <v>4353966.1553163454</v>
      </c>
    </row>
    <row r="113" spans="1:9" s="35" customFormat="1" x14ac:dyDescent="0.25">
      <c r="A113" s="38">
        <f>Données!A107</f>
        <v>5582</v>
      </c>
      <c r="B113" s="421" t="str">
        <f>Données!B107</f>
        <v>Cheseaux-sur-Lausanne</v>
      </c>
      <c r="C113" s="31">
        <f>VPI!R107</f>
        <v>170421.56630136984</v>
      </c>
      <c r="D113" s="8">
        <f>Données!N107</f>
        <v>473500.2</v>
      </c>
      <c r="E113" s="174">
        <f>Données!O107+Données!P107+Données!R107</f>
        <v>607803.44999999995</v>
      </c>
      <c r="F113" s="390">
        <f t="shared" si="5"/>
        <v>445951.78499999997</v>
      </c>
      <c r="G113" s="390">
        <f>Ecrêtage!M107</f>
        <v>0</v>
      </c>
      <c r="H113" s="391">
        <f t="shared" si="6"/>
        <v>2129988.5022761072</v>
      </c>
      <c r="I113" s="245">
        <f t="shared" si="7"/>
        <v>2575940.2872761074</v>
      </c>
    </row>
    <row r="114" spans="1:9" s="35" customFormat="1" x14ac:dyDescent="0.25">
      <c r="A114" s="38">
        <f>Données!A108</f>
        <v>5583</v>
      </c>
      <c r="B114" s="421" t="str">
        <f>Données!B108</f>
        <v>Crissier</v>
      </c>
      <c r="C114" s="31">
        <f>VPI!R108</f>
        <v>340450.32850393705</v>
      </c>
      <c r="D114" s="8">
        <f>Données!N108</f>
        <v>2567265.7999999998</v>
      </c>
      <c r="E114" s="174">
        <f>Données!O108+Données!P108+Données!R108</f>
        <v>2876619.5</v>
      </c>
      <c r="F114" s="390">
        <f t="shared" si="5"/>
        <v>2208489.4899999998</v>
      </c>
      <c r="G114" s="390">
        <f>Ecrêtage!M108</f>
        <v>0</v>
      </c>
      <c r="H114" s="391">
        <f t="shared" si="6"/>
        <v>4255067.6011694474</v>
      </c>
      <c r="I114" s="245">
        <f t="shared" si="7"/>
        <v>6463557.0911694467</v>
      </c>
    </row>
    <row r="115" spans="1:9" s="35" customFormat="1" x14ac:dyDescent="0.25">
      <c r="A115" s="38">
        <f>Données!A109</f>
        <v>5584</v>
      </c>
      <c r="B115" s="421" t="str">
        <f>Données!B109</f>
        <v>Epalinges</v>
      </c>
      <c r="C115" s="31">
        <f>VPI!R109</f>
        <v>489743.06325581396</v>
      </c>
      <c r="D115" s="8">
        <f>Données!N109</f>
        <v>351357.3</v>
      </c>
      <c r="E115" s="174">
        <f>Données!O109+Données!P109+Données!R109</f>
        <v>4706387.9000000004</v>
      </c>
      <c r="F115" s="390">
        <f t="shared" si="5"/>
        <v>2458601.14</v>
      </c>
      <c r="G115" s="390">
        <f>Ecrêtage!M109</f>
        <v>245581.79073775772</v>
      </c>
      <c r="H115" s="391">
        <f t="shared" si="6"/>
        <v>6120980.5568837756</v>
      </c>
      <c r="I115" s="245">
        <f t="shared" si="7"/>
        <v>8825163.4876215328</v>
      </c>
    </row>
    <row r="116" spans="1:9" s="35" customFormat="1" x14ac:dyDescent="0.25">
      <c r="A116" s="38">
        <f>Données!A110</f>
        <v>5585</v>
      </c>
      <c r="B116" s="421" t="str">
        <f>Données!B110</f>
        <v>Jouxtens-Mézery</v>
      </c>
      <c r="C116" s="31">
        <f>VPI!R110</f>
        <v>210572.62440677959</v>
      </c>
      <c r="D116" s="8">
        <f>Données!N110</f>
        <v>770.1</v>
      </c>
      <c r="E116" s="174">
        <f>Données!O110+Données!P110+Données!R110</f>
        <v>735313.55</v>
      </c>
      <c r="F116" s="390">
        <f t="shared" si="5"/>
        <v>367887.80500000005</v>
      </c>
      <c r="G116" s="390">
        <f>Ecrêtage!M110</f>
        <v>3431732.4731698744</v>
      </c>
      <c r="H116" s="391">
        <f t="shared" si="6"/>
        <v>2631810.5074060722</v>
      </c>
      <c r="I116" s="245">
        <f t="shared" si="7"/>
        <v>6431430.7855759468</v>
      </c>
    </row>
    <row r="117" spans="1:9" s="35" customFormat="1" x14ac:dyDescent="0.25">
      <c r="A117" s="38">
        <f>Données!A111</f>
        <v>5586</v>
      </c>
      <c r="B117" s="421" t="str">
        <f>Données!B111</f>
        <v>Lausanne</v>
      </c>
      <c r="C117" s="31">
        <f>VPI!R111</f>
        <v>6670835.0290021216</v>
      </c>
      <c r="D117" s="8">
        <f>Données!N111</f>
        <v>13587309.25</v>
      </c>
      <c r="E117" s="174">
        <f>Données!O111+Données!P111+Données!R111</f>
        <v>38255611.700000003</v>
      </c>
      <c r="F117" s="390">
        <f t="shared" si="5"/>
        <v>23203998.625</v>
      </c>
      <c r="G117" s="390">
        <f>Ecrêtage!M111</f>
        <v>0</v>
      </c>
      <c r="H117" s="391">
        <f t="shared" si="6"/>
        <v>83374435.646417439</v>
      </c>
      <c r="I117" s="245">
        <f t="shared" si="7"/>
        <v>106578434.27141744</v>
      </c>
    </row>
    <row r="118" spans="1:9" s="35" customFormat="1" x14ac:dyDescent="0.25">
      <c r="A118" s="38">
        <f>Données!A112</f>
        <v>5587</v>
      </c>
      <c r="B118" s="421" t="str">
        <f>Données!B112</f>
        <v>Le Mont-sur-Lausanne</v>
      </c>
      <c r="C118" s="31">
        <f>VPI!R112</f>
        <v>484022.6825170067</v>
      </c>
      <c r="D118" s="8">
        <f>Données!N112</f>
        <v>464624.55</v>
      </c>
      <c r="E118" s="174">
        <f>Données!O112+Données!P112+Données!R112</f>
        <v>4417103.9499999993</v>
      </c>
      <c r="F118" s="390">
        <f t="shared" si="5"/>
        <v>2347939.34</v>
      </c>
      <c r="G118" s="390">
        <f>Ecrêtage!M112</f>
        <v>567609.74910298665</v>
      </c>
      <c r="H118" s="391">
        <f t="shared" si="6"/>
        <v>6049485.2322794087</v>
      </c>
      <c r="I118" s="245">
        <f t="shared" si="7"/>
        <v>8965034.3213823959</v>
      </c>
    </row>
    <row r="119" spans="1:9" s="35" customFormat="1" x14ac:dyDescent="0.25">
      <c r="A119" s="38">
        <f>Données!A113</f>
        <v>5588</v>
      </c>
      <c r="B119" s="421" t="str">
        <f>Données!B113</f>
        <v>Paudex</v>
      </c>
      <c r="C119" s="31">
        <f>VPI!R113</f>
        <v>137544.82844253487</v>
      </c>
      <c r="D119" s="8">
        <f>Données!N113</f>
        <v>15604.6</v>
      </c>
      <c r="E119" s="174">
        <f>Données!O113+Données!P113+Données!R113</f>
        <v>578630.35</v>
      </c>
      <c r="F119" s="390">
        <f t="shared" si="5"/>
        <v>293996.55499999999</v>
      </c>
      <c r="G119" s="390">
        <f>Ecrêtage!M113</f>
        <v>1337729.9891188319</v>
      </c>
      <c r="H119" s="391">
        <f t="shared" si="6"/>
        <v>1719083.5026833345</v>
      </c>
      <c r="I119" s="245">
        <f t="shared" si="7"/>
        <v>3350810.0468021664</v>
      </c>
    </row>
    <row r="120" spans="1:9" s="35" customFormat="1" x14ac:dyDescent="0.25">
      <c r="A120" s="38">
        <f>Données!A114</f>
        <v>5589</v>
      </c>
      <c r="B120" s="421" t="str">
        <f>Données!B114</f>
        <v>Prilly</v>
      </c>
      <c r="C120" s="31">
        <f>VPI!R114</f>
        <v>404173.00015915121</v>
      </c>
      <c r="D120" s="8">
        <f>Données!N114</f>
        <v>1184545.2</v>
      </c>
      <c r="E120" s="174">
        <f>Données!O114+Données!P114+Données!R114</f>
        <v>2778237.25</v>
      </c>
      <c r="F120" s="390">
        <f t="shared" si="5"/>
        <v>1744482.1850000001</v>
      </c>
      <c r="G120" s="390">
        <f>Ecrêtage!M114</f>
        <v>0</v>
      </c>
      <c r="H120" s="391">
        <f t="shared" si="6"/>
        <v>5051495.8989818394</v>
      </c>
      <c r="I120" s="245">
        <f t="shared" si="7"/>
        <v>6795978.0839818399</v>
      </c>
    </row>
    <row r="121" spans="1:9" s="35" customFormat="1" x14ac:dyDescent="0.25">
      <c r="A121" s="38">
        <f>Données!A115</f>
        <v>5590</v>
      </c>
      <c r="B121" s="421" t="str">
        <f>Données!B115</f>
        <v>Pully</v>
      </c>
      <c r="C121" s="31">
        <f>VPI!R115</f>
        <v>1396409.3683606556</v>
      </c>
      <c r="D121" s="8">
        <f>Données!N115</f>
        <v>201845.05</v>
      </c>
      <c r="E121" s="174">
        <f>Données!O115+Données!P115+Données!R115</f>
        <v>8769257.1000000015</v>
      </c>
      <c r="F121" s="390">
        <f t="shared" si="5"/>
        <v>4445182.0650000004</v>
      </c>
      <c r="G121" s="390">
        <f>Ecrêtage!M115</f>
        <v>7968062.9014219539</v>
      </c>
      <c r="H121" s="391">
        <f t="shared" si="6"/>
        <v>17452814.004884135</v>
      </c>
      <c r="I121" s="245">
        <f t="shared" si="7"/>
        <v>29866058.971306089</v>
      </c>
    </row>
    <row r="122" spans="1:9" s="35" customFormat="1" x14ac:dyDescent="0.25">
      <c r="A122" s="38">
        <f>Données!A116</f>
        <v>5591</v>
      </c>
      <c r="B122" s="421" t="str">
        <f>Données!B116</f>
        <v>Renens</v>
      </c>
      <c r="C122" s="31">
        <f>VPI!R116</f>
        <v>592837.71432282007</v>
      </c>
      <c r="D122" s="8">
        <f>Données!N116</f>
        <v>2707366.5</v>
      </c>
      <c r="E122" s="174">
        <f>Données!O116+Données!P116+Données!R116</f>
        <v>4271756.75</v>
      </c>
      <c r="F122" s="390">
        <f t="shared" si="5"/>
        <v>2948088.3250000002</v>
      </c>
      <c r="G122" s="390">
        <f>Ecrêtage!M116</f>
        <v>0</v>
      </c>
      <c r="H122" s="391">
        <f t="shared" si="6"/>
        <v>7409493.6610913221</v>
      </c>
      <c r="I122" s="245">
        <f t="shared" si="7"/>
        <v>10357581.986091323</v>
      </c>
    </row>
    <row r="123" spans="1:9" s="35" customFormat="1" x14ac:dyDescent="0.25">
      <c r="A123" s="38">
        <f>Données!A117</f>
        <v>5592</v>
      </c>
      <c r="B123" s="421" t="str">
        <f>Données!B117</f>
        <v>Romanel-sur-Lausanne</v>
      </c>
      <c r="C123" s="31">
        <f>VPI!R117</f>
        <v>113600.3384397163</v>
      </c>
      <c r="D123" s="8">
        <f>Données!N117</f>
        <v>267061.65000000002</v>
      </c>
      <c r="E123" s="174">
        <f>Données!O117+Données!P117+Données!R117</f>
        <v>1407768.5</v>
      </c>
      <c r="F123" s="390">
        <f t="shared" si="5"/>
        <v>784002.745</v>
      </c>
      <c r="G123" s="390">
        <f>Ecrêtage!M117</f>
        <v>0</v>
      </c>
      <c r="H123" s="391">
        <f t="shared" si="6"/>
        <v>1419816.8693238052</v>
      </c>
      <c r="I123" s="245">
        <f t="shared" si="7"/>
        <v>2203819.6143238051</v>
      </c>
    </row>
    <row r="124" spans="1:9" s="35" customFormat="1" x14ac:dyDescent="0.25">
      <c r="A124" s="38">
        <f>Données!A118</f>
        <v>5601</v>
      </c>
      <c r="B124" s="421" t="str">
        <f>Données!B118</f>
        <v>Chexbres</v>
      </c>
      <c r="C124" s="31">
        <f>VPI!R118</f>
        <v>106014.1851851852</v>
      </c>
      <c r="D124" s="8">
        <f>Données!N118</f>
        <v>66937.55</v>
      </c>
      <c r="E124" s="174">
        <f>Données!O118+Données!P118+Données!R118</f>
        <v>879301.3</v>
      </c>
      <c r="F124" s="390">
        <f t="shared" si="5"/>
        <v>459731.91500000004</v>
      </c>
      <c r="G124" s="390">
        <f>Ecrêtage!M118</f>
        <v>5707.7495496560014</v>
      </c>
      <c r="H124" s="391">
        <f t="shared" si="6"/>
        <v>1325002.4654937082</v>
      </c>
      <c r="I124" s="245">
        <f t="shared" si="7"/>
        <v>1790442.1300433641</v>
      </c>
    </row>
    <row r="125" spans="1:9" s="35" customFormat="1" x14ac:dyDescent="0.25">
      <c r="A125" s="38">
        <f>Données!A119</f>
        <v>5604</v>
      </c>
      <c r="B125" s="421" t="str">
        <f>Données!B119</f>
        <v>Forel (Lavaux)</v>
      </c>
      <c r="C125" s="31">
        <f>VPI!R119</f>
        <v>70958.245217391304</v>
      </c>
      <c r="D125" s="8">
        <f>Données!N119</f>
        <v>123228.75</v>
      </c>
      <c r="E125" s="174">
        <f>Données!O119+Données!P119+Données!R119</f>
        <v>382898.5</v>
      </c>
      <c r="F125" s="390">
        <f t="shared" si="5"/>
        <v>228417.875</v>
      </c>
      <c r="G125" s="390">
        <f>Ecrêtage!M119</f>
        <v>0</v>
      </c>
      <c r="H125" s="391">
        <f t="shared" si="6"/>
        <v>886861.0336995665</v>
      </c>
      <c r="I125" s="245">
        <f t="shared" si="7"/>
        <v>1115278.9086995665</v>
      </c>
    </row>
    <row r="126" spans="1:9" s="35" customFormat="1" x14ac:dyDescent="0.25">
      <c r="A126" s="38">
        <f>Données!A120</f>
        <v>5606</v>
      </c>
      <c r="B126" s="421" t="str">
        <f>Données!B120</f>
        <v>Lutry</v>
      </c>
      <c r="C126" s="31">
        <f>VPI!R120</f>
        <v>1017485.9645767196</v>
      </c>
      <c r="D126" s="8">
        <f>Données!N120</f>
        <v>156322.04999999999</v>
      </c>
      <c r="E126" s="174">
        <f>Données!O120+Données!P120+Données!R120</f>
        <v>6355844.6500000004</v>
      </c>
      <c r="F126" s="390">
        <f t="shared" si="5"/>
        <v>3224818.9400000004</v>
      </c>
      <c r="G126" s="390">
        <f>Ecrêtage!M120</f>
        <v>8951440.0531329457</v>
      </c>
      <c r="H126" s="391">
        <f t="shared" si="6"/>
        <v>12716896.416403299</v>
      </c>
      <c r="I126" s="245">
        <f t="shared" si="7"/>
        <v>24893155.409536242</v>
      </c>
    </row>
    <row r="127" spans="1:9" s="35" customFormat="1" x14ac:dyDescent="0.25">
      <c r="A127" s="38">
        <f>Données!A121</f>
        <v>5607</v>
      </c>
      <c r="B127" s="421" t="str">
        <f>Données!B121</f>
        <v>Puidoux</v>
      </c>
      <c r="C127" s="31">
        <f>VPI!R121</f>
        <v>117488.86391621709</v>
      </c>
      <c r="D127" s="8">
        <f>Données!N121</f>
        <v>235821.95</v>
      </c>
      <c r="E127" s="174">
        <f>Données!O121+Données!P121+Données!R121</f>
        <v>1212441.5999999999</v>
      </c>
      <c r="F127" s="390">
        <f t="shared" si="5"/>
        <v>676967.38499999989</v>
      </c>
      <c r="G127" s="390">
        <f>Ecrêtage!M121</f>
        <v>0</v>
      </c>
      <c r="H127" s="391">
        <f t="shared" si="6"/>
        <v>1468417.0244303942</v>
      </c>
      <c r="I127" s="245">
        <f t="shared" si="7"/>
        <v>2145384.4094303939</v>
      </c>
    </row>
    <row r="128" spans="1:9" s="35" customFormat="1" x14ac:dyDescent="0.25">
      <c r="A128" s="38">
        <f>Données!A122</f>
        <v>5609</v>
      </c>
      <c r="B128" s="421" t="str">
        <f>Données!B122</f>
        <v>Rivaz</v>
      </c>
      <c r="C128" s="31">
        <f>VPI!R122</f>
        <v>14930.074677419358</v>
      </c>
      <c r="D128" s="8">
        <f>Données!N122</f>
        <v>0</v>
      </c>
      <c r="E128" s="174">
        <f>Données!O122+Données!P122+Données!R122</f>
        <v>141174.34999999998</v>
      </c>
      <c r="F128" s="390">
        <f t="shared" si="5"/>
        <v>70587.174999999988</v>
      </c>
      <c r="G128" s="390">
        <f>Ecrêtage!M122</f>
        <v>0</v>
      </c>
      <c r="H128" s="391">
        <f t="shared" si="6"/>
        <v>186601.30927790492</v>
      </c>
      <c r="I128" s="245">
        <f t="shared" si="7"/>
        <v>257188.48427790491</v>
      </c>
    </row>
    <row r="129" spans="1:9" s="35" customFormat="1" x14ac:dyDescent="0.25">
      <c r="A129" s="38">
        <f>Données!A123</f>
        <v>5610</v>
      </c>
      <c r="B129" s="421" t="str">
        <f>Données!B123</f>
        <v>St-Saphorin (Lavaux)</v>
      </c>
      <c r="C129" s="31">
        <f>VPI!R123</f>
        <v>21326.365740740741</v>
      </c>
      <c r="D129" s="8">
        <f>Données!N123</f>
        <v>0</v>
      </c>
      <c r="E129" s="174">
        <f>Données!O123+Données!P123+Données!R123</f>
        <v>75011.350000000006</v>
      </c>
      <c r="F129" s="390">
        <f t="shared" si="5"/>
        <v>37505.675000000003</v>
      </c>
      <c r="G129" s="390">
        <f>Ecrêtage!M123</f>
        <v>29764.171116254864</v>
      </c>
      <c r="H129" s="391">
        <f t="shared" si="6"/>
        <v>266544.39815900067</v>
      </c>
      <c r="I129" s="245">
        <f t="shared" si="7"/>
        <v>333814.24427525554</v>
      </c>
    </row>
    <row r="130" spans="1:9" s="35" customFormat="1" x14ac:dyDescent="0.25">
      <c r="A130" s="38">
        <f>Données!A124</f>
        <v>5611</v>
      </c>
      <c r="B130" s="421" t="str">
        <f>Données!B124</f>
        <v>Savigny</v>
      </c>
      <c r="C130" s="31">
        <f>VPI!R124</f>
        <v>139625.83456521737</v>
      </c>
      <c r="D130" s="8">
        <f>Données!N124</f>
        <v>144819.9</v>
      </c>
      <c r="E130" s="174">
        <f>Données!O124+Données!P124+Données!R124</f>
        <v>825711.60000000009</v>
      </c>
      <c r="F130" s="390">
        <f t="shared" si="5"/>
        <v>456301.77</v>
      </c>
      <c r="G130" s="390">
        <f>Ecrêtage!M124</f>
        <v>0</v>
      </c>
      <c r="H130" s="391">
        <f t="shared" si="6"/>
        <v>1745092.6470110044</v>
      </c>
      <c r="I130" s="245">
        <f t="shared" si="7"/>
        <v>2201394.4170110044</v>
      </c>
    </row>
    <row r="131" spans="1:9" s="35" customFormat="1" x14ac:dyDescent="0.25">
      <c r="A131" s="38">
        <f>Données!A125</f>
        <v>5613</v>
      </c>
      <c r="B131" s="421" t="str">
        <f>Données!B125</f>
        <v>Bourg-en-Lavaux</v>
      </c>
      <c r="C131" s="31">
        <f>VPI!R125</f>
        <v>367203.96533333336</v>
      </c>
      <c r="D131" s="8">
        <f>Données!N125</f>
        <v>47430.1</v>
      </c>
      <c r="E131" s="174">
        <f>Données!O125+Données!P125+Données!R125</f>
        <v>2353656.0499999998</v>
      </c>
      <c r="F131" s="390">
        <f t="shared" si="5"/>
        <v>1191057.0549999999</v>
      </c>
      <c r="G131" s="390">
        <f>Ecrêtage!M125</f>
        <v>1721444.6321960718</v>
      </c>
      <c r="H131" s="391">
        <f t="shared" si="6"/>
        <v>4589443.9367320118</v>
      </c>
      <c r="I131" s="245">
        <f t="shared" si="7"/>
        <v>7501945.6239280831</v>
      </c>
    </row>
    <row r="132" spans="1:9" s="35" customFormat="1" x14ac:dyDescent="0.25">
      <c r="A132" s="38">
        <f>Données!A126</f>
        <v>5621</v>
      </c>
      <c r="B132" s="421" t="str">
        <f>Données!B126</f>
        <v>Aclens</v>
      </c>
      <c r="C132" s="31">
        <f>VPI!R126</f>
        <v>39195.040043988265</v>
      </c>
      <c r="D132" s="8">
        <f>Données!N126</f>
        <v>263613.5</v>
      </c>
      <c r="E132" s="174">
        <f>Données!O126+Données!P126+Données!R126</f>
        <v>183816.05</v>
      </c>
      <c r="F132" s="390">
        <f t="shared" si="5"/>
        <v>170992.07500000001</v>
      </c>
      <c r="G132" s="390">
        <f>Ecrêtage!M126</f>
        <v>199591.37094654428</v>
      </c>
      <c r="H132" s="391">
        <f t="shared" si="6"/>
        <v>489873.35612391663</v>
      </c>
      <c r="I132" s="245">
        <f t="shared" si="7"/>
        <v>860456.80207046098</v>
      </c>
    </row>
    <row r="133" spans="1:9" s="35" customFormat="1" x14ac:dyDescent="0.25">
      <c r="A133" s="38">
        <f>Données!A127</f>
        <v>5622</v>
      </c>
      <c r="B133" s="421" t="str">
        <f>Données!B127</f>
        <v>Bremblens</v>
      </c>
      <c r="C133" s="31">
        <f>VPI!R127</f>
        <v>30851.898676470591</v>
      </c>
      <c r="D133" s="8">
        <f>Données!N127</f>
        <v>29179.1</v>
      </c>
      <c r="E133" s="174">
        <f>Données!O127+Données!P127+Données!R127</f>
        <v>298422.30000000005</v>
      </c>
      <c r="F133" s="390">
        <f t="shared" si="5"/>
        <v>157964.88000000003</v>
      </c>
      <c r="G133" s="390">
        <f>Ecrêtage!M127</f>
        <v>26042.307860747958</v>
      </c>
      <c r="H133" s="391">
        <f t="shared" si="6"/>
        <v>385597.84938287828</v>
      </c>
      <c r="I133" s="245">
        <f t="shared" si="7"/>
        <v>569605.0372436262</v>
      </c>
    </row>
    <row r="134" spans="1:9" s="35" customFormat="1" x14ac:dyDescent="0.25">
      <c r="A134" s="38">
        <f>Données!A128</f>
        <v>5623</v>
      </c>
      <c r="B134" s="421" t="str">
        <f>Données!B128</f>
        <v>Buchillon</v>
      </c>
      <c r="C134" s="31">
        <f>VPI!R128</f>
        <v>88400.607692307691</v>
      </c>
      <c r="D134" s="8">
        <f>Données!N128</f>
        <v>3341.85</v>
      </c>
      <c r="E134" s="174">
        <f>Données!O128+Données!P128+Données!R128</f>
        <v>179221.7</v>
      </c>
      <c r="F134" s="390">
        <f t="shared" si="5"/>
        <v>90613.404999999999</v>
      </c>
      <c r="G134" s="390">
        <f>Ecrêtage!M128</f>
        <v>1180086.0934055154</v>
      </c>
      <c r="H134" s="391">
        <f t="shared" si="6"/>
        <v>1104861.7969269464</v>
      </c>
      <c r="I134" s="245">
        <f t="shared" si="7"/>
        <v>2375561.2953324616</v>
      </c>
    </row>
    <row r="135" spans="1:9" s="35" customFormat="1" x14ac:dyDescent="0.25">
      <c r="A135" s="38">
        <f>Données!A129</f>
        <v>5624</v>
      </c>
      <c r="B135" s="421" t="str">
        <f>Données!B129</f>
        <v>Bussigny</v>
      </c>
      <c r="C135" s="31">
        <f>VPI!R129</f>
        <v>394274.86895999993</v>
      </c>
      <c r="D135" s="8">
        <f>Données!N129</f>
        <v>1175452</v>
      </c>
      <c r="E135" s="174">
        <f>Données!O129+Données!P129+Données!R129</f>
        <v>2365453.9</v>
      </c>
      <c r="F135" s="390">
        <f t="shared" si="5"/>
        <v>1535362.5499999998</v>
      </c>
      <c r="G135" s="390">
        <f>Ecrêtage!M129</f>
        <v>0</v>
      </c>
      <c r="H135" s="391">
        <f t="shared" si="6"/>
        <v>4927785.5839919513</v>
      </c>
      <c r="I135" s="245">
        <f t="shared" si="7"/>
        <v>6463148.1339919511</v>
      </c>
    </row>
    <row r="136" spans="1:9" s="35" customFormat="1" x14ac:dyDescent="0.25">
      <c r="A136" s="38">
        <f>Données!A130</f>
        <v>5627</v>
      </c>
      <c r="B136" s="421" t="str">
        <f>Données!B130</f>
        <v>Chavannes-près-Renens</v>
      </c>
      <c r="C136" s="31">
        <f>VPI!R130</f>
        <v>188678.11200000002</v>
      </c>
      <c r="D136" s="8">
        <f>Données!N130</f>
        <v>448239.95</v>
      </c>
      <c r="E136" s="174">
        <f>Données!O130+Données!P130+Données!R130</f>
        <v>1715907.75</v>
      </c>
      <c r="F136" s="390">
        <f t="shared" si="5"/>
        <v>992425.86</v>
      </c>
      <c r="G136" s="390">
        <f>Ecrêtage!M130</f>
        <v>0</v>
      </c>
      <c r="H136" s="391">
        <f t="shared" si="6"/>
        <v>2358165.2129665548</v>
      </c>
      <c r="I136" s="245">
        <f t="shared" si="7"/>
        <v>3350591.0729665547</v>
      </c>
    </row>
    <row r="137" spans="1:9" s="35" customFormat="1" x14ac:dyDescent="0.25">
      <c r="A137" s="38">
        <f>Données!A131</f>
        <v>5628</v>
      </c>
      <c r="B137" s="421" t="str">
        <f>Données!B131</f>
        <v>Chigny</v>
      </c>
      <c r="C137" s="31">
        <f>VPI!R131</f>
        <v>27627.246129032257</v>
      </c>
      <c r="D137" s="8">
        <f>Données!N131</f>
        <v>811.3</v>
      </c>
      <c r="E137" s="174">
        <f>Données!O131+Données!P131+Données!R131</f>
        <v>197242.8</v>
      </c>
      <c r="F137" s="390">
        <f t="shared" si="5"/>
        <v>98864.79</v>
      </c>
      <c r="G137" s="390">
        <f>Ecrêtage!M131</f>
        <v>115601.35492600341</v>
      </c>
      <c r="H137" s="391">
        <f t="shared" si="6"/>
        <v>345295.01096316235</v>
      </c>
      <c r="I137" s="245">
        <f t="shared" si="7"/>
        <v>559761.1558891657</v>
      </c>
    </row>
    <row r="138" spans="1:9" s="35" customFormat="1" x14ac:dyDescent="0.25">
      <c r="A138" s="38">
        <f>Données!A132</f>
        <v>5629</v>
      </c>
      <c r="B138" s="421" t="str">
        <f>Données!B132</f>
        <v>Clarmont</v>
      </c>
      <c r="C138" s="31">
        <f>VPI!R132</f>
        <v>9964.5079166666674</v>
      </c>
      <c r="D138" s="8">
        <f>Données!N132</f>
        <v>1329.8</v>
      </c>
      <c r="E138" s="174">
        <f>Données!O132+Données!P132+Données!R132</f>
        <v>31333.599999999999</v>
      </c>
      <c r="F138" s="390">
        <f t="shared" si="5"/>
        <v>16065.74</v>
      </c>
      <c r="G138" s="390">
        <f>Ecrêtage!M132</f>
        <v>0</v>
      </c>
      <c r="H138" s="391">
        <f t="shared" si="6"/>
        <v>124539.91448363216</v>
      </c>
      <c r="I138" s="245">
        <f t="shared" si="7"/>
        <v>140605.65448363216</v>
      </c>
    </row>
    <row r="139" spans="1:9" s="35" customFormat="1" x14ac:dyDescent="0.25">
      <c r="A139" s="38">
        <f>Données!A133</f>
        <v>5631</v>
      </c>
      <c r="B139" s="421" t="str">
        <f>Données!B133</f>
        <v>Denens</v>
      </c>
      <c r="C139" s="31">
        <f>VPI!R133</f>
        <v>41714.033529411769</v>
      </c>
      <c r="D139" s="8">
        <f>Données!N133</f>
        <v>1062.3</v>
      </c>
      <c r="E139" s="174">
        <f>Données!O133+Données!P133+Données!R133</f>
        <v>278743.65000000002</v>
      </c>
      <c r="F139" s="390">
        <f t="shared" si="5"/>
        <v>139690.51500000001</v>
      </c>
      <c r="G139" s="390">
        <f>Ecrêtage!M133</f>
        <v>105579.23072962853</v>
      </c>
      <c r="H139" s="391">
        <f t="shared" si="6"/>
        <v>521356.62011277338</v>
      </c>
      <c r="I139" s="245">
        <f t="shared" si="7"/>
        <v>766626.36584240198</v>
      </c>
    </row>
    <row r="140" spans="1:9" s="35" customFormat="1" x14ac:dyDescent="0.25">
      <c r="A140" s="38">
        <f>Données!A134</f>
        <v>5632</v>
      </c>
      <c r="B140" s="421" t="str">
        <f>Données!B134</f>
        <v>Denges</v>
      </c>
      <c r="C140" s="31">
        <f>VPI!R134</f>
        <v>81638.998870967742</v>
      </c>
      <c r="D140" s="8">
        <f>Données!N134</f>
        <v>124686.15</v>
      </c>
      <c r="E140" s="174">
        <f>Données!O134+Données!P134+Données!R134</f>
        <v>604003.39999999991</v>
      </c>
      <c r="F140" s="390">
        <f t="shared" si="5"/>
        <v>339407.54499999993</v>
      </c>
      <c r="G140" s="390">
        <f>Ecrêtage!M134</f>
        <v>0</v>
      </c>
      <c r="H140" s="391">
        <f t="shared" si="6"/>
        <v>1020352.8385896292</v>
      </c>
      <c r="I140" s="245">
        <f t="shared" si="7"/>
        <v>1359760.3835896291</v>
      </c>
    </row>
    <row r="141" spans="1:9" s="35" customFormat="1" x14ac:dyDescent="0.25">
      <c r="A141" s="38">
        <f>Données!A135</f>
        <v>5633</v>
      </c>
      <c r="B141" s="421" t="str">
        <f>Données!B135</f>
        <v>Echandens</v>
      </c>
      <c r="C141" s="31">
        <f>VPI!R135</f>
        <v>149828.14198347108</v>
      </c>
      <c r="D141" s="8">
        <f>Données!N135</f>
        <v>142644.15</v>
      </c>
      <c r="E141" s="174">
        <f>Données!O135+Données!P135+Données!R135</f>
        <v>1025344.8</v>
      </c>
      <c r="F141" s="390">
        <f t="shared" ref="F141:F204" si="8">D141*$D$11+E141*$E$11</f>
        <v>555465.64500000002</v>
      </c>
      <c r="G141" s="390">
        <f>Ecrêtage!M135</f>
        <v>137011.74530125246</v>
      </c>
      <c r="H141" s="391">
        <f t="shared" ref="H141:H204" si="9">$H$11*C141</f>
        <v>1872604.6630614751</v>
      </c>
      <c r="I141" s="245">
        <f t="shared" ref="I141:I204" si="10">F141+H141+G141</f>
        <v>2565082.0533627272</v>
      </c>
    </row>
    <row r="142" spans="1:9" s="35" customFormat="1" x14ac:dyDescent="0.25">
      <c r="A142" s="38">
        <f>Données!A136</f>
        <v>5634</v>
      </c>
      <c r="B142" s="421" t="str">
        <f>Données!B136</f>
        <v>Echichens</v>
      </c>
      <c r="C142" s="31">
        <f>VPI!R136</f>
        <v>183136.60893939398</v>
      </c>
      <c r="D142" s="8">
        <f>Données!N136</f>
        <v>61138.1</v>
      </c>
      <c r="E142" s="174">
        <f>Données!O136+Données!P136+Données!R136</f>
        <v>1804824.2</v>
      </c>
      <c r="F142" s="390">
        <f t="shared" si="8"/>
        <v>920753.53</v>
      </c>
      <c r="G142" s="390">
        <f>Ecrêtage!M136</f>
        <v>386771.59655387787</v>
      </c>
      <c r="H142" s="391">
        <f t="shared" si="9"/>
        <v>2288905.5643165363</v>
      </c>
      <c r="I142" s="245">
        <f t="shared" si="10"/>
        <v>3596430.6908704145</v>
      </c>
    </row>
    <row r="143" spans="1:9" s="35" customFormat="1" x14ac:dyDescent="0.25">
      <c r="A143" s="38">
        <f>Données!A137</f>
        <v>5635</v>
      </c>
      <c r="B143" s="421" t="str">
        <f>Données!B137</f>
        <v>Ecublens</v>
      </c>
      <c r="C143" s="31">
        <f>VPI!R137</f>
        <v>516098.45949333342</v>
      </c>
      <c r="D143" s="8">
        <f>Données!N137</f>
        <v>1479159.55</v>
      </c>
      <c r="E143" s="174">
        <f>Données!O137+Données!P137+Données!R137</f>
        <v>3687250.95</v>
      </c>
      <c r="F143" s="390">
        <f t="shared" si="8"/>
        <v>2287373.34</v>
      </c>
      <c r="G143" s="390">
        <f>Ecrêtage!M137</f>
        <v>0</v>
      </c>
      <c r="H143" s="391">
        <f t="shared" si="9"/>
        <v>6450379.5418665595</v>
      </c>
      <c r="I143" s="245">
        <f t="shared" si="10"/>
        <v>8737752.8818665594</v>
      </c>
    </row>
    <row r="144" spans="1:9" s="35" customFormat="1" x14ac:dyDescent="0.25">
      <c r="A144" s="38">
        <f>Données!A138</f>
        <v>5636</v>
      </c>
      <c r="B144" s="421" t="str">
        <f>Données!B138</f>
        <v>Etoy</v>
      </c>
      <c r="C144" s="31">
        <f>VPI!R138</f>
        <v>189426.47833333336</v>
      </c>
      <c r="D144" s="8">
        <f>Données!N138</f>
        <v>642974.15</v>
      </c>
      <c r="E144" s="174">
        <f>Données!O138+Données!P138+Données!R138</f>
        <v>1463388.75</v>
      </c>
      <c r="F144" s="390">
        <f t="shared" si="8"/>
        <v>924586.62</v>
      </c>
      <c r="G144" s="390">
        <f>Ecrêtage!M138</f>
        <v>707150.28851704928</v>
      </c>
      <c r="H144" s="391">
        <f t="shared" si="9"/>
        <v>2367518.5578517425</v>
      </c>
      <c r="I144" s="245">
        <f t="shared" si="10"/>
        <v>3999255.4663687916</v>
      </c>
    </row>
    <row r="145" spans="1:9" s="35" customFormat="1" x14ac:dyDescent="0.25">
      <c r="A145" s="38">
        <f>Données!A139</f>
        <v>5637</v>
      </c>
      <c r="B145" s="421" t="str">
        <f>Données!B139</f>
        <v>Lavigny</v>
      </c>
      <c r="C145" s="31">
        <f>VPI!R139</f>
        <v>36293.251369863014</v>
      </c>
      <c r="D145" s="8">
        <f>Données!N139</f>
        <v>298364.55</v>
      </c>
      <c r="E145" s="174">
        <f>Données!O139+Données!P139+Données!R139</f>
        <v>206884.7</v>
      </c>
      <c r="F145" s="390">
        <f t="shared" si="8"/>
        <v>192951.715</v>
      </c>
      <c r="G145" s="390">
        <f>Ecrêtage!M139</f>
        <v>0</v>
      </c>
      <c r="H145" s="391">
        <f t="shared" si="9"/>
        <v>453605.78362084588</v>
      </c>
      <c r="I145" s="245">
        <f t="shared" si="10"/>
        <v>646557.49862084584</v>
      </c>
    </row>
    <row r="146" spans="1:9" s="35" customFormat="1" x14ac:dyDescent="0.25">
      <c r="A146" s="38">
        <f>Données!A140</f>
        <v>5638</v>
      </c>
      <c r="B146" s="421" t="str">
        <f>Données!B140</f>
        <v>Lonay</v>
      </c>
      <c r="C146" s="31">
        <f>VPI!R140</f>
        <v>153885.49272727271</v>
      </c>
      <c r="D146" s="8">
        <f>Données!N140</f>
        <v>285838.84999999998</v>
      </c>
      <c r="E146" s="174">
        <f>Données!O140+Données!P140+Données!R140</f>
        <v>6123343.7000000002</v>
      </c>
      <c r="F146" s="390">
        <f t="shared" si="8"/>
        <v>3147423.5049999999</v>
      </c>
      <c r="G146" s="390">
        <f>Ecrêtage!M140</f>
        <v>283555.91563547048</v>
      </c>
      <c r="H146" s="391">
        <f t="shared" si="9"/>
        <v>1923314.8555656115</v>
      </c>
      <c r="I146" s="245">
        <f t="shared" si="10"/>
        <v>5354294.2762010815</v>
      </c>
    </row>
    <row r="147" spans="1:9" s="35" customFormat="1" x14ac:dyDescent="0.25">
      <c r="A147" s="38">
        <f>Données!A141</f>
        <v>5639</v>
      </c>
      <c r="B147" s="421" t="str">
        <f>Données!B141</f>
        <v>Lully</v>
      </c>
      <c r="C147" s="31">
        <f>VPI!R141</f>
        <v>52241.230983606554</v>
      </c>
      <c r="D147" s="8">
        <f>Données!N141</f>
        <v>18593.8</v>
      </c>
      <c r="E147" s="174">
        <f>Données!O141+Données!P141+Données!R141</f>
        <v>222885.05</v>
      </c>
      <c r="F147" s="390">
        <f t="shared" si="8"/>
        <v>117020.66499999999</v>
      </c>
      <c r="G147" s="390">
        <f>Ecrêtage!M141</f>
        <v>184488.3349837217</v>
      </c>
      <c r="H147" s="391">
        <f t="shared" si="9"/>
        <v>652929.22577098676</v>
      </c>
      <c r="I147" s="245">
        <f t="shared" si="10"/>
        <v>954438.22575470852</v>
      </c>
    </row>
    <row r="148" spans="1:9" s="35" customFormat="1" x14ac:dyDescent="0.25">
      <c r="A148" s="38">
        <f>Données!A142</f>
        <v>5640</v>
      </c>
      <c r="B148" s="421" t="str">
        <f>Données!B142</f>
        <v>Lussy-sur-Morges</v>
      </c>
      <c r="C148" s="31">
        <f>VPI!R142</f>
        <v>57770.543875968993</v>
      </c>
      <c r="D148" s="8">
        <f>Données!N142</f>
        <v>16539.650000000001</v>
      </c>
      <c r="E148" s="174">
        <f>Données!O142+Données!P142+Données!R142</f>
        <v>484479.69999999995</v>
      </c>
      <c r="F148" s="390">
        <f t="shared" si="8"/>
        <v>247201.74499999997</v>
      </c>
      <c r="G148" s="390">
        <f>Ecrêtage!M142</f>
        <v>430256.73014886765</v>
      </c>
      <c r="H148" s="391">
        <f t="shared" si="9"/>
        <v>722036.51742321928</v>
      </c>
      <c r="I148" s="245">
        <f t="shared" si="10"/>
        <v>1399494.9925720869</v>
      </c>
    </row>
    <row r="149" spans="1:9" s="35" customFormat="1" x14ac:dyDescent="0.25">
      <c r="A149" s="38">
        <f>Données!A143</f>
        <v>5642</v>
      </c>
      <c r="B149" s="421" t="str">
        <f>Données!B143</f>
        <v>Morges</v>
      </c>
      <c r="C149" s="31">
        <f>VPI!R143</f>
        <v>920688.7619402986</v>
      </c>
      <c r="D149" s="8">
        <f>Données!N143</f>
        <v>1601890.1</v>
      </c>
      <c r="E149" s="174">
        <f>Données!O143+Données!P143+Données!R143</f>
        <v>6117946.7999999998</v>
      </c>
      <c r="F149" s="390">
        <f t="shared" si="8"/>
        <v>3539540.4299999997</v>
      </c>
      <c r="G149" s="390">
        <f>Ecrêtage!M143</f>
        <v>1083314.5095400044</v>
      </c>
      <c r="H149" s="391">
        <f t="shared" si="9"/>
        <v>11507091.031188916</v>
      </c>
      <c r="I149" s="245">
        <f t="shared" si="10"/>
        <v>16129945.970728921</v>
      </c>
    </row>
    <row r="150" spans="1:9" s="35" customFormat="1" x14ac:dyDescent="0.25">
      <c r="A150" s="38">
        <f>Données!A144</f>
        <v>5643</v>
      </c>
      <c r="B150" s="421" t="str">
        <f>Données!B144</f>
        <v>Préverenges</v>
      </c>
      <c r="C150" s="31">
        <f>VPI!R144</f>
        <v>252718.14639999994</v>
      </c>
      <c r="D150" s="8">
        <f>Données!N144</f>
        <v>183126.6</v>
      </c>
      <c r="E150" s="174">
        <f>Données!O144+Données!P144+Données!R144</f>
        <v>1123119.3500000001</v>
      </c>
      <c r="F150" s="390">
        <f t="shared" si="8"/>
        <v>616497.65500000003</v>
      </c>
      <c r="G150" s="390">
        <f>Ecrêtage!M144</f>
        <v>39503.45831222483</v>
      </c>
      <c r="H150" s="391">
        <f t="shared" si="9"/>
        <v>3158560.0216620187</v>
      </c>
      <c r="I150" s="245">
        <f t="shared" si="10"/>
        <v>3814561.1349742431</v>
      </c>
    </row>
    <row r="151" spans="1:9" s="35" customFormat="1" x14ac:dyDescent="0.25">
      <c r="A151" s="38">
        <f>Données!A145</f>
        <v>5645</v>
      </c>
      <c r="B151" s="421" t="str">
        <f>Données!B145</f>
        <v>Romanel-sur-Morges</v>
      </c>
      <c r="C151" s="31">
        <f>VPI!R145</f>
        <v>23767.8325</v>
      </c>
      <c r="D151" s="8">
        <f>Données!N145</f>
        <v>105835.3</v>
      </c>
      <c r="E151" s="174">
        <f>Données!O145+Données!P145+Données!R145</f>
        <v>59353</v>
      </c>
      <c r="F151" s="390">
        <f t="shared" si="8"/>
        <v>61427.09</v>
      </c>
      <c r="G151" s="390">
        <f>Ecrêtage!M145</f>
        <v>20445.827168982829</v>
      </c>
      <c r="H151" s="391">
        <f t="shared" si="9"/>
        <v>297058.70593572559</v>
      </c>
      <c r="I151" s="245">
        <f t="shared" si="10"/>
        <v>378931.62310470839</v>
      </c>
    </row>
    <row r="152" spans="1:9" s="35" customFormat="1" x14ac:dyDescent="0.25">
      <c r="A152" s="38">
        <f>Données!A146</f>
        <v>5646</v>
      </c>
      <c r="B152" s="421" t="str">
        <f>Données!B146</f>
        <v>Saint-Prex</v>
      </c>
      <c r="C152" s="31">
        <f>VPI!R146</f>
        <v>515439.56415254233</v>
      </c>
      <c r="D152" s="8">
        <f>Données!N146</f>
        <v>672225.75</v>
      </c>
      <c r="E152" s="174">
        <f>Données!O146+Données!P146+Données!R146</f>
        <v>2417103.6</v>
      </c>
      <c r="F152" s="390">
        <f t="shared" si="8"/>
        <v>1410219.5250000001</v>
      </c>
      <c r="G152" s="390">
        <f>Ecrêtage!M146</f>
        <v>4358013.829133098</v>
      </c>
      <c r="H152" s="391">
        <f t="shared" si="9"/>
        <v>6442144.4368235366</v>
      </c>
      <c r="I152" s="245">
        <f t="shared" si="10"/>
        <v>12210377.790956635</v>
      </c>
    </row>
    <row r="153" spans="1:9" s="35" customFormat="1" x14ac:dyDescent="0.25">
      <c r="A153" s="38">
        <f>Données!A147</f>
        <v>5648</v>
      </c>
      <c r="B153" s="421" t="str">
        <f>Données!B147</f>
        <v>Saint-Sulpice</v>
      </c>
      <c r="C153" s="31">
        <f>VPI!R147</f>
        <v>417026.83077272732</v>
      </c>
      <c r="D153" s="8">
        <f>Données!N147</f>
        <v>77180.149999999994</v>
      </c>
      <c r="E153" s="174">
        <f>Données!O147+Données!P147+Données!R147</f>
        <v>1706986.4500000002</v>
      </c>
      <c r="F153" s="390">
        <f t="shared" si="8"/>
        <v>876647.27000000014</v>
      </c>
      <c r="G153" s="390">
        <f>Ecrêtage!M147</f>
        <v>2937770.692276062</v>
      </c>
      <c r="H153" s="391">
        <f t="shared" si="9"/>
        <v>5212147.5818134956</v>
      </c>
      <c r="I153" s="245">
        <f t="shared" si="10"/>
        <v>9026565.5440895576</v>
      </c>
    </row>
    <row r="154" spans="1:9" s="35" customFormat="1" x14ac:dyDescent="0.25">
      <c r="A154" s="38">
        <f>Données!A148</f>
        <v>5649</v>
      </c>
      <c r="B154" s="421" t="str">
        <f>Données!B148</f>
        <v>Tolochenaz</v>
      </c>
      <c r="C154" s="31">
        <f>VPI!R148</f>
        <v>329645.65999999997</v>
      </c>
      <c r="D154" s="8">
        <f>Données!N148</f>
        <v>438984.5</v>
      </c>
      <c r="E154" s="174">
        <f>Données!O148+Données!P148+Données!R148</f>
        <v>746140.10000000009</v>
      </c>
      <c r="F154" s="390">
        <f t="shared" si="8"/>
        <v>504765.4</v>
      </c>
      <c r="G154" s="390">
        <f>Ecrêtage!M148</f>
        <v>7037175.3894110546</v>
      </c>
      <c r="H154" s="391">
        <f t="shared" si="9"/>
        <v>4120027.0650227857</v>
      </c>
      <c r="I154" s="245">
        <f t="shared" si="10"/>
        <v>11661967.85443384</v>
      </c>
    </row>
    <row r="155" spans="1:9" s="35" customFormat="1" x14ac:dyDescent="0.25">
      <c r="A155" s="38">
        <f>Données!A149</f>
        <v>5650</v>
      </c>
      <c r="B155" s="421" t="str">
        <f>Données!B149</f>
        <v>Vaux-sur-Morges</v>
      </c>
      <c r="C155" s="31">
        <f>VPI!R149</f>
        <v>90407.731785714292</v>
      </c>
      <c r="D155" s="8">
        <f>Données!N149</f>
        <v>0</v>
      </c>
      <c r="E155" s="174">
        <f>Données!O149+Données!P149+Données!R149</f>
        <v>32535.4</v>
      </c>
      <c r="F155" s="390">
        <f t="shared" si="8"/>
        <v>16267.7</v>
      </c>
      <c r="G155" s="390">
        <f>Ecrêtage!M149</f>
        <v>2556252.8798523359</v>
      </c>
      <c r="H155" s="391">
        <f t="shared" si="9"/>
        <v>1129947.5377423859</v>
      </c>
      <c r="I155" s="245">
        <f t="shared" si="10"/>
        <v>3702468.1175947217</v>
      </c>
    </row>
    <row r="156" spans="1:9" s="35" customFormat="1" x14ac:dyDescent="0.25">
      <c r="A156" s="38">
        <f>Données!A150</f>
        <v>5651</v>
      </c>
      <c r="B156" s="421" t="str">
        <f>Données!B150</f>
        <v>Villars-Sainte-Croix</v>
      </c>
      <c r="C156" s="31">
        <f>VPI!R150</f>
        <v>55772.548264462814</v>
      </c>
      <c r="D156" s="8">
        <f>Données!N150</f>
        <v>218515.45</v>
      </c>
      <c r="E156" s="174">
        <f>Données!O150+Données!P150+Données!R150</f>
        <v>293319.40000000002</v>
      </c>
      <c r="F156" s="390">
        <f t="shared" si="8"/>
        <v>212214.33500000002</v>
      </c>
      <c r="G156" s="390">
        <f>Ecrêtage!M150</f>
        <v>107902.56257164474</v>
      </c>
      <c r="H156" s="391">
        <f t="shared" si="9"/>
        <v>697064.86757591891</v>
      </c>
      <c r="I156" s="245">
        <f t="shared" si="10"/>
        <v>1017181.7651475638</v>
      </c>
    </row>
    <row r="157" spans="1:9" s="35" customFormat="1" x14ac:dyDescent="0.25">
      <c r="A157" s="38">
        <f>Données!A151</f>
        <v>5652</v>
      </c>
      <c r="B157" s="421" t="str">
        <f>Données!B151</f>
        <v>Villars-sous-Yens</v>
      </c>
      <c r="C157" s="31">
        <f>VPI!R151</f>
        <v>25957.116337719301</v>
      </c>
      <c r="D157" s="8">
        <f>Données!N151</f>
        <v>0</v>
      </c>
      <c r="E157" s="174">
        <f>Données!O151+Données!P151+Données!R151</f>
        <v>491322.45</v>
      </c>
      <c r="F157" s="390">
        <f t="shared" si="8"/>
        <v>245661.22500000001</v>
      </c>
      <c r="G157" s="390">
        <f>Ecrêtage!M151</f>
        <v>0</v>
      </c>
      <c r="H157" s="391">
        <f t="shared" si="9"/>
        <v>324421.14311879204</v>
      </c>
      <c r="I157" s="245">
        <f t="shared" si="10"/>
        <v>570082.36811879207</v>
      </c>
    </row>
    <row r="158" spans="1:9" s="35" customFormat="1" x14ac:dyDescent="0.25">
      <c r="A158" s="38">
        <f>Données!A152</f>
        <v>5653</v>
      </c>
      <c r="B158" s="421" t="str">
        <f>Données!B152</f>
        <v>Vufflens-le-Château</v>
      </c>
      <c r="C158" s="31">
        <f>VPI!R152</f>
        <v>71346.485811965817</v>
      </c>
      <c r="D158" s="8">
        <f>Données!N152</f>
        <v>4772.5</v>
      </c>
      <c r="E158" s="174">
        <f>Données!O152+Données!P152+Données!R152</f>
        <v>359982.3</v>
      </c>
      <c r="F158" s="390">
        <f t="shared" si="8"/>
        <v>181422.9</v>
      </c>
      <c r="G158" s="390">
        <f>Ecrêtage!M152</f>
        <v>505052.25495063263</v>
      </c>
      <c r="H158" s="391">
        <f t="shared" si="9"/>
        <v>891713.40080607578</v>
      </c>
      <c r="I158" s="245">
        <f t="shared" si="10"/>
        <v>1578188.5557567084</v>
      </c>
    </row>
    <row r="159" spans="1:9" s="35" customFormat="1" x14ac:dyDescent="0.25">
      <c r="A159" s="38">
        <f>Données!A153</f>
        <v>5654</v>
      </c>
      <c r="B159" s="421" t="str">
        <f>Données!B153</f>
        <v>Vullierens</v>
      </c>
      <c r="C159" s="31">
        <f>VPI!R153</f>
        <v>20741.139078947366</v>
      </c>
      <c r="D159" s="8">
        <f>Données!N153</f>
        <v>6384.2</v>
      </c>
      <c r="E159" s="174">
        <f>Données!O153+Données!P153+Données!R153</f>
        <v>79267.899999999994</v>
      </c>
      <c r="F159" s="390">
        <f t="shared" si="8"/>
        <v>41549.21</v>
      </c>
      <c r="G159" s="390">
        <f>Ecrêtage!M153</f>
        <v>0</v>
      </c>
      <c r="H159" s="391">
        <f t="shared" si="9"/>
        <v>259230.0301016095</v>
      </c>
      <c r="I159" s="245">
        <f t="shared" si="10"/>
        <v>300779.2401016095</v>
      </c>
    </row>
    <row r="160" spans="1:9" s="35" customFormat="1" x14ac:dyDescent="0.25">
      <c r="A160" s="38">
        <f>Données!A154</f>
        <v>5655</v>
      </c>
      <c r="B160" s="421" t="str">
        <f>Données!B154</f>
        <v>Yens</v>
      </c>
      <c r="C160" s="31">
        <f>VPI!R154</f>
        <v>81487.913146853141</v>
      </c>
      <c r="D160" s="8">
        <f>Données!N154</f>
        <v>90461.05</v>
      </c>
      <c r="E160" s="174">
        <f>Données!O154+Données!P154+Données!R154</f>
        <v>635844.9</v>
      </c>
      <c r="F160" s="390">
        <f t="shared" si="8"/>
        <v>345060.76500000001</v>
      </c>
      <c r="G160" s="390">
        <f>Ecrêtage!M154</f>
        <v>128723.2870458895</v>
      </c>
      <c r="H160" s="391">
        <f t="shared" si="9"/>
        <v>1018464.5162240602</v>
      </c>
      <c r="I160" s="245">
        <f t="shared" si="10"/>
        <v>1492248.5682699499</v>
      </c>
    </row>
    <row r="161" spans="1:9" s="35" customFormat="1" x14ac:dyDescent="0.25">
      <c r="A161" s="38">
        <f>Données!A155</f>
        <v>5656</v>
      </c>
      <c r="B161" s="421" t="str">
        <f>Données!B155</f>
        <v>Hautemorges</v>
      </c>
      <c r="C161" s="31">
        <f>VPI!R155</f>
        <v>168931.37668965515</v>
      </c>
      <c r="D161" s="8">
        <f>Données!N155</f>
        <v>56090.15</v>
      </c>
      <c r="E161" s="174">
        <f>Données!O155+Données!P155+Données!R155</f>
        <v>1180812.2999999998</v>
      </c>
      <c r="F161" s="390">
        <f t="shared" si="8"/>
        <v>607233.19499999995</v>
      </c>
      <c r="G161" s="390">
        <f>Ecrêtage!M155</f>
        <v>0</v>
      </c>
      <c r="H161" s="391">
        <f t="shared" si="9"/>
        <v>2111363.5899011642</v>
      </c>
      <c r="I161" s="245">
        <f t="shared" si="10"/>
        <v>2718596.784901164</v>
      </c>
    </row>
    <row r="162" spans="1:9" s="35" customFormat="1" x14ac:dyDescent="0.25">
      <c r="A162" s="38">
        <f>Données!A156</f>
        <v>5661</v>
      </c>
      <c r="B162" s="421" t="str">
        <f>Données!B156</f>
        <v>Boulens</v>
      </c>
      <c r="C162" s="31">
        <f>VPI!R156</f>
        <v>11008.663776223777</v>
      </c>
      <c r="D162" s="8">
        <f>Données!N156</f>
        <v>20927.2</v>
      </c>
      <c r="E162" s="174">
        <f>Données!O156+Données!P156+Données!R156</f>
        <v>14233.849999999999</v>
      </c>
      <c r="F162" s="390">
        <f t="shared" si="8"/>
        <v>13395.084999999999</v>
      </c>
      <c r="G162" s="390">
        <f>Ecrêtage!M156</f>
        <v>0</v>
      </c>
      <c r="H162" s="391">
        <f t="shared" si="9"/>
        <v>137590.14060060098</v>
      </c>
      <c r="I162" s="245">
        <f t="shared" si="10"/>
        <v>150985.22560060097</v>
      </c>
    </row>
    <row r="163" spans="1:9" s="35" customFormat="1" x14ac:dyDescent="0.25">
      <c r="A163" s="38">
        <f>Données!A157</f>
        <v>5663</v>
      </c>
      <c r="B163" s="421" t="str">
        <f>Données!B157</f>
        <v>Bussy-sur-Moudon</v>
      </c>
      <c r="C163" s="31">
        <f>VPI!R157</f>
        <v>6463.7352866242045</v>
      </c>
      <c r="D163" s="8">
        <f>Données!N157</f>
        <v>0</v>
      </c>
      <c r="E163" s="174">
        <f>Données!O157+Données!P157+Données!R157</f>
        <v>41282.75</v>
      </c>
      <c r="F163" s="390">
        <f t="shared" si="8"/>
        <v>20641.375</v>
      </c>
      <c r="G163" s="390">
        <f>Ecrêtage!M157</f>
        <v>0</v>
      </c>
      <c r="H163" s="391">
        <f t="shared" si="9"/>
        <v>80786.030436543704</v>
      </c>
      <c r="I163" s="245">
        <f t="shared" si="10"/>
        <v>101427.4054365437</v>
      </c>
    </row>
    <row r="164" spans="1:9" s="35" customFormat="1" x14ac:dyDescent="0.25">
      <c r="A164" s="38">
        <f>Données!A158</f>
        <v>5665</v>
      </c>
      <c r="B164" s="421" t="str">
        <f>Données!B158</f>
        <v>Chavannes-sur-Moudon</v>
      </c>
      <c r="C164" s="31">
        <f>VPI!R158</f>
        <v>5786.518857142858</v>
      </c>
      <c r="D164" s="8">
        <f>Données!N158</f>
        <v>0</v>
      </c>
      <c r="E164" s="174">
        <f>Données!O158+Données!P158+Données!R158</f>
        <v>52499.8</v>
      </c>
      <c r="F164" s="390">
        <f t="shared" si="8"/>
        <v>26249.9</v>
      </c>
      <c r="G164" s="390">
        <f>Ecrêtage!M158</f>
        <v>0</v>
      </c>
      <c r="H164" s="391">
        <f t="shared" si="9"/>
        <v>72321.942001885589</v>
      </c>
      <c r="I164" s="245">
        <f t="shared" si="10"/>
        <v>98571.842001885583</v>
      </c>
    </row>
    <row r="165" spans="1:9" s="35" customFormat="1" x14ac:dyDescent="0.25">
      <c r="A165" s="38">
        <f>Données!A159</f>
        <v>5669</v>
      </c>
      <c r="B165" s="421" t="str">
        <f>Données!B159</f>
        <v>Curtilles</v>
      </c>
      <c r="C165" s="31">
        <f>VPI!R159</f>
        <v>8428.0239726027376</v>
      </c>
      <c r="D165" s="8">
        <f>Données!N159</f>
        <v>0</v>
      </c>
      <c r="E165" s="174">
        <f>Données!O159+Données!P159+Données!R159</f>
        <v>10350.050000000001</v>
      </c>
      <c r="F165" s="390">
        <f t="shared" si="8"/>
        <v>5175.0250000000005</v>
      </c>
      <c r="G165" s="390">
        <f>Ecrêtage!M159</f>
        <v>0</v>
      </c>
      <c r="H165" s="391">
        <f t="shared" si="9"/>
        <v>105336.39930762061</v>
      </c>
      <c r="I165" s="245">
        <f t="shared" si="10"/>
        <v>110511.4243076206</v>
      </c>
    </row>
    <row r="166" spans="1:9" s="35" customFormat="1" x14ac:dyDescent="0.25">
      <c r="A166" s="38">
        <f>Données!A160</f>
        <v>5671</v>
      </c>
      <c r="B166" s="421" t="str">
        <f>Données!B160</f>
        <v>Dompierre</v>
      </c>
      <c r="C166" s="31">
        <f>VPI!R160</f>
        <v>6751.3058974358974</v>
      </c>
      <c r="D166" s="8">
        <f>Données!N160</f>
        <v>3329.85</v>
      </c>
      <c r="E166" s="174">
        <f>Données!O160+Données!P160+Données!R160</f>
        <v>16510.7</v>
      </c>
      <c r="F166" s="390">
        <f t="shared" si="8"/>
        <v>9254.3050000000003</v>
      </c>
      <c r="G166" s="390">
        <f>Ecrêtage!M160</f>
        <v>0</v>
      </c>
      <c r="H166" s="391">
        <f t="shared" si="9"/>
        <v>84380.188781141085</v>
      </c>
      <c r="I166" s="245">
        <f t="shared" si="10"/>
        <v>93634.493781141093</v>
      </c>
    </row>
    <row r="167" spans="1:9" s="35" customFormat="1" x14ac:dyDescent="0.25">
      <c r="A167" s="38">
        <f>Données!A161</f>
        <v>5673</v>
      </c>
      <c r="B167" s="421" t="str">
        <f>Données!B161</f>
        <v>Hermenches</v>
      </c>
      <c r="C167" s="31">
        <f>VPI!R161</f>
        <v>9674.9504761904736</v>
      </c>
      <c r="D167" s="8">
        <f>Données!N161</f>
        <v>12176</v>
      </c>
      <c r="E167" s="174">
        <f>Données!O161+Données!P161+Données!R161</f>
        <v>58774.95</v>
      </c>
      <c r="F167" s="390">
        <f t="shared" si="8"/>
        <v>33040.275000000001</v>
      </c>
      <c r="G167" s="390">
        <f>Ecrêtage!M161</f>
        <v>0</v>
      </c>
      <c r="H167" s="391">
        <f t="shared" si="9"/>
        <v>120920.92404510904</v>
      </c>
      <c r="I167" s="245">
        <f t="shared" si="10"/>
        <v>153961.19904510904</v>
      </c>
    </row>
    <row r="168" spans="1:9" s="35" customFormat="1" x14ac:dyDescent="0.25">
      <c r="A168" s="38">
        <f>Données!A162</f>
        <v>5674</v>
      </c>
      <c r="B168" s="421" t="str">
        <f>Données!B162</f>
        <v>Lovatens</v>
      </c>
      <c r="C168" s="31">
        <f>VPI!R162</f>
        <v>3538.9423999999999</v>
      </c>
      <c r="D168" s="8">
        <f>Données!N162</f>
        <v>0</v>
      </c>
      <c r="E168" s="174">
        <f>Données!O162+Données!P162+Données!R162</f>
        <v>37950.15</v>
      </c>
      <c r="F168" s="390">
        <f t="shared" si="8"/>
        <v>18975.075000000001</v>
      </c>
      <c r="G168" s="390">
        <f>Ecrêtage!M162</f>
        <v>0</v>
      </c>
      <c r="H168" s="391">
        <f t="shared" si="9"/>
        <v>44230.943218110908</v>
      </c>
      <c r="I168" s="245">
        <f t="shared" si="10"/>
        <v>63206.018218110912</v>
      </c>
    </row>
    <row r="169" spans="1:9" s="35" customFormat="1" x14ac:dyDescent="0.25">
      <c r="A169" s="38">
        <f>Données!A163</f>
        <v>5675</v>
      </c>
      <c r="B169" s="421" t="str">
        <f>Données!B163</f>
        <v>Lucens</v>
      </c>
      <c r="C169" s="31">
        <f>VPI!R163</f>
        <v>92799.568476128188</v>
      </c>
      <c r="D169" s="8">
        <f>Données!N163</f>
        <v>34660.699999999997</v>
      </c>
      <c r="E169" s="174">
        <f>Données!O163+Données!P163+Données!R163</f>
        <v>762471.64999999991</v>
      </c>
      <c r="F169" s="390">
        <f t="shared" si="8"/>
        <v>391634.03499999997</v>
      </c>
      <c r="G169" s="390">
        <f>Ecrêtage!M163</f>
        <v>0</v>
      </c>
      <c r="H169" s="391">
        <f t="shared" si="9"/>
        <v>1159841.5515134751</v>
      </c>
      <c r="I169" s="245">
        <f t="shared" si="10"/>
        <v>1551475.586513475</v>
      </c>
    </row>
    <row r="170" spans="1:9" s="35" customFormat="1" x14ac:dyDescent="0.25">
      <c r="A170" s="38">
        <f>Données!A164</f>
        <v>5678</v>
      </c>
      <c r="B170" s="421" t="str">
        <f>Données!B164</f>
        <v>Moudon</v>
      </c>
      <c r="C170" s="31">
        <f>VPI!R164</f>
        <v>130665.93158620689</v>
      </c>
      <c r="D170" s="8">
        <f>Données!N164</f>
        <v>241493.45</v>
      </c>
      <c r="E170" s="174">
        <f>Données!O164+Données!P164+Données!R164</f>
        <v>998833.15</v>
      </c>
      <c r="F170" s="390">
        <f t="shared" si="8"/>
        <v>571864.61</v>
      </c>
      <c r="G170" s="390">
        <f>Ecrêtage!M164</f>
        <v>0</v>
      </c>
      <c r="H170" s="391">
        <f t="shared" si="9"/>
        <v>1633108.6373519618</v>
      </c>
      <c r="I170" s="245">
        <f t="shared" si="10"/>
        <v>2204973.2473519617</v>
      </c>
    </row>
    <row r="171" spans="1:9" s="35" customFormat="1" x14ac:dyDescent="0.25">
      <c r="A171" s="38">
        <f>Données!A165</f>
        <v>5680</v>
      </c>
      <c r="B171" s="421" t="str">
        <f>Données!B165</f>
        <v>Ogens</v>
      </c>
      <c r="C171" s="31">
        <f>VPI!R165</f>
        <v>10095.699401709404</v>
      </c>
      <c r="D171" s="8">
        <f>Données!N165</f>
        <v>0</v>
      </c>
      <c r="E171" s="174">
        <f>Données!O165+Données!P165+Données!R165</f>
        <v>149443.70000000001</v>
      </c>
      <c r="F171" s="390">
        <f t="shared" si="8"/>
        <v>74721.850000000006</v>
      </c>
      <c r="G171" s="390">
        <f>Ecrêtage!M165</f>
        <v>0</v>
      </c>
      <c r="H171" s="391">
        <f t="shared" si="9"/>
        <v>126179.59167239482</v>
      </c>
      <c r="I171" s="245">
        <f t="shared" si="10"/>
        <v>200901.44167239481</v>
      </c>
    </row>
    <row r="172" spans="1:9" s="35" customFormat="1" x14ac:dyDescent="0.25">
      <c r="A172" s="38">
        <f>Données!A166</f>
        <v>5683</v>
      </c>
      <c r="B172" s="421" t="str">
        <f>Données!B166</f>
        <v>Prévonloup</v>
      </c>
      <c r="C172" s="31">
        <f>VPI!R166</f>
        <v>5181.5288275862076</v>
      </c>
      <c r="D172" s="8">
        <f>Données!N166</f>
        <v>0</v>
      </c>
      <c r="E172" s="174">
        <f>Données!O166+Données!P166+Données!R166</f>
        <v>11117</v>
      </c>
      <c r="F172" s="390">
        <f t="shared" si="8"/>
        <v>5558.5</v>
      </c>
      <c r="G172" s="390">
        <f>Ecrêtage!M166</f>
        <v>0</v>
      </c>
      <c r="H172" s="391">
        <f t="shared" si="9"/>
        <v>64760.564443199284</v>
      </c>
      <c r="I172" s="245">
        <f t="shared" si="10"/>
        <v>70319.064443199284</v>
      </c>
    </row>
    <row r="173" spans="1:9" s="35" customFormat="1" x14ac:dyDescent="0.25">
      <c r="A173" s="38">
        <f>Données!A167</f>
        <v>5684</v>
      </c>
      <c r="B173" s="421" t="str">
        <f>Données!B167</f>
        <v>Rossenges</v>
      </c>
      <c r="C173" s="31">
        <f>VPI!R167</f>
        <v>3699.9676666666669</v>
      </c>
      <c r="D173" s="8">
        <f>Données!N167</f>
        <v>0</v>
      </c>
      <c r="E173" s="174">
        <f>Données!O167+Données!P167+Données!R167</f>
        <v>12926.65</v>
      </c>
      <c r="F173" s="390">
        <f t="shared" si="8"/>
        <v>6463.3249999999998</v>
      </c>
      <c r="G173" s="390">
        <f>Ecrêtage!M167</f>
        <v>0</v>
      </c>
      <c r="H173" s="391">
        <f t="shared" si="9"/>
        <v>46243.493472281341</v>
      </c>
      <c r="I173" s="245">
        <f t="shared" si="10"/>
        <v>52706.818472281338</v>
      </c>
    </row>
    <row r="174" spans="1:9" s="35" customFormat="1" x14ac:dyDescent="0.25">
      <c r="A174" s="38">
        <f>Données!A168</f>
        <v>5688</v>
      </c>
      <c r="B174" s="421" t="str">
        <f>Données!B168</f>
        <v>Syens</v>
      </c>
      <c r="C174" s="31">
        <f>VPI!R168</f>
        <v>5276.9227692307695</v>
      </c>
      <c r="D174" s="8">
        <f>Données!N168</f>
        <v>925.7</v>
      </c>
      <c r="E174" s="174">
        <f>Données!O168+Données!P168+Données!R168</f>
        <v>25477.3</v>
      </c>
      <c r="F174" s="390">
        <f t="shared" si="8"/>
        <v>13016.359999999999</v>
      </c>
      <c r="G174" s="390">
        <f>Ecrêtage!M168</f>
        <v>0</v>
      </c>
      <c r="H174" s="391">
        <f t="shared" si="9"/>
        <v>65952.831380415446</v>
      </c>
      <c r="I174" s="245">
        <f t="shared" si="10"/>
        <v>78969.191380415446</v>
      </c>
    </row>
    <row r="175" spans="1:9" s="35" customFormat="1" x14ac:dyDescent="0.25">
      <c r="A175" s="38">
        <f>Données!A169</f>
        <v>5690</v>
      </c>
      <c r="B175" s="421" t="str">
        <f>Données!B169</f>
        <v>Villars-le-Comte</v>
      </c>
      <c r="C175" s="31">
        <f>VPI!R169</f>
        <v>4331.3648095238095</v>
      </c>
      <c r="D175" s="8">
        <f>Données!N169</f>
        <v>0</v>
      </c>
      <c r="E175" s="174">
        <f>Données!O169+Données!P169+Données!R169</f>
        <v>34360.5</v>
      </c>
      <c r="F175" s="390">
        <f t="shared" si="8"/>
        <v>17180.25</v>
      </c>
      <c r="G175" s="390">
        <f>Ecrêtage!M169</f>
        <v>0</v>
      </c>
      <c r="H175" s="391">
        <f t="shared" si="9"/>
        <v>54134.91639394057</v>
      </c>
      <c r="I175" s="245">
        <f t="shared" si="10"/>
        <v>71315.16639394057</v>
      </c>
    </row>
    <row r="176" spans="1:9" s="35" customFormat="1" x14ac:dyDescent="0.25">
      <c r="A176" s="38">
        <f>Données!A170</f>
        <v>5692</v>
      </c>
      <c r="B176" s="421" t="str">
        <f>Données!B170</f>
        <v>Vucherens</v>
      </c>
      <c r="C176" s="31">
        <f>VPI!R170</f>
        <v>18948.19272727273</v>
      </c>
      <c r="D176" s="8">
        <f>Données!N170</f>
        <v>13129.25</v>
      </c>
      <c r="E176" s="174">
        <f>Données!O170+Données!P170+Données!R170</f>
        <v>174345.25</v>
      </c>
      <c r="F176" s="390">
        <f t="shared" si="8"/>
        <v>91111.4</v>
      </c>
      <c r="G176" s="390">
        <f>Ecrêtage!M170</f>
        <v>0</v>
      </c>
      <c r="H176" s="391">
        <f t="shared" si="9"/>
        <v>236821.15781421654</v>
      </c>
      <c r="I176" s="245">
        <f t="shared" si="10"/>
        <v>327932.55781421653</v>
      </c>
    </row>
    <row r="177" spans="1:9" s="35" customFormat="1" x14ac:dyDescent="0.25">
      <c r="A177" s="38">
        <f>Données!A171</f>
        <v>5693</v>
      </c>
      <c r="B177" s="421" t="str">
        <f>Données!B171</f>
        <v>Montanaire</v>
      </c>
      <c r="C177" s="31">
        <f>VPI!R171</f>
        <v>80076.194857142837</v>
      </c>
      <c r="D177" s="8">
        <f>Données!N171</f>
        <v>74880.2</v>
      </c>
      <c r="E177" s="174">
        <f>Données!O171+Données!P171+Données!R171</f>
        <v>395721</v>
      </c>
      <c r="F177" s="390">
        <f t="shared" si="8"/>
        <v>220324.56</v>
      </c>
      <c r="G177" s="390">
        <f>Ecrêtage!M171</f>
        <v>0</v>
      </c>
      <c r="H177" s="391">
        <f t="shared" si="9"/>
        <v>1000820.3659513276</v>
      </c>
      <c r="I177" s="245">
        <f t="shared" si="10"/>
        <v>1221144.9259513277</v>
      </c>
    </row>
    <row r="178" spans="1:9" s="35" customFormat="1" x14ac:dyDescent="0.25">
      <c r="A178" s="38">
        <f>Données!A172</f>
        <v>5701</v>
      </c>
      <c r="B178" s="421" t="str">
        <f>Données!B172</f>
        <v>Arnex-sur-Nyon</v>
      </c>
      <c r="C178" s="31">
        <f>VPI!R172</f>
        <v>12996.777571428571</v>
      </c>
      <c r="D178" s="8">
        <f>Données!N172</f>
        <v>1445.9</v>
      </c>
      <c r="E178" s="174">
        <f>Données!O172+Données!P172+Données!R172</f>
        <v>411475.85</v>
      </c>
      <c r="F178" s="390">
        <f t="shared" si="8"/>
        <v>206171.69499999998</v>
      </c>
      <c r="G178" s="390">
        <f>Ecrêtage!M172</f>
        <v>20980.717770076059</v>
      </c>
      <c r="H178" s="391">
        <f t="shared" si="9"/>
        <v>162438.28404222531</v>
      </c>
      <c r="I178" s="245">
        <f t="shared" si="10"/>
        <v>389590.69681230135</v>
      </c>
    </row>
    <row r="179" spans="1:9" s="35" customFormat="1" x14ac:dyDescent="0.25">
      <c r="A179" s="38">
        <f>Données!A173</f>
        <v>5702</v>
      </c>
      <c r="B179" s="421" t="str">
        <f>Données!B173</f>
        <v>Arzier-Le Muids</v>
      </c>
      <c r="C179" s="31">
        <f>VPI!R173</f>
        <v>187982.65953125001</v>
      </c>
      <c r="D179" s="8">
        <f>Données!N173</f>
        <v>82459.899999999994</v>
      </c>
      <c r="E179" s="174">
        <f>Données!O173+Données!P173+Données!R173</f>
        <v>1637186</v>
      </c>
      <c r="F179" s="390">
        <f t="shared" si="8"/>
        <v>843330.97</v>
      </c>
      <c r="G179" s="390">
        <f>Ecrêtage!M173</f>
        <v>710873.50596414332</v>
      </c>
      <c r="H179" s="391">
        <f t="shared" si="9"/>
        <v>2349473.2041177596</v>
      </c>
      <c r="I179" s="245">
        <f t="shared" si="10"/>
        <v>3903677.680081903</v>
      </c>
    </row>
    <row r="180" spans="1:9" s="35" customFormat="1" x14ac:dyDescent="0.25">
      <c r="A180" s="38">
        <f>Données!A174</f>
        <v>5703</v>
      </c>
      <c r="B180" s="421" t="str">
        <f>Données!B174</f>
        <v>Bassins</v>
      </c>
      <c r="C180" s="31">
        <f>VPI!R174</f>
        <v>65440.672492610829</v>
      </c>
      <c r="D180" s="8">
        <f>Données!N174</f>
        <v>43670.25</v>
      </c>
      <c r="E180" s="174">
        <f>Données!O174+Données!P174+Données!R174</f>
        <v>452512.75</v>
      </c>
      <c r="F180" s="390">
        <f t="shared" si="8"/>
        <v>239357.45</v>
      </c>
      <c r="G180" s="390">
        <f>Ecrêtage!M174</f>
        <v>0</v>
      </c>
      <c r="H180" s="391">
        <f t="shared" si="9"/>
        <v>817900.47477903625</v>
      </c>
      <c r="I180" s="245">
        <f t="shared" si="10"/>
        <v>1057257.9247790363</v>
      </c>
    </row>
    <row r="181" spans="1:9" s="35" customFormat="1" x14ac:dyDescent="0.25">
      <c r="A181" s="38">
        <f>Données!A175</f>
        <v>5704</v>
      </c>
      <c r="B181" s="421" t="str">
        <f>Données!B175</f>
        <v>Begnins</v>
      </c>
      <c r="C181" s="31">
        <f>VPI!R175</f>
        <v>129766.74997333332</v>
      </c>
      <c r="D181" s="8">
        <f>Données!N175</f>
        <v>16362.45</v>
      </c>
      <c r="E181" s="174">
        <f>Données!O175+Données!P175+Données!R175</f>
        <v>671209.10000000009</v>
      </c>
      <c r="F181" s="390">
        <f t="shared" si="8"/>
        <v>340513.28500000003</v>
      </c>
      <c r="G181" s="390">
        <f>Ecrêtage!M175</f>
        <v>576174.54991909198</v>
      </c>
      <c r="H181" s="391">
        <f t="shared" si="9"/>
        <v>1621870.3502123407</v>
      </c>
      <c r="I181" s="245">
        <f t="shared" si="10"/>
        <v>2538558.185131433</v>
      </c>
    </row>
    <row r="182" spans="1:9" s="35" customFormat="1" x14ac:dyDescent="0.25">
      <c r="A182" s="38">
        <f>Données!A176</f>
        <v>5705</v>
      </c>
      <c r="B182" s="421" t="str">
        <f>Données!B176</f>
        <v>Bogis-Bossey</v>
      </c>
      <c r="C182" s="31">
        <f>VPI!R176</f>
        <v>51043.487651006704</v>
      </c>
      <c r="D182" s="8">
        <f>Données!N176</f>
        <v>50994.15</v>
      </c>
      <c r="E182" s="174">
        <f>Données!O176+Données!P176+Données!R176</f>
        <v>663216</v>
      </c>
      <c r="F182" s="390">
        <f t="shared" si="8"/>
        <v>346906.245</v>
      </c>
      <c r="G182" s="390">
        <f>Ecrêtage!M176</f>
        <v>101670.15545962051</v>
      </c>
      <c r="H182" s="391">
        <f t="shared" si="9"/>
        <v>637959.40955298475</v>
      </c>
      <c r="I182" s="245">
        <f t="shared" si="10"/>
        <v>1086535.8100126053</v>
      </c>
    </row>
    <row r="183" spans="1:9" s="35" customFormat="1" x14ac:dyDescent="0.25">
      <c r="A183" s="38">
        <f>Données!A177</f>
        <v>5706</v>
      </c>
      <c r="B183" s="421" t="str">
        <f>Données!B177</f>
        <v>Borex</v>
      </c>
      <c r="C183" s="31">
        <f>VPI!R177</f>
        <v>69138.234561403515</v>
      </c>
      <c r="D183" s="8">
        <f>Données!N177</f>
        <v>9334.2000000000007</v>
      </c>
      <c r="E183" s="174">
        <f>Données!O177+Données!P177+Données!R177</f>
        <v>388901.3</v>
      </c>
      <c r="F183" s="390">
        <f t="shared" si="8"/>
        <v>197250.91</v>
      </c>
      <c r="G183" s="390">
        <f>Ecrêtage!M177</f>
        <v>193928.41068776141</v>
      </c>
      <c r="H183" s="391">
        <f t="shared" si="9"/>
        <v>864113.9022454482</v>
      </c>
      <c r="I183" s="245">
        <f t="shared" si="10"/>
        <v>1255293.2229332095</v>
      </c>
    </row>
    <row r="184" spans="1:9" s="35" customFormat="1" x14ac:dyDescent="0.25">
      <c r="A184" s="38">
        <f>Données!A178</f>
        <v>5707</v>
      </c>
      <c r="B184" s="421" t="str">
        <f>Données!B178</f>
        <v>Chavannes-de-Bogis</v>
      </c>
      <c r="C184" s="31">
        <f>VPI!R178</f>
        <v>86795.072643678155</v>
      </c>
      <c r="D184" s="8">
        <f>Données!N178</f>
        <v>677002.4</v>
      </c>
      <c r="E184" s="174">
        <f>Données!O178+Données!P178+Données!R178</f>
        <v>648259.35</v>
      </c>
      <c r="F184" s="390">
        <f t="shared" si="8"/>
        <v>527230.39500000002</v>
      </c>
      <c r="G184" s="390">
        <f>Ecrêtage!M178</f>
        <v>341837.75836771767</v>
      </c>
      <c r="H184" s="391">
        <f t="shared" si="9"/>
        <v>1084795.256829933</v>
      </c>
      <c r="I184" s="245">
        <f t="shared" si="10"/>
        <v>1953863.4101976508</v>
      </c>
    </row>
    <row r="185" spans="1:9" s="35" customFormat="1" x14ac:dyDescent="0.25">
      <c r="A185" s="38">
        <f>Données!A179</f>
        <v>5708</v>
      </c>
      <c r="B185" s="421" t="str">
        <f>Données!B179</f>
        <v>Chavannes-des-Bois</v>
      </c>
      <c r="C185" s="31">
        <f>VPI!R179</f>
        <v>68805.474411764691</v>
      </c>
      <c r="D185" s="8">
        <f>Données!N179</f>
        <v>14254.75</v>
      </c>
      <c r="E185" s="174">
        <f>Données!O179+Données!P179+Données!R179</f>
        <v>239306.10000000003</v>
      </c>
      <c r="F185" s="390">
        <f t="shared" si="8"/>
        <v>123929.47500000002</v>
      </c>
      <c r="G185" s="390">
        <f>Ecrêtage!M179</f>
        <v>341324.81466781977</v>
      </c>
      <c r="H185" s="391">
        <f t="shared" si="9"/>
        <v>859954.9491966716</v>
      </c>
      <c r="I185" s="245">
        <f t="shared" si="10"/>
        <v>1325209.2388644912</v>
      </c>
    </row>
    <row r="186" spans="1:9" s="35" customFormat="1" x14ac:dyDescent="0.25">
      <c r="A186" s="38">
        <f>Données!A180</f>
        <v>5709</v>
      </c>
      <c r="B186" s="421" t="str">
        <f>Données!B180</f>
        <v>Chéserex</v>
      </c>
      <c r="C186" s="31">
        <f>VPI!R180</f>
        <v>90983.181403508803</v>
      </c>
      <c r="D186" s="8">
        <f>Données!N180</f>
        <v>56721.8</v>
      </c>
      <c r="E186" s="174">
        <f>Données!O180+Données!P180+Données!R180</f>
        <v>537884.6</v>
      </c>
      <c r="F186" s="390">
        <f t="shared" si="8"/>
        <v>285958.83999999997</v>
      </c>
      <c r="G186" s="390">
        <f>Ecrêtage!M180</f>
        <v>468781.13225998351</v>
      </c>
      <c r="H186" s="391">
        <f t="shared" si="9"/>
        <v>1137139.7088750815</v>
      </c>
      <c r="I186" s="245">
        <f t="shared" si="10"/>
        <v>1891879.6811350649</v>
      </c>
    </row>
    <row r="187" spans="1:9" s="35" customFormat="1" x14ac:dyDescent="0.25">
      <c r="A187" s="38">
        <f>Données!A181</f>
        <v>5710</v>
      </c>
      <c r="B187" s="421" t="str">
        <f>Données!B181</f>
        <v>Coinsins</v>
      </c>
      <c r="C187" s="31">
        <f>VPI!R181</f>
        <v>33546.798235294118</v>
      </c>
      <c r="D187" s="8">
        <f>Données!N181</f>
        <v>42380.65</v>
      </c>
      <c r="E187" s="174">
        <f>Données!O181+Données!P181+Données!R181</f>
        <v>189893.2</v>
      </c>
      <c r="F187" s="390">
        <f t="shared" si="8"/>
        <v>107660.79500000001</v>
      </c>
      <c r="G187" s="390">
        <f>Ecrêtage!M181</f>
        <v>123110.62183015865</v>
      </c>
      <c r="H187" s="391">
        <f t="shared" si="9"/>
        <v>419279.64916714025</v>
      </c>
      <c r="I187" s="245">
        <f t="shared" si="10"/>
        <v>650051.06599729892</v>
      </c>
    </row>
    <row r="188" spans="1:9" s="35" customFormat="1" x14ac:dyDescent="0.25">
      <c r="A188" s="38">
        <f>Données!A182</f>
        <v>5711</v>
      </c>
      <c r="B188" s="421" t="str">
        <f>Données!B182</f>
        <v>Commugny</v>
      </c>
      <c r="C188" s="31">
        <f>VPI!R182</f>
        <v>305460.14325236168</v>
      </c>
      <c r="D188" s="8">
        <f>Données!N182</f>
        <v>27324.400000000001</v>
      </c>
      <c r="E188" s="174">
        <f>Données!O182+Données!P182+Données!R182</f>
        <v>2364425.4</v>
      </c>
      <c r="F188" s="390">
        <f t="shared" si="8"/>
        <v>1190410.02</v>
      </c>
      <c r="G188" s="390">
        <f>Ecrêtage!M182</f>
        <v>3247786.3461260968</v>
      </c>
      <c r="H188" s="391">
        <f t="shared" si="9"/>
        <v>3817747.9948787056</v>
      </c>
      <c r="I188" s="245">
        <f t="shared" si="10"/>
        <v>8255944.3610048015</v>
      </c>
    </row>
    <row r="189" spans="1:9" s="35" customFormat="1" x14ac:dyDescent="0.25">
      <c r="A189" s="38">
        <f>Données!A183</f>
        <v>5712</v>
      </c>
      <c r="B189" s="421" t="str">
        <f>Données!B183</f>
        <v>Coppet</v>
      </c>
      <c r="C189" s="31">
        <f>VPI!R183</f>
        <v>422775.96742138366</v>
      </c>
      <c r="D189" s="8">
        <f>Données!N183</f>
        <v>171358.1</v>
      </c>
      <c r="E189" s="174">
        <f>Données!O183+Données!P183+Données!R183</f>
        <v>2940108.55</v>
      </c>
      <c r="F189" s="390">
        <f t="shared" si="8"/>
        <v>1521461.7049999998</v>
      </c>
      <c r="G189" s="390">
        <f>Ecrêtage!M183</f>
        <v>5786790.0411663102</v>
      </c>
      <c r="H189" s="391">
        <f t="shared" si="9"/>
        <v>5284002.3078638203</v>
      </c>
      <c r="I189" s="245">
        <f t="shared" si="10"/>
        <v>12592254.054030132</v>
      </c>
    </row>
    <row r="190" spans="1:9" s="35" customFormat="1" x14ac:dyDescent="0.25">
      <c r="A190" s="38">
        <f>Données!A184</f>
        <v>5713</v>
      </c>
      <c r="B190" s="421" t="str">
        <f>Données!B184</f>
        <v>Crans</v>
      </c>
      <c r="C190" s="31">
        <f>VPI!R184</f>
        <v>284268.21966101695</v>
      </c>
      <c r="D190" s="8">
        <f>Données!N184</f>
        <v>38257.35</v>
      </c>
      <c r="E190" s="174">
        <f>Données!O184+Données!P184+Données!R184</f>
        <v>1669448.1</v>
      </c>
      <c r="F190" s="390">
        <f t="shared" si="8"/>
        <v>846201.255</v>
      </c>
      <c r="G190" s="390">
        <f>Ecrêtage!M184</f>
        <v>3922127.0612816066</v>
      </c>
      <c r="H190" s="391">
        <f t="shared" si="9"/>
        <v>3552883.9018515586</v>
      </c>
      <c r="I190" s="245">
        <f t="shared" si="10"/>
        <v>8321212.2181331655</v>
      </c>
    </row>
    <row r="191" spans="1:9" s="35" customFormat="1" x14ac:dyDescent="0.25">
      <c r="A191" s="38">
        <f>Données!A185</f>
        <v>5714</v>
      </c>
      <c r="B191" s="421" t="str">
        <f>Données!B185</f>
        <v>Crassier</v>
      </c>
      <c r="C191" s="31">
        <f>VPI!R185</f>
        <v>62524.177894736851</v>
      </c>
      <c r="D191" s="8">
        <f>Données!N185</f>
        <v>131082.9</v>
      </c>
      <c r="E191" s="174">
        <f>Données!O185+Données!P185+Données!R185</f>
        <v>464090.45</v>
      </c>
      <c r="F191" s="390">
        <f t="shared" si="8"/>
        <v>271370.09499999997</v>
      </c>
      <c r="G191" s="390">
        <f>Ecrêtage!M185</f>
        <v>45917.016182827683</v>
      </c>
      <c r="H191" s="391">
        <f t="shared" si="9"/>
        <v>781449.10248360387</v>
      </c>
      <c r="I191" s="245">
        <f t="shared" si="10"/>
        <v>1098736.2136664316</v>
      </c>
    </row>
    <row r="192" spans="1:9" s="35" customFormat="1" x14ac:dyDescent="0.25">
      <c r="A192" s="38">
        <f>Données!A186</f>
        <v>5715</v>
      </c>
      <c r="B192" s="421" t="str">
        <f>Données!B186</f>
        <v>Duillier</v>
      </c>
      <c r="C192" s="31">
        <f>VPI!R186</f>
        <v>60549.503181818189</v>
      </c>
      <c r="D192" s="8">
        <f>Données!N186</f>
        <v>117778.5</v>
      </c>
      <c r="E192" s="174">
        <f>Données!O186+Données!P186+Données!R186</f>
        <v>368954.85</v>
      </c>
      <c r="F192" s="390">
        <f t="shared" si="8"/>
        <v>219810.97499999998</v>
      </c>
      <c r="G192" s="390">
        <f>Ecrêtage!M186</f>
        <v>93496.695860519394</v>
      </c>
      <c r="H192" s="391">
        <f t="shared" si="9"/>
        <v>756768.92540546181</v>
      </c>
      <c r="I192" s="245">
        <f t="shared" si="10"/>
        <v>1070076.5962659812</v>
      </c>
    </row>
    <row r="193" spans="1:9" s="35" customFormat="1" x14ac:dyDescent="0.25">
      <c r="A193" s="38">
        <f>Données!A187</f>
        <v>5716</v>
      </c>
      <c r="B193" s="421" t="str">
        <f>Données!B187</f>
        <v>Eysins</v>
      </c>
      <c r="C193" s="31">
        <f>VPI!R187</f>
        <v>232449.31983193275</v>
      </c>
      <c r="D193" s="8">
        <f>Données!N187</f>
        <v>672454.95</v>
      </c>
      <c r="E193" s="174">
        <f>Données!O187+Données!P187+Données!R187</f>
        <v>464270.64999999997</v>
      </c>
      <c r="F193" s="390">
        <f t="shared" si="8"/>
        <v>433871.80999999994</v>
      </c>
      <c r="G193" s="390">
        <f>Ecrêtage!M187</f>
        <v>3538679.210610982</v>
      </c>
      <c r="H193" s="391">
        <f t="shared" si="9"/>
        <v>2905233.1189608285</v>
      </c>
      <c r="I193" s="245">
        <f t="shared" si="10"/>
        <v>6877784.1395718101</v>
      </c>
    </row>
    <row r="194" spans="1:9" s="35" customFormat="1" x14ac:dyDescent="0.25">
      <c r="A194" s="38">
        <f>Données!A188</f>
        <v>5717</v>
      </c>
      <c r="B194" s="421" t="str">
        <f>Données!B188</f>
        <v>Founex</v>
      </c>
      <c r="C194" s="31">
        <f>VPI!R188</f>
        <v>361580.60666666663</v>
      </c>
      <c r="D194" s="8">
        <f>Données!N188</f>
        <v>206504.3</v>
      </c>
      <c r="E194" s="174">
        <f>Données!O188+Données!P188+Données!R188</f>
        <v>2420464.9</v>
      </c>
      <c r="F194" s="390">
        <f t="shared" si="8"/>
        <v>1272183.74</v>
      </c>
      <c r="G194" s="390">
        <f>Ecrêtage!M188</f>
        <v>3420097.3159139594</v>
      </c>
      <c r="H194" s="391">
        <f t="shared" si="9"/>
        <v>4519161.228010783</v>
      </c>
      <c r="I194" s="245">
        <f t="shared" si="10"/>
        <v>9211442.2839247435</v>
      </c>
    </row>
    <row r="195" spans="1:9" s="35" customFormat="1" x14ac:dyDescent="0.25">
      <c r="A195" s="38">
        <f>Données!A189</f>
        <v>5718</v>
      </c>
      <c r="B195" s="421" t="str">
        <f>Données!B189</f>
        <v>Genolier</v>
      </c>
      <c r="C195" s="31">
        <f>VPI!R189</f>
        <v>212690.22036363633</v>
      </c>
      <c r="D195" s="8">
        <f>Données!N189</f>
        <v>253669.75</v>
      </c>
      <c r="E195" s="174">
        <f>Données!O189+Données!P189+Données!R189</f>
        <v>1130565.8</v>
      </c>
      <c r="F195" s="390">
        <f t="shared" si="8"/>
        <v>641383.82500000007</v>
      </c>
      <c r="G195" s="390">
        <f>Ecrêtage!M189</f>
        <v>2272187.741807593</v>
      </c>
      <c r="H195" s="391">
        <f t="shared" si="9"/>
        <v>2658276.9643132635</v>
      </c>
      <c r="I195" s="245">
        <f t="shared" si="10"/>
        <v>5571848.5311208572</v>
      </c>
    </row>
    <row r="196" spans="1:9" s="35" customFormat="1" x14ac:dyDescent="0.25">
      <c r="A196" s="38">
        <f>Données!A190</f>
        <v>5719</v>
      </c>
      <c r="B196" s="421" t="str">
        <f>Données!B190</f>
        <v>Gingins</v>
      </c>
      <c r="C196" s="31">
        <f>VPI!R190</f>
        <v>119942.45777777776</v>
      </c>
      <c r="D196" s="8">
        <f>Données!N190</f>
        <v>56832</v>
      </c>
      <c r="E196" s="174">
        <f>Données!O190+Données!P190+Données!R190</f>
        <v>1146505.4500000002</v>
      </c>
      <c r="F196" s="390">
        <f t="shared" si="8"/>
        <v>590302.32500000007</v>
      </c>
      <c r="G196" s="390">
        <f>Ecrêtage!M190</f>
        <v>1162806.8256587808</v>
      </c>
      <c r="H196" s="391">
        <f t="shared" si="9"/>
        <v>1499082.9009846426</v>
      </c>
      <c r="I196" s="245">
        <f t="shared" si="10"/>
        <v>3252192.0516434237</v>
      </c>
    </row>
    <row r="197" spans="1:9" s="35" customFormat="1" x14ac:dyDescent="0.25">
      <c r="A197" s="38">
        <f>Données!A191</f>
        <v>5720</v>
      </c>
      <c r="B197" s="421" t="str">
        <f>Données!B191</f>
        <v>Givrins</v>
      </c>
      <c r="C197" s="31">
        <f>VPI!R191</f>
        <v>84867.165124378109</v>
      </c>
      <c r="D197" s="8">
        <f>Données!N191</f>
        <v>16911.75</v>
      </c>
      <c r="E197" s="174">
        <f>Données!O191+Données!P191+Données!R191</f>
        <v>430178.25</v>
      </c>
      <c r="F197" s="390">
        <f t="shared" si="8"/>
        <v>220162.65</v>
      </c>
      <c r="G197" s="390">
        <f>Ecrêtage!M191</f>
        <v>729578.59826733568</v>
      </c>
      <c r="H197" s="391">
        <f t="shared" si="9"/>
        <v>1060699.5925388359</v>
      </c>
      <c r="I197" s="245">
        <f t="shared" si="10"/>
        <v>2010440.8408061715</v>
      </c>
    </row>
    <row r="198" spans="1:9" s="35" customFormat="1" x14ac:dyDescent="0.25">
      <c r="A198" s="38">
        <f>Données!A192</f>
        <v>5721</v>
      </c>
      <c r="B198" s="421" t="str">
        <f>Données!B192</f>
        <v>Gland</v>
      </c>
      <c r="C198" s="31">
        <f>VPI!R192</f>
        <v>688905.14770491805</v>
      </c>
      <c r="D198" s="8">
        <f>Données!N192</f>
        <v>2399698.6</v>
      </c>
      <c r="E198" s="174">
        <f>Données!O192+Données!P192+Données!R192</f>
        <v>3637519.7</v>
      </c>
      <c r="F198" s="390">
        <f t="shared" si="8"/>
        <v>2538669.4300000002</v>
      </c>
      <c r="G198" s="390">
        <f>Ecrêtage!M192</f>
        <v>405318.96568576939</v>
      </c>
      <c r="H198" s="391">
        <f t="shared" si="9"/>
        <v>8610178.1342359632</v>
      </c>
      <c r="I198" s="245">
        <f t="shared" si="10"/>
        <v>11554166.529921733</v>
      </c>
    </row>
    <row r="199" spans="1:9" s="35" customFormat="1" x14ac:dyDescent="0.25">
      <c r="A199" s="38">
        <f>Données!A193</f>
        <v>5722</v>
      </c>
      <c r="B199" s="421" t="str">
        <f>Données!B193</f>
        <v>Grens</v>
      </c>
      <c r="C199" s="31">
        <f>VPI!R193</f>
        <v>20912.601129032257</v>
      </c>
      <c r="D199" s="8">
        <f>Données!N193</f>
        <v>19125.8</v>
      </c>
      <c r="E199" s="174">
        <f>Données!O193+Données!P193+Données!R193</f>
        <v>216352.8</v>
      </c>
      <c r="F199" s="390">
        <f t="shared" si="8"/>
        <v>113914.14</v>
      </c>
      <c r="G199" s="390">
        <f>Ecrêtage!M193</f>
        <v>21687.719946302761</v>
      </c>
      <c r="H199" s="391">
        <f t="shared" si="9"/>
        <v>261373.02293510849</v>
      </c>
      <c r="I199" s="245">
        <f t="shared" si="10"/>
        <v>396974.88288141123</v>
      </c>
    </row>
    <row r="200" spans="1:9" s="35" customFormat="1" x14ac:dyDescent="0.25">
      <c r="A200" s="38">
        <f>Données!A194</f>
        <v>5723</v>
      </c>
      <c r="B200" s="421" t="str">
        <f>Données!B194</f>
        <v>Mies</v>
      </c>
      <c r="C200" s="31">
        <f>VPI!R194</f>
        <v>253768.06750000003</v>
      </c>
      <c r="D200" s="8">
        <f>Données!N194</f>
        <v>212985</v>
      </c>
      <c r="E200" s="174">
        <f>Données!O194+Données!P194+Données!R194</f>
        <v>1982292.9</v>
      </c>
      <c r="F200" s="390">
        <f t="shared" si="8"/>
        <v>1055041.95</v>
      </c>
      <c r="G200" s="390">
        <f>Ecrêtage!M194</f>
        <v>2882444.4910010123</v>
      </c>
      <c r="H200" s="391">
        <f t="shared" si="9"/>
        <v>3171682.303775907</v>
      </c>
      <c r="I200" s="245">
        <f t="shared" si="10"/>
        <v>7109168.7447769195</v>
      </c>
    </row>
    <row r="201" spans="1:9" s="35" customFormat="1" x14ac:dyDescent="0.25">
      <c r="A201" s="38">
        <f>Données!A195</f>
        <v>5724</v>
      </c>
      <c r="B201" s="421" t="str">
        <f>Données!B195</f>
        <v>Nyon</v>
      </c>
      <c r="C201" s="31">
        <f>VPI!R195</f>
        <v>1519986.9332786887</v>
      </c>
      <c r="D201" s="8">
        <f>Données!N195</f>
        <v>5455835.7000000002</v>
      </c>
      <c r="E201" s="174">
        <f>Données!O195+Données!P195+Données!R195</f>
        <v>8311215.4499999993</v>
      </c>
      <c r="F201" s="390">
        <f t="shared" si="8"/>
        <v>5792358.4349999996</v>
      </c>
      <c r="G201" s="390">
        <f>Ecrêtage!M195</f>
        <v>6810609.6076331856</v>
      </c>
      <c r="H201" s="391">
        <f t="shared" si="9"/>
        <v>18997329.74973546</v>
      </c>
      <c r="I201" s="245">
        <f t="shared" si="10"/>
        <v>31600297.792368643</v>
      </c>
    </row>
    <row r="202" spans="1:9" s="35" customFormat="1" x14ac:dyDescent="0.25">
      <c r="A202" s="38">
        <f>Données!A196</f>
        <v>5725</v>
      </c>
      <c r="B202" s="421" t="str">
        <f>Données!B196</f>
        <v>Prangins</v>
      </c>
      <c r="C202" s="31">
        <f>VPI!R196</f>
        <v>388906.70535064931</v>
      </c>
      <c r="D202" s="8">
        <f>Données!N196</f>
        <v>1061787.3999999999</v>
      </c>
      <c r="E202" s="174">
        <f>Données!O196+Données!P196+Données!R196</f>
        <v>1596922.0999999999</v>
      </c>
      <c r="F202" s="390">
        <f t="shared" si="8"/>
        <v>1116997.27</v>
      </c>
      <c r="G202" s="390">
        <f>Ecrêtage!M196</f>
        <v>3259109.2802511626</v>
      </c>
      <c r="H202" s="391">
        <f t="shared" si="9"/>
        <v>4860692.3925936632</v>
      </c>
      <c r="I202" s="245">
        <f t="shared" si="10"/>
        <v>9236798.9428448249</v>
      </c>
    </row>
    <row r="203" spans="1:9" s="35" customFormat="1" x14ac:dyDescent="0.25">
      <c r="A203" s="38">
        <f>Données!A197</f>
        <v>5726</v>
      </c>
      <c r="B203" s="421" t="str">
        <f>Données!B197</f>
        <v>La Rippe</v>
      </c>
      <c r="C203" s="31">
        <f>VPI!R197</f>
        <v>69785.14234375002</v>
      </c>
      <c r="D203" s="8">
        <f>Données!N197</f>
        <v>20131.75</v>
      </c>
      <c r="E203" s="174">
        <f>Données!O197+Données!P197+Données!R197</f>
        <v>411332.55</v>
      </c>
      <c r="F203" s="390">
        <f t="shared" si="8"/>
        <v>211705.8</v>
      </c>
      <c r="G203" s="390">
        <f>Ecrêtage!M197</f>
        <v>165407.20159447537</v>
      </c>
      <c r="H203" s="391">
        <f t="shared" si="9"/>
        <v>872199.1825790084</v>
      </c>
      <c r="I203" s="245">
        <f t="shared" si="10"/>
        <v>1249312.1841734839</v>
      </c>
    </row>
    <row r="204" spans="1:9" s="35" customFormat="1" x14ac:dyDescent="0.25">
      <c r="A204" s="38">
        <f>Données!A198</f>
        <v>5727</v>
      </c>
      <c r="B204" s="421" t="str">
        <f>Données!B198</f>
        <v>Saint-Cergue</v>
      </c>
      <c r="C204" s="31">
        <f>VPI!R198</f>
        <v>107047.00984848487</v>
      </c>
      <c r="D204" s="8">
        <f>Données!N198</f>
        <v>188988.35</v>
      </c>
      <c r="E204" s="174">
        <f>Données!O198+Données!P198+Données!R198</f>
        <v>1409286.2</v>
      </c>
      <c r="F204" s="390">
        <f t="shared" si="8"/>
        <v>761339.60499999998</v>
      </c>
      <c r="G204" s="390">
        <f>Ecrêtage!M198</f>
        <v>0</v>
      </c>
      <c r="H204" s="391">
        <f t="shared" si="9"/>
        <v>1337911.0703460146</v>
      </c>
      <c r="I204" s="245">
        <f t="shared" si="10"/>
        <v>2099250.6753460146</v>
      </c>
    </row>
    <row r="205" spans="1:9" s="35" customFormat="1" x14ac:dyDescent="0.25">
      <c r="A205" s="38">
        <f>Données!A199</f>
        <v>5728</v>
      </c>
      <c r="B205" s="421" t="str">
        <f>Données!B199</f>
        <v>Signy-Avenex</v>
      </c>
      <c r="C205" s="31">
        <f>VPI!R199</f>
        <v>65974.816379310345</v>
      </c>
      <c r="D205" s="8">
        <f>Données!N199</f>
        <v>185182.65</v>
      </c>
      <c r="E205" s="174">
        <f>Données!O199+Données!P199+Données!R199</f>
        <v>219984.55</v>
      </c>
      <c r="F205" s="390">
        <f t="shared" ref="F205:F268" si="11">D205*$D$11+E205*$E$11</f>
        <v>165547.07</v>
      </c>
      <c r="G205" s="390">
        <f>Ecrêtage!M199</f>
        <v>827873.55850212707</v>
      </c>
      <c r="H205" s="391">
        <f t="shared" ref="H205:H268" si="12">$H$11*C205</f>
        <v>824576.39239863562</v>
      </c>
      <c r="I205" s="245">
        <f t="shared" ref="I205:I268" si="13">F205+H205+G205</f>
        <v>1817997.0209007626</v>
      </c>
    </row>
    <row r="206" spans="1:9" s="35" customFormat="1" x14ac:dyDescent="0.25">
      <c r="A206" s="38">
        <f>Données!A200</f>
        <v>5729</v>
      </c>
      <c r="B206" s="421" t="str">
        <f>Données!B200</f>
        <v>Tannay</v>
      </c>
      <c r="C206" s="31">
        <f>VPI!R200</f>
        <v>189083.86110192843</v>
      </c>
      <c r="D206" s="8">
        <f>Données!N200</f>
        <v>15753.15</v>
      </c>
      <c r="E206" s="174">
        <f>Données!O200+Données!P200+Données!R200</f>
        <v>1809913.5</v>
      </c>
      <c r="F206" s="390">
        <f t="shared" si="11"/>
        <v>909682.69499999995</v>
      </c>
      <c r="G206" s="390">
        <f>Ecrêtage!M200</f>
        <v>2379563.2257666858</v>
      </c>
      <c r="H206" s="391">
        <f t="shared" si="12"/>
        <v>2363236.4075381858</v>
      </c>
      <c r="I206" s="245">
        <f t="shared" si="13"/>
        <v>5652482.3283048719</v>
      </c>
    </row>
    <row r="207" spans="1:9" s="35" customFormat="1" x14ac:dyDescent="0.25">
      <c r="A207" s="38">
        <f>Données!A201</f>
        <v>5730</v>
      </c>
      <c r="B207" s="421" t="str">
        <f>Données!B201</f>
        <v>Trélex</v>
      </c>
      <c r="C207" s="31">
        <f>VPI!R201</f>
        <v>121413.58176176177</v>
      </c>
      <c r="D207" s="8">
        <f>Données!N201</f>
        <v>17011.650000000001</v>
      </c>
      <c r="E207" s="174">
        <f>Données!O201+Données!P201+Données!R201</f>
        <v>1095255.6000000001</v>
      </c>
      <c r="F207" s="390">
        <f t="shared" si="11"/>
        <v>552731.29500000004</v>
      </c>
      <c r="G207" s="390">
        <f>Ecrêtage!M201</f>
        <v>912051.47005096683</v>
      </c>
      <c r="H207" s="391">
        <f t="shared" si="12"/>
        <v>1517469.5244579145</v>
      </c>
      <c r="I207" s="245">
        <f t="shared" si="13"/>
        <v>2982252.2895088815</v>
      </c>
    </row>
    <row r="208" spans="1:9" s="35" customFormat="1" x14ac:dyDescent="0.25">
      <c r="A208" s="38">
        <f>Données!A202</f>
        <v>5731</v>
      </c>
      <c r="B208" s="421" t="str">
        <f>Données!B202</f>
        <v>Le Vaud</v>
      </c>
      <c r="C208" s="31">
        <f>VPI!R202</f>
        <v>69610.281891891893</v>
      </c>
      <c r="D208" s="8">
        <f>Données!N202</f>
        <v>40435</v>
      </c>
      <c r="E208" s="174">
        <f>Données!O202+Données!P202+Données!R202</f>
        <v>224967.45</v>
      </c>
      <c r="F208" s="390">
        <f t="shared" si="11"/>
        <v>124614.22500000001</v>
      </c>
      <c r="G208" s="390">
        <f>Ecrêtage!M202</f>
        <v>29758.552859566895</v>
      </c>
      <c r="H208" s="391">
        <f t="shared" si="12"/>
        <v>870013.71532833204</v>
      </c>
      <c r="I208" s="245">
        <f t="shared" si="13"/>
        <v>1024386.4931878989</v>
      </c>
    </row>
    <row r="209" spans="1:9" s="35" customFormat="1" x14ac:dyDescent="0.25">
      <c r="A209" s="38">
        <f>Données!A203</f>
        <v>5732</v>
      </c>
      <c r="B209" s="421" t="str">
        <f>Données!B203</f>
        <v>Vich</v>
      </c>
      <c r="C209" s="31">
        <f>VPI!R203</f>
        <v>79859.716666666689</v>
      </c>
      <c r="D209" s="8">
        <f>Données!N203</f>
        <v>112018.45</v>
      </c>
      <c r="E209" s="174">
        <f>Données!O203+Données!P203+Données!R203</f>
        <v>300613.8</v>
      </c>
      <c r="F209" s="390">
        <f t="shared" si="11"/>
        <v>183912.435</v>
      </c>
      <c r="G209" s="390">
        <f>Ecrêtage!M203</f>
        <v>388968.43411972979</v>
      </c>
      <c r="H209" s="391">
        <f t="shared" si="12"/>
        <v>998114.74560811149</v>
      </c>
      <c r="I209" s="245">
        <f t="shared" si="13"/>
        <v>1570995.6147278412</v>
      </c>
    </row>
    <row r="210" spans="1:9" s="35" customFormat="1" x14ac:dyDescent="0.25">
      <c r="A210" s="38">
        <f>Données!A204</f>
        <v>5741</v>
      </c>
      <c r="B210" s="421" t="str">
        <f>Données!B204</f>
        <v>L'Abergement</v>
      </c>
      <c r="C210" s="31">
        <f>VPI!R204</f>
        <v>10833.767520833331</v>
      </c>
      <c r="D210" s="8">
        <f>Données!N204</f>
        <v>5545.6</v>
      </c>
      <c r="E210" s="174">
        <f>Données!O204+Données!P204+Données!R204</f>
        <v>30731.75</v>
      </c>
      <c r="F210" s="390">
        <f t="shared" si="11"/>
        <v>17029.555</v>
      </c>
      <c r="G210" s="390">
        <f>Ecrêtage!M204</f>
        <v>0</v>
      </c>
      <c r="H210" s="391">
        <f t="shared" si="12"/>
        <v>135404.22586482143</v>
      </c>
      <c r="I210" s="245">
        <f t="shared" si="13"/>
        <v>152433.78086482143</v>
      </c>
    </row>
    <row r="211" spans="1:9" s="35" customFormat="1" x14ac:dyDescent="0.25">
      <c r="A211" s="38">
        <f>Données!A205</f>
        <v>5742</v>
      </c>
      <c r="B211" s="421" t="str">
        <f>Données!B205</f>
        <v>Agiez</v>
      </c>
      <c r="C211" s="31">
        <f>VPI!R205</f>
        <v>9049.0200000000023</v>
      </c>
      <c r="D211" s="8">
        <f>Données!N205</f>
        <v>3021.6</v>
      </c>
      <c r="E211" s="174">
        <f>Données!O205+Données!P205+Données!R205</f>
        <v>0</v>
      </c>
      <c r="F211" s="390">
        <f t="shared" si="11"/>
        <v>906.4799999999999</v>
      </c>
      <c r="G211" s="390">
        <f>Ecrêtage!M205</f>
        <v>0</v>
      </c>
      <c r="H211" s="391">
        <f t="shared" si="12"/>
        <v>113097.82544060341</v>
      </c>
      <c r="I211" s="245">
        <f t="shared" si="13"/>
        <v>114004.30544060341</v>
      </c>
    </row>
    <row r="212" spans="1:9" s="35" customFormat="1" x14ac:dyDescent="0.25">
      <c r="A212" s="38">
        <f>Données!A206</f>
        <v>5743</v>
      </c>
      <c r="B212" s="421" t="str">
        <f>Données!B206</f>
        <v>Arnex-sur-Orbe</v>
      </c>
      <c r="C212" s="31">
        <f>VPI!R206</f>
        <v>19423.434366197183</v>
      </c>
      <c r="D212" s="8">
        <f>Données!N206</f>
        <v>27200.2</v>
      </c>
      <c r="E212" s="174">
        <f>Données!O206+Données!P206+Données!R206</f>
        <v>161662</v>
      </c>
      <c r="F212" s="390">
        <f t="shared" si="11"/>
        <v>88991.06</v>
      </c>
      <c r="G212" s="390">
        <f>Ecrêtage!M206</f>
        <v>0</v>
      </c>
      <c r="H212" s="391">
        <f t="shared" si="12"/>
        <v>242760.89448417461</v>
      </c>
      <c r="I212" s="245">
        <f t="shared" si="13"/>
        <v>331751.95448417461</v>
      </c>
    </row>
    <row r="213" spans="1:9" s="35" customFormat="1" x14ac:dyDescent="0.25">
      <c r="A213" s="38">
        <f>Données!A207</f>
        <v>5744</v>
      </c>
      <c r="B213" s="421" t="str">
        <f>Données!B207</f>
        <v>Ballaigues</v>
      </c>
      <c r="C213" s="31">
        <f>VPI!R207</f>
        <v>54083.704307692322</v>
      </c>
      <c r="D213" s="8">
        <f>Données!N207</f>
        <v>1643117.75</v>
      </c>
      <c r="E213" s="174">
        <f>Données!O207+Données!P207+Données!R207</f>
        <v>168565</v>
      </c>
      <c r="F213" s="390">
        <f t="shared" si="11"/>
        <v>577217.82499999995</v>
      </c>
      <c r="G213" s="390">
        <f>Ecrêtage!M207</f>
        <v>0</v>
      </c>
      <c r="H213" s="391">
        <f t="shared" si="12"/>
        <v>675957.10352862463</v>
      </c>
      <c r="I213" s="245">
        <f t="shared" si="13"/>
        <v>1253174.9285286246</v>
      </c>
    </row>
    <row r="214" spans="1:9" s="35" customFormat="1" x14ac:dyDescent="0.25">
      <c r="A214" s="38">
        <f>Données!A208</f>
        <v>5745</v>
      </c>
      <c r="B214" s="421" t="str">
        <f>Données!B208</f>
        <v>Baulmes</v>
      </c>
      <c r="C214" s="31">
        <f>VPI!R208</f>
        <v>27704.620130718955</v>
      </c>
      <c r="D214" s="8">
        <f>Données!N208</f>
        <v>212726.7</v>
      </c>
      <c r="E214" s="174">
        <f>Données!O208+Données!P208+Données!R208</f>
        <v>145742.70000000001</v>
      </c>
      <c r="F214" s="390">
        <f t="shared" si="11"/>
        <v>136689.36000000002</v>
      </c>
      <c r="G214" s="390">
        <f>Ecrêtage!M208</f>
        <v>0</v>
      </c>
      <c r="H214" s="391">
        <f t="shared" si="12"/>
        <v>346262.05837121356</v>
      </c>
      <c r="I214" s="245">
        <f t="shared" si="13"/>
        <v>482951.4183712136</v>
      </c>
    </row>
    <row r="215" spans="1:9" s="35" customFormat="1" x14ac:dyDescent="0.25">
      <c r="A215" s="38">
        <f>Données!A209</f>
        <v>5746</v>
      </c>
      <c r="B215" s="421" t="str">
        <f>Données!B209</f>
        <v>Bavois</v>
      </c>
      <c r="C215" s="31">
        <f>VPI!R209</f>
        <v>29513.069143518514</v>
      </c>
      <c r="D215" s="8">
        <f>Données!N209</f>
        <v>4091.65</v>
      </c>
      <c r="E215" s="174">
        <f>Données!O209+Données!P209+Données!R209</f>
        <v>251850.59999999998</v>
      </c>
      <c r="F215" s="390">
        <f t="shared" si="11"/>
        <v>127152.79499999998</v>
      </c>
      <c r="G215" s="390">
        <f>Ecrêtage!M209</f>
        <v>0</v>
      </c>
      <c r="H215" s="391">
        <f t="shared" si="12"/>
        <v>368864.68835411069</v>
      </c>
      <c r="I215" s="245">
        <f t="shared" si="13"/>
        <v>496017.48335411068</v>
      </c>
    </row>
    <row r="216" spans="1:9" s="35" customFormat="1" x14ac:dyDescent="0.25">
      <c r="A216" s="38">
        <f>Données!A210</f>
        <v>5747</v>
      </c>
      <c r="B216" s="421" t="str">
        <f>Données!B210</f>
        <v>Bofflens</v>
      </c>
      <c r="C216" s="31">
        <f>VPI!R210</f>
        <v>5777.9618840579697</v>
      </c>
      <c r="D216" s="8">
        <f>Données!N210</f>
        <v>0</v>
      </c>
      <c r="E216" s="174">
        <f>Données!O210+Données!P210+Données!R210</f>
        <v>79297.5</v>
      </c>
      <c r="F216" s="390">
        <f t="shared" si="11"/>
        <v>39648.75</v>
      </c>
      <c r="G216" s="390">
        <f>Ecrêtage!M210</f>
        <v>0</v>
      </c>
      <c r="H216" s="391">
        <f t="shared" si="12"/>
        <v>72214.99395135032</v>
      </c>
      <c r="I216" s="245">
        <f t="shared" si="13"/>
        <v>111863.74395135032</v>
      </c>
    </row>
    <row r="217" spans="1:9" s="35" customFormat="1" x14ac:dyDescent="0.25">
      <c r="A217" s="38">
        <f>Données!A211</f>
        <v>5748</v>
      </c>
      <c r="B217" s="421" t="str">
        <f>Données!B211</f>
        <v>Bretonnières</v>
      </c>
      <c r="C217" s="31">
        <f>VPI!R211</f>
        <v>6762.44146572104</v>
      </c>
      <c r="D217" s="8">
        <f>Données!N211</f>
        <v>1720.55</v>
      </c>
      <c r="E217" s="174">
        <f>Données!O211+Données!P211+Données!R211</f>
        <v>38967.949999999997</v>
      </c>
      <c r="F217" s="390">
        <f t="shared" si="11"/>
        <v>20000.14</v>
      </c>
      <c r="G217" s="390">
        <f>Ecrêtage!M211</f>
        <v>0</v>
      </c>
      <c r="H217" s="391">
        <f t="shared" si="12"/>
        <v>84519.365018799406</v>
      </c>
      <c r="I217" s="245">
        <f t="shared" si="13"/>
        <v>104519.50501879941</v>
      </c>
    </row>
    <row r="218" spans="1:9" s="35" customFormat="1" x14ac:dyDescent="0.25">
      <c r="A218" s="38">
        <f>Données!A212</f>
        <v>5749</v>
      </c>
      <c r="B218" s="421" t="str">
        <f>Données!B212</f>
        <v>Chavornay</v>
      </c>
      <c r="C218" s="31">
        <f>VPI!R212</f>
        <v>144688.12992907799</v>
      </c>
      <c r="D218" s="8">
        <f>Données!N212</f>
        <v>650839.5</v>
      </c>
      <c r="E218" s="174">
        <f>Données!O212+Données!P212+Données!R212</f>
        <v>470950.10000000003</v>
      </c>
      <c r="F218" s="390">
        <f t="shared" si="11"/>
        <v>430726.9</v>
      </c>
      <c r="G218" s="390">
        <f>Ecrêtage!M212</f>
        <v>0</v>
      </c>
      <c r="H218" s="391">
        <f t="shared" si="12"/>
        <v>1808362.9898095266</v>
      </c>
      <c r="I218" s="245">
        <f t="shared" si="13"/>
        <v>2239089.8898095265</v>
      </c>
    </row>
    <row r="219" spans="1:9" s="35" customFormat="1" x14ac:dyDescent="0.25">
      <c r="A219" s="38">
        <f>Données!A213</f>
        <v>5750</v>
      </c>
      <c r="B219" s="421" t="str">
        <f>Données!B213</f>
        <v>Les Clées</v>
      </c>
      <c r="C219" s="31">
        <f>VPI!R213</f>
        <v>5460.4397083333333</v>
      </c>
      <c r="D219" s="8">
        <f>Données!N213</f>
        <v>9772.5499999999993</v>
      </c>
      <c r="E219" s="174">
        <f>Données!O213+Données!P213+Données!R213</f>
        <v>55920.55</v>
      </c>
      <c r="F219" s="390">
        <f t="shared" si="11"/>
        <v>30892.04</v>
      </c>
      <c r="G219" s="390">
        <f>Ecrêtage!M213</f>
        <v>0</v>
      </c>
      <c r="H219" s="391">
        <f t="shared" si="12"/>
        <v>68246.490444492607</v>
      </c>
      <c r="I219" s="245">
        <f t="shared" si="13"/>
        <v>99138.530444492615</v>
      </c>
    </row>
    <row r="220" spans="1:9" s="35" customFormat="1" x14ac:dyDescent="0.25">
      <c r="A220" s="38">
        <f>Données!A214</f>
        <v>5752</v>
      </c>
      <c r="B220" s="421" t="str">
        <f>Données!B214</f>
        <v>Croy</v>
      </c>
      <c r="C220" s="31">
        <f>VPI!R214</f>
        <v>10204.205250965251</v>
      </c>
      <c r="D220" s="8">
        <f>Données!N214</f>
        <v>34274.050000000003</v>
      </c>
      <c r="E220" s="174">
        <f>Données!O214+Données!P214+Données!R214</f>
        <v>30677</v>
      </c>
      <c r="F220" s="390">
        <f t="shared" si="11"/>
        <v>25620.715</v>
      </c>
      <c r="G220" s="390">
        <f>Ecrêtage!M214</f>
        <v>0</v>
      </c>
      <c r="H220" s="391">
        <f t="shared" si="12"/>
        <v>127535.7358292673</v>
      </c>
      <c r="I220" s="245">
        <f t="shared" si="13"/>
        <v>153156.4508292673</v>
      </c>
    </row>
    <row r="221" spans="1:9" s="35" customFormat="1" x14ac:dyDescent="0.25">
      <c r="A221" s="38">
        <f>Données!A215</f>
        <v>5754</v>
      </c>
      <c r="B221" s="421" t="str">
        <f>Données!B215</f>
        <v>Juriens</v>
      </c>
      <c r="C221" s="31">
        <f>VPI!R215</f>
        <v>8633.221645569618</v>
      </c>
      <c r="D221" s="8">
        <f>Données!N215</f>
        <v>0</v>
      </c>
      <c r="E221" s="174">
        <f>Données!O215+Données!P215+Données!R215</f>
        <v>325112.40000000002</v>
      </c>
      <c r="F221" s="390">
        <f t="shared" si="11"/>
        <v>162556.20000000001</v>
      </c>
      <c r="G221" s="390">
        <f>Ecrêtage!M215</f>
        <v>0</v>
      </c>
      <c r="H221" s="391">
        <f t="shared" si="12"/>
        <v>107901.0317869417</v>
      </c>
      <c r="I221" s="245">
        <f t="shared" si="13"/>
        <v>270457.2317869417</v>
      </c>
    </row>
    <row r="222" spans="1:9" s="35" customFormat="1" x14ac:dyDescent="0.25">
      <c r="A222" s="38">
        <f>Données!A216</f>
        <v>5755</v>
      </c>
      <c r="B222" s="421" t="str">
        <f>Données!B216</f>
        <v>Lignerolle</v>
      </c>
      <c r="C222" s="31">
        <f>VPI!R216</f>
        <v>10920.772411282986</v>
      </c>
      <c r="D222" s="8">
        <f>Données!N216</f>
        <v>50773.55</v>
      </c>
      <c r="E222" s="174">
        <f>Données!O216+Données!P216+Données!R216</f>
        <v>73124.95</v>
      </c>
      <c r="F222" s="390">
        <f t="shared" si="11"/>
        <v>51794.54</v>
      </c>
      <c r="G222" s="390">
        <f>Ecrêtage!M216</f>
        <v>0</v>
      </c>
      <c r="H222" s="391">
        <f t="shared" si="12"/>
        <v>136491.64349817333</v>
      </c>
      <c r="I222" s="245">
        <f t="shared" si="13"/>
        <v>188286.18349817334</v>
      </c>
    </row>
    <row r="223" spans="1:9" s="35" customFormat="1" x14ac:dyDescent="0.25">
      <c r="A223" s="38">
        <f>Données!A217</f>
        <v>5756</v>
      </c>
      <c r="B223" s="421" t="str">
        <f>Données!B217</f>
        <v>Montcherand</v>
      </c>
      <c r="C223" s="31">
        <f>VPI!R217</f>
        <v>17503.013888888887</v>
      </c>
      <c r="D223" s="8">
        <f>Données!N217</f>
        <v>11823.3</v>
      </c>
      <c r="E223" s="174">
        <f>Données!O217+Données!P217+Données!R217</f>
        <v>19326.25</v>
      </c>
      <c r="F223" s="390">
        <f t="shared" si="11"/>
        <v>13210.115</v>
      </c>
      <c r="G223" s="390">
        <f>Ecrêtage!M217</f>
        <v>0</v>
      </c>
      <c r="H223" s="391">
        <f t="shared" si="12"/>
        <v>218758.80586958717</v>
      </c>
      <c r="I223" s="245">
        <f t="shared" si="13"/>
        <v>231968.92086958716</v>
      </c>
    </row>
    <row r="224" spans="1:9" s="35" customFormat="1" x14ac:dyDescent="0.25">
      <c r="A224" s="38">
        <f>Données!A218</f>
        <v>5757</v>
      </c>
      <c r="B224" s="421" t="str">
        <f>Données!B218</f>
        <v>Orbe</v>
      </c>
      <c r="C224" s="31">
        <f>VPI!R218</f>
        <v>217746.16132450331</v>
      </c>
      <c r="D224" s="8">
        <f>Données!N218</f>
        <v>3330927</v>
      </c>
      <c r="E224" s="174">
        <f>Données!O218+Données!P218+Données!R218</f>
        <v>1528466.2000000002</v>
      </c>
      <c r="F224" s="390">
        <f t="shared" si="11"/>
        <v>1763511.2000000002</v>
      </c>
      <c r="G224" s="390">
        <f>Ecrêtage!M218</f>
        <v>0</v>
      </c>
      <c r="H224" s="391">
        <f t="shared" si="12"/>
        <v>2721467.8875546898</v>
      </c>
      <c r="I224" s="245">
        <f t="shared" si="13"/>
        <v>4484979.0875546895</v>
      </c>
    </row>
    <row r="225" spans="1:9" s="35" customFormat="1" x14ac:dyDescent="0.25">
      <c r="A225" s="38">
        <f>Données!A219</f>
        <v>5758</v>
      </c>
      <c r="B225" s="421" t="str">
        <f>Données!B219</f>
        <v>La Praz</v>
      </c>
      <c r="C225" s="31">
        <f>VPI!R219</f>
        <v>4500.7037349397597</v>
      </c>
      <c r="D225" s="8">
        <f>Données!N219</f>
        <v>497.55</v>
      </c>
      <c r="E225" s="174">
        <f>Données!O219+Données!P219+Données!R219</f>
        <v>2090</v>
      </c>
      <c r="F225" s="390">
        <f t="shared" si="11"/>
        <v>1194.2649999999999</v>
      </c>
      <c r="G225" s="390">
        <f>Ecrêtage!M219</f>
        <v>0</v>
      </c>
      <c r="H225" s="391">
        <f t="shared" si="12"/>
        <v>56251.373670749825</v>
      </c>
      <c r="I225" s="245">
        <f t="shared" si="13"/>
        <v>57445.638670749824</v>
      </c>
    </row>
    <row r="226" spans="1:9" s="35" customFormat="1" x14ac:dyDescent="0.25">
      <c r="A226" s="38">
        <f>Données!A220</f>
        <v>5759</v>
      </c>
      <c r="B226" s="421" t="str">
        <f>Données!B220</f>
        <v>Premier</v>
      </c>
      <c r="C226" s="31">
        <f>VPI!R220</f>
        <v>5667.0481761006295</v>
      </c>
      <c r="D226" s="8">
        <f>Données!N220</f>
        <v>4142.25</v>
      </c>
      <c r="E226" s="174">
        <f>Données!O220+Données!P220+Données!R220</f>
        <v>41408.65</v>
      </c>
      <c r="F226" s="390">
        <f t="shared" si="11"/>
        <v>21947</v>
      </c>
      <c r="G226" s="390">
        <f>Ecrêtage!M220</f>
        <v>0</v>
      </c>
      <c r="H226" s="391">
        <f t="shared" si="12"/>
        <v>70828.755531993374</v>
      </c>
      <c r="I226" s="245">
        <f t="shared" si="13"/>
        <v>92775.755531993374</v>
      </c>
    </row>
    <row r="227" spans="1:9" s="35" customFormat="1" x14ac:dyDescent="0.25">
      <c r="A227" s="38">
        <f>Données!A221</f>
        <v>5760</v>
      </c>
      <c r="B227" s="421" t="str">
        <f>Données!B221</f>
        <v>Rances</v>
      </c>
      <c r="C227" s="31">
        <f>VPI!R221</f>
        <v>16308.667189542481</v>
      </c>
      <c r="D227" s="8">
        <f>Données!N221</f>
        <v>31918.75</v>
      </c>
      <c r="E227" s="174">
        <f>Données!O221+Données!P221+Données!R221</f>
        <v>122747.29999999999</v>
      </c>
      <c r="F227" s="390">
        <f t="shared" si="11"/>
        <v>70949.274999999994</v>
      </c>
      <c r="G227" s="390">
        <f>Ecrêtage!M221</f>
        <v>0</v>
      </c>
      <c r="H227" s="391">
        <f t="shared" si="12"/>
        <v>203831.44196518199</v>
      </c>
      <c r="I227" s="245">
        <f t="shared" si="13"/>
        <v>274780.71696518199</v>
      </c>
    </row>
    <row r="228" spans="1:9" s="35" customFormat="1" x14ac:dyDescent="0.25">
      <c r="A228" s="38">
        <f>Données!A222</f>
        <v>5761</v>
      </c>
      <c r="B228" s="421" t="str">
        <f>Données!B222</f>
        <v>Romainmôtier-Envy</v>
      </c>
      <c r="C228" s="31">
        <f>VPI!R222</f>
        <v>14407.745072951739</v>
      </c>
      <c r="D228" s="8">
        <f>Données!N222</f>
        <v>75342.05</v>
      </c>
      <c r="E228" s="174">
        <f>Données!O222+Données!P222+Données!R222</f>
        <v>50770.2</v>
      </c>
      <c r="F228" s="390">
        <f t="shared" si="11"/>
        <v>47987.714999999997</v>
      </c>
      <c r="G228" s="390">
        <f>Ecrêtage!M222</f>
        <v>0</v>
      </c>
      <c r="H228" s="391">
        <f t="shared" si="12"/>
        <v>180073.05070089459</v>
      </c>
      <c r="I228" s="245">
        <f t="shared" si="13"/>
        <v>228060.76570089458</v>
      </c>
    </row>
    <row r="229" spans="1:9" s="35" customFormat="1" x14ac:dyDescent="0.25">
      <c r="A229" s="38">
        <f>Données!A223</f>
        <v>5762</v>
      </c>
      <c r="B229" s="421" t="str">
        <f>Données!B223</f>
        <v>Sergey</v>
      </c>
      <c r="C229" s="31">
        <f>VPI!R223</f>
        <v>3741.3970512820511</v>
      </c>
      <c r="D229" s="8">
        <f>Données!N223</f>
        <v>11860.15</v>
      </c>
      <c r="E229" s="174">
        <f>Données!O223+Données!P223+Données!R223</f>
        <v>6230.7</v>
      </c>
      <c r="F229" s="390">
        <f t="shared" si="11"/>
        <v>6673.3949999999995</v>
      </c>
      <c r="G229" s="390">
        <f>Ecrêtage!M223</f>
        <v>0</v>
      </c>
      <c r="H229" s="391">
        <f t="shared" si="12"/>
        <v>46761.29245044056</v>
      </c>
      <c r="I229" s="245">
        <f t="shared" si="13"/>
        <v>53434.687450440557</v>
      </c>
    </row>
    <row r="230" spans="1:9" s="35" customFormat="1" x14ac:dyDescent="0.25">
      <c r="A230" s="38">
        <f>Données!A224</f>
        <v>5763</v>
      </c>
      <c r="B230" s="421" t="str">
        <f>Données!B224</f>
        <v>Valeyres-sous-Rances</v>
      </c>
      <c r="C230" s="31">
        <f>VPI!R224</f>
        <v>22296.785352112674</v>
      </c>
      <c r="D230" s="8">
        <f>Données!N224</f>
        <v>28645.15</v>
      </c>
      <c r="E230" s="174">
        <f>Données!O224+Données!P224+Données!R224</f>
        <v>22840.15</v>
      </c>
      <c r="F230" s="390">
        <f t="shared" si="11"/>
        <v>20013.620000000003</v>
      </c>
      <c r="G230" s="390">
        <f>Ecrêtage!M224</f>
        <v>0</v>
      </c>
      <c r="H230" s="391">
        <f t="shared" si="12"/>
        <v>278673.04278693622</v>
      </c>
      <c r="I230" s="245">
        <f t="shared" si="13"/>
        <v>298686.66278693621</v>
      </c>
    </row>
    <row r="231" spans="1:9" s="35" customFormat="1" x14ac:dyDescent="0.25">
      <c r="A231" s="38">
        <f>Données!A225</f>
        <v>5764</v>
      </c>
      <c r="B231" s="421" t="str">
        <f>Données!B225</f>
        <v>Vallorbe</v>
      </c>
      <c r="C231" s="31">
        <f>VPI!R225</f>
        <v>83714.253286713283</v>
      </c>
      <c r="D231" s="8">
        <f>Données!N225</f>
        <v>2438828.15</v>
      </c>
      <c r="E231" s="174">
        <f>Données!O225+Données!P225+Données!R225</f>
        <v>651890.39999999991</v>
      </c>
      <c r="F231" s="390">
        <f t="shared" si="11"/>
        <v>1057593.645</v>
      </c>
      <c r="G231" s="390">
        <f>Ecrêtage!M225</f>
        <v>0</v>
      </c>
      <c r="H231" s="391">
        <f t="shared" si="12"/>
        <v>1046290.0960668842</v>
      </c>
      <c r="I231" s="245">
        <f t="shared" si="13"/>
        <v>2103883.7410668842</v>
      </c>
    </row>
    <row r="232" spans="1:9" s="35" customFormat="1" x14ac:dyDescent="0.25">
      <c r="A232" s="38">
        <f>Données!A226</f>
        <v>5765</v>
      </c>
      <c r="B232" s="421" t="str">
        <f>Données!B226</f>
        <v>Vaulion</v>
      </c>
      <c r="C232" s="31">
        <f>VPI!R226</f>
        <v>9627.8182716049378</v>
      </c>
      <c r="D232" s="8">
        <f>Données!N226</f>
        <v>28577.200000000001</v>
      </c>
      <c r="E232" s="174">
        <f>Données!O226+Données!P226+Données!R226</f>
        <v>13833.349999999999</v>
      </c>
      <c r="F232" s="390">
        <f t="shared" si="11"/>
        <v>15489.834999999999</v>
      </c>
      <c r="G232" s="390">
        <f>Ecrêtage!M226</f>
        <v>0</v>
      </c>
      <c r="H232" s="391">
        <f t="shared" si="12"/>
        <v>120331.84922299066</v>
      </c>
      <c r="I232" s="245">
        <f t="shared" si="13"/>
        <v>135821.68422299065</v>
      </c>
    </row>
    <row r="233" spans="1:9" s="35" customFormat="1" x14ac:dyDescent="0.25">
      <c r="A233" s="38">
        <f>Données!A227</f>
        <v>5766</v>
      </c>
      <c r="B233" s="421" t="str">
        <f>Données!B227</f>
        <v>Vuiteboeuf</v>
      </c>
      <c r="C233" s="31">
        <f>VPI!R227</f>
        <v>15422.129161904764</v>
      </c>
      <c r="D233" s="8">
        <f>Données!N227</f>
        <v>34762.300000000003</v>
      </c>
      <c r="E233" s="174">
        <f>Données!O227+Données!P227+Données!R227</f>
        <v>169681.75</v>
      </c>
      <c r="F233" s="390">
        <f t="shared" si="11"/>
        <v>95269.565000000002</v>
      </c>
      <c r="G233" s="390">
        <f>Ecrêtage!M227</f>
        <v>0</v>
      </c>
      <c r="H233" s="391">
        <f t="shared" si="12"/>
        <v>192751.17878792883</v>
      </c>
      <c r="I233" s="245">
        <f t="shared" si="13"/>
        <v>288020.74378792883</v>
      </c>
    </row>
    <row r="234" spans="1:9" s="35" customFormat="1" x14ac:dyDescent="0.25">
      <c r="A234" s="38">
        <f>Données!A228</f>
        <v>5785</v>
      </c>
      <c r="B234" s="421" t="str">
        <f>Données!B228</f>
        <v>Corcelles-le-Jorat</v>
      </c>
      <c r="C234" s="31">
        <f>VPI!R228</f>
        <v>15461.79373333333</v>
      </c>
      <c r="D234" s="8">
        <f>Données!N228</f>
        <v>0</v>
      </c>
      <c r="E234" s="174">
        <f>Données!O228+Données!P228+Données!R228</f>
        <v>36292.25</v>
      </c>
      <c r="F234" s="390">
        <f t="shared" si="11"/>
        <v>18146.125</v>
      </c>
      <c r="G234" s="390">
        <f>Ecrêtage!M228</f>
        <v>0</v>
      </c>
      <c r="H234" s="391">
        <f t="shared" si="12"/>
        <v>193246.9205119613</v>
      </c>
      <c r="I234" s="245">
        <f t="shared" si="13"/>
        <v>211393.0455119613</v>
      </c>
    </row>
    <row r="235" spans="1:9" s="35" customFormat="1" x14ac:dyDescent="0.25">
      <c r="A235" s="38">
        <f>Données!A229</f>
        <v>5790</v>
      </c>
      <c r="B235" s="421" t="str">
        <f>Données!B229</f>
        <v>Maracon</v>
      </c>
      <c r="C235" s="31">
        <f>VPI!R229</f>
        <v>16326.326308724832</v>
      </c>
      <c r="D235" s="8">
        <f>Données!N229</f>
        <v>8883.9500000000007</v>
      </c>
      <c r="E235" s="174">
        <f>Données!O229+Données!P229+Données!R229</f>
        <v>21054.25</v>
      </c>
      <c r="F235" s="390">
        <f t="shared" si="11"/>
        <v>13192.31</v>
      </c>
      <c r="G235" s="390">
        <f>Ecrêtage!M229</f>
        <v>0</v>
      </c>
      <c r="H235" s="391">
        <f t="shared" si="12"/>
        <v>204052.15182975522</v>
      </c>
      <c r="I235" s="245">
        <f t="shared" si="13"/>
        <v>217244.46182975522</v>
      </c>
    </row>
    <row r="236" spans="1:9" s="35" customFormat="1" x14ac:dyDescent="0.25">
      <c r="A236" s="38">
        <f>Données!A230</f>
        <v>5792</v>
      </c>
      <c r="B236" s="421" t="str">
        <f>Données!B230</f>
        <v>Montpreveyres</v>
      </c>
      <c r="C236" s="31">
        <f>VPI!R230</f>
        <v>19363.003178807943</v>
      </c>
      <c r="D236" s="8">
        <f>Données!N230</f>
        <v>0</v>
      </c>
      <c r="E236" s="174">
        <f>Données!O230+Données!P230+Données!R230</f>
        <v>39045.4</v>
      </c>
      <c r="F236" s="390">
        <f t="shared" si="11"/>
        <v>19522.7</v>
      </c>
      <c r="G236" s="390">
        <f>Ecrêtage!M230</f>
        <v>0</v>
      </c>
      <c r="H236" s="391">
        <f t="shared" si="12"/>
        <v>242005.60431103798</v>
      </c>
      <c r="I236" s="245">
        <f t="shared" si="13"/>
        <v>261528.30431103799</v>
      </c>
    </row>
    <row r="237" spans="1:9" s="35" customFormat="1" x14ac:dyDescent="0.25">
      <c r="A237" s="38">
        <f>Données!A231</f>
        <v>5798</v>
      </c>
      <c r="B237" s="421" t="str">
        <f>Données!B231</f>
        <v>Ropraz</v>
      </c>
      <c r="C237" s="31">
        <f>VPI!R231</f>
        <v>16208.095096774196</v>
      </c>
      <c r="D237" s="8">
        <f>Données!N231</f>
        <v>23607.15</v>
      </c>
      <c r="E237" s="174">
        <f>Données!O231+Données!P231+Données!R231</f>
        <v>62337.600000000006</v>
      </c>
      <c r="F237" s="390">
        <f t="shared" si="11"/>
        <v>38250.945000000007</v>
      </c>
      <c r="G237" s="390">
        <f>Ecrêtage!M231</f>
        <v>0</v>
      </c>
      <c r="H237" s="391">
        <f t="shared" si="12"/>
        <v>202574.45667925006</v>
      </c>
      <c r="I237" s="245">
        <f t="shared" si="13"/>
        <v>240825.40167925006</v>
      </c>
    </row>
    <row r="238" spans="1:9" s="35" customFormat="1" x14ac:dyDescent="0.25">
      <c r="A238" s="38">
        <f>Données!A232</f>
        <v>5799</v>
      </c>
      <c r="B238" s="421" t="str">
        <f>Données!B232</f>
        <v>Servion</v>
      </c>
      <c r="C238" s="31">
        <f>VPI!R232</f>
        <v>73170.005797101461</v>
      </c>
      <c r="D238" s="8">
        <f>Données!N232</f>
        <v>35318.199999999997</v>
      </c>
      <c r="E238" s="174">
        <f>Données!O232+Données!P232+Données!R232</f>
        <v>823281.3</v>
      </c>
      <c r="F238" s="390">
        <f t="shared" si="11"/>
        <v>422236.11000000004</v>
      </c>
      <c r="G238" s="390">
        <f>Ecrêtage!M232</f>
        <v>0</v>
      </c>
      <c r="H238" s="391">
        <f t="shared" si="12"/>
        <v>914504.3930866014</v>
      </c>
      <c r="I238" s="245">
        <f t="shared" si="13"/>
        <v>1336740.5030866014</v>
      </c>
    </row>
    <row r="239" spans="1:9" s="35" customFormat="1" x14ac:dyDescent="0.25">
      <c r="A239" s="38">
        <f>Données!A233</f>
        <v>5803</v>
      </c>
      <c r="B239" s="421" t="str">
        <f>Données!B233</f>
        <v>Vulliens</v>
      </c>
      <c r="C239" s="31">
        <f>VPI!R233</f>
        <v>16577.495675675673</v>
      </c>
      <c r="D239" s="8">
        <f>Données!N233</f>
        <v>1523.85</v>
      </c>
      <c r="E239" s="174">
        <f>Données!O233+Données!P233+Données!R233</f>
        <v>135281.45000000001</v>
      </c>
      <c r="F239" s="390">
        <f t="shared" si="11"/>
        <v>68097.88</v>
      </c>
      <c r="G239" s="390">
        <f>Ecrêtage!M233</f>
        <v>0</v>
      </c>
      <c r="H239" s="391">
        <f t="shared" si="12"/>
        <v>207191.35466270652</v>
      </c>
      <c r="I239" s="245">
        <f t="shared" si="13"/>
        <v>275289.2346627065</v>
      </c>
    </row>
    <row r="240" spans="1:9" s="35" customFormat="1" x14ac:dyDescent="0.25">
      <c r="A240" s="38">
        <f>Données!A234</f>
        <v>5804</v>
      </c>
      <c r="B240" s="421" t="str">
        <f>Données!B234</f>
        <v>Jorat-Menthue</v>
      </c>
      <c r="C240" s="31">
        <f>VPI!R234</f>
        <v>45125.096170212761</v>
      </c>
      <c r="D240" s="8">
        <f>Données!N234</f>
        <v>14036.3</v>
      </c>
      <c r="E240" s="174">
        <f>Données!O234+Données!P234+Données!R234</f>
        <v>199966.45</v>
      </c>
      <c r="F240" s="390">
        <f t="shared" si="11"/>
        <v>104194.11500000001</v>
      </c>
      <c r="G240" s="390">
        <f>Ecrêtage!M234</f>
        <v>0</v>
      </c>
      <c r="H240" s="391">
        <f t="shared" si="12"/>
        <v>563989.27725313487</v>
      </c>
      <c r="I240" s="245">
        <f t="shared" si="13"/>
        <v>668183.39225313487</v>
      </c>
    </row>
    <row r="241" spans="1:9" s="35" customFormat="1" x14ac:dyDescent="0.25">
      <c r="A241" s="38">
        <f>Données!A235</f>
        <v>5805</v>
      </c>
      <c r="B241" s="421" t="str">
        <f>Données!B235</f>
        <v>Oron</v>
      </c>
      <c r="C241" s="31">
        <f>VPI!R235</f>
        <v>174503.6837022398</v>
      </c>
      <c r="D241" s="8">
        <f>Données!N235</f>
        <v>146218.9</v>
      </c>
      <c r="E241" s="174">
        <f>Données!O235+Données!P235+Données!R235</f>
        <v>906430.55</v>
      </c>
      <c r="F241" s="390">
        <f t="shared" si="11"/>
        <v>497080.94500000001</v>
      </c>
      <c r="G241" s="390">
        <f>Ecrêtage!M235</f>
        <v>0</v>
      </c>
      <c r="H241" s="391">
        <f t="shared" si="12"/>
        <v>2181008.2371459207</v>
      </c>
      <c r="I241" s="245">
        <f t="shared" si="13"/>
        <v>2678089.1821459206</v>
      </c>
    </row>
    <row r="242" spans="1:9" s="35" customFormat="1" x14ac:dyDescent="0.25">
      <c r="A242" s="38">
        <f>Données!A236</f>
        <v>5806</v>
      </c>
      <c r="B242" s="421" t="str">
        <f>Données!B236</f>
        <v>Jorat-Mézières</v>
      </c>
      <c r="C242" s="31">
        <f>VPI!R236</f>
        <v>102976.58753424657</v>
      </c>
      <c r="D242" s="8">
        <f>Données!N236</f>
        <v>34602.65</v>
      </c>
      <c r="E242" s="174">
        <f>Données!O236+Données!P236+Données!R236</f>
        <v>723157.3</v>
      </c>
      <c r="F242" s="390">
        <f t="shared" si="11"/>
        <v>371959.44500000001</v>
      </c>
      <c r="G242" s="390">
        <f>Ecrêtage!M236</f>
        <v>0</v>
      </c>
      <c r="H242" s="391">
        <f t="shared" si="12"/>
        <v>1287037.5047703765</v>
      </c>
      <c r="I242" s="245">
        <f t="shared" si="13"/>
        <v>1658996.9497703766</v>
      </c>
    </row>
    <row r="243" spans="1:9" s="35" customFormat="1" x14ac:dyDescent="0.25">
      <c r="A243" s="38">
        <f>Données!A237</f>
        <v>5812</v>
      </c>
      <c r="B243" s="421" t="str">
        <f>Données!B237</f>
        <v>Champtauroz</v>
      </c>
      <c r="C243" s="31">
        <f>VPI!R237</f>
        <v>3659.2728571428574</v>
      </c>
      <c r="D243" s="8">
        <f>Données!N237</f>
        <v>0</v>
      </c>
      <c r="E243" s="174">
        <f>Données!O237+Données!P237+Données!R237</f>
        <v>46241.7</v>
      </c>
      <c r="F243" s="390">
        <f t="shared" si="11"/>
        <v>23120.85</v>
      </c>
      <c r="G243" s="390">
        <f>Ecrêtage!M237</f>
        <v>0</v>
      </c>
      <c r="H243" s="391">
        <f t="shared" si="12"/>
        <v>45734.875471231237</v>
      </c>
      <c r="I243" s="245">
        <f t="shared" si="13"/>
        <v>68855.725471231242</v>
      </c>
    </row>
    <row r="244" spans="1:9" s="35" customFormat="1" x14ac:dyDescent="0.25">
      <c r="A244" s="38">
        <f>Données!A238</f>
        <v>5813</v>
      </c>
      <c r="B244" s="421" t="str">
        <f>Données!B238</f>
        <v>Chevroux</v>
      </c>
      <c r="C244" s="31">
        <f>VPI!R238</f>
        <v>17497.520778588809</v>
      </c>
      <c r="D244" s="8">
        <f>Données!N238</f>
        <v>0</v>
      </c>
      <c r="E244" s="174">
        <f>Données!O238+Données!P238+Données!R238</f>
        <v>163566.75</v>
      </c>
      <c r="F244" s="390">
        <f t="shared" si="11"/>
        <v>81783.375</v>
      </c>
      <c r="G244" s="390">
        <f>Ecrêtage!M238</f>
        <v>0</v>
      </c>
      <c r="H244" s="391">
        <f t="shared" si="12"/>
        <v>218690.15105062953</v>
      </c>
      <c r="I244" s="245">
        <f t="shared" si="13"/>
        <v>300473.52605062956</v>
      </c>
    </row>
    <row r="245" spans="1:9" s="35" customFormat="1" x14ac:dyDescent="0.25">
      <c r="A245" s="38">
        <f>Données!A239</f>
        <v>5816</v>
      </c>
      <c r="B245" s="421" t="str">
        <f>Données!B239</f>
        <v>Corcelles-près-Payerne</v>
      </c>
      <c r="C245" s="31">
        <f>VPI!R239</f>
        <v>65699.549864442117</v>
      </c>
      <c r="D245" s="8">
        <f>Données!N239</f>
        <v>25586.25</v>
      </c>
      <c r="E245" s="174">
        <f>Données!O239+Données!P239+Données!R239</f>
        <v>416443.65</v>
      </c>
      <c r="F245" s="390">
        <f t="shared" si="11"/>
        <v>215897.7</v>
      </c>
      <c r="G245" s="390">
        <f>Ecrêtage!M239</f>
        <v>0</v>
      </c>
      <c r="H245" s="391">
        <f t="shared" si="12"/>
        <v>821136.01496017154</v>
      </c>
      <c r="I245" s="245">
        <f t="shared" si="13"/>
        <v>1037033.7149601716</v>
      </c>
    </row>
    <row r="246" spans="1:9" s="35" customFormat="1" x14ac:dyDescent="0.25">
      <c r="A246" s="38">
        <f>Données!A240</f>
        <v>5817</v>
      </c>
      <c r="B246" s="421" t="str">
        <f>Données!B240</f>
        <v>Grandcour</v>
      </c>
      <c r="C246" s="31">
        <f>VPI!R240</f>
        <v>25916.533605442175</v>
      </c>
      <c r="D246" s="8">
        <f>Données!N240</f>
        <v>4888.55</v>
      </c>
      <c r="E246" s="174">
        <f>Données!O240+Données!P240+Données!R240</f>
        <v>195607.7</v>
      </c>
      <c r="F246" s="390">
        <f t="shared" si="11"/>
        <v>99270.415000000008</v>
      </c>
      <c r="G246" s="390">
        <f>Ecrêtage!M240</f>
        <v>0</v>
      </c>
      <c r="H246" s="391">
        <f t="shared" si="12"/>
        <v>323913.92589847633</v>
      </c>
      <c r="I246" s="245">
        <f t="shared" si="13"/>
        <v>423184.34089847631</v>
      </c>
    </row>
    <row r="247" spans="1:9" s="35" customFormat="1" x14ac:dyDescent="0.25">
      <c r="A247" s="38">
        <f>Données!A241</f>
        <v>5819</v>
      </c>
      <c r="B247" s="421" t="str">
        <f>Données!B241</f>
        <v>Henniez</v>
      </c>
      <c r="C247" s="31">
        <f>VPI!R241</f>
        <v>10275.484492753623</v>
      </c>
      <c r="D247" s="8">
        <f>Données!N241</f>
        <v>5775.65</v>
      </c>
      <c r="E247" s="174">
        <f>Données!O241+Données!P241+Données!R241</f>
        <v>178431.65</v>
      </c>
      <c r="F247" s="390">
        <f t="shared" si="11"/>
        <v>90948.52</v>
      </c>
      <c r="G247" s="390">
        <f>Ecrêtage!M241</f>
        <v>0</v>
      </c>
      <c r="H247" s="391">
        <f t="shared" si="12"/>
        <v>128426.6087906841</v>
      </c>
      <c r="I247" s="245">
        <f t="shared" si="13"/>
        <v>219375.1287906841</v>
      </c>
    </row>
    <row r="248" spans="1:9" s="35" customFormat="1" x14ac:dyDescent="0.25">
      <c r="A248" s="38">
        <f>Données!A242</f>
        <v>5821</v>
      </c>
      <c r="B248" s="421" t="str">
        <f>Données!B242</f>
        <v>Missy</v>
      </c>
      <c r="C248" s="31">
        <f>VPI!R242</f>
        <v>8375.9038888888899</v>
      </c>
      <c r="D248" s="8">
        <f>Données!N242</f>
        <v>0</v>
      </c>
      <c r="E248" s="174">
        <f>Données!O242+Données!P242+Données!R242</f>
        <v>80545.649999999994</v>
      </c>
      <c r="F248" s="390">
        <f t="shared" si="11"/>
        <v>40272.824999999997</v>
      </c>
      <c r="G248" s="390">
        <f>Ecrêtage!M242</f>
        <v>0</v>
      </c>
      <c r="H248" s="391">
        <f t="shared" si="12"/>
        <v>104684.98422291328</v>
      </c>
      <c r="I248" s="245">
        <f t="shared" si="13"/>
        <v>144957.80922291329</v>
      </c>
    </row>
    <row r="249" spans="1:9" s="35" customFormat="1" x14ac:dyDescent="0.25">
      <c r="A249" s="38">
        <f>Données!A243</f>
        <v>5822</v>
      </c>
      <c r="B249" s="421" t="str">
        <f>Données!B243</f>
        <v>Payerne</v>
      </c>
      <c r="C249" s="31">
        <f>VPI!R243</f>
        <v>226829.36520547947</v>
      </c>
      <c r="D249" s="8">
        <f>Données!N243</f>
        <v>423703.7</v>
      </c>
      <c r="E249" s="174">
        <f>Données!O243+Données!P243+Données!R243</f>
        <v>1791234</v>
      </c>
      <c r="F249" s="390">
        <f t="shared" si="11"/>
        <v>1022728.11</v>
      </c>
      <c r="G249" s="390">
        <f>Ecrêtage!M243</f>
        <v>0</v>
      </c>
      <c r="H249" s="391">
        <f t="shared" si="12"/>
        <v>2834992.9551279796</v>
      </c>
      <c r="I249" s="245">
        <f t="shared" si="13"/>
        <v>3857721.0651279795</v>
      </c>
    </row>
    <row r="250" spans="1:9" s="35" customFormat="1" x14ac:dyDescent="0.25">
      <c r="A250" s="38">
        <f>Données!A244</f>
        <v>5827</v>
      </c>
      <c r="B250" s="421" t="str">
        <f>Données!B244</f>
        <v>Trey</v>
      </c>
      <c r="C250" s="31">
        <f>VPI!R244</f>
        <v>7714.9719230769242</v>
      </c>
      <c r="D250" s="8">
        <f>Données!N244</f>
        <v>0</v>
      </c>
      <c r="E250" s="174">
        <f>Données!O244+Données!P244+Données!R244</f>
        <v>49273.350000000006</v>
      </c>
      <c r="F250" s="390">
        <f t="shared" si="11"/>
        <v>24636.675000000003</v>
      </c>
      <c r="G250" s="390">
        <f>Ecrêtage!M244</f>
        <v>0</v>
      </c>
      <c r="H250" s="391">
        <f t="shared" si="12"/>
        <v>96424.424726137207</v>
      </c>
      <c r="I250" s="245">
        <f t="shared" si="13"/>
        <v>121061.09972613721</v>
      </c>
    </row>
    <row r="251" spans="1:9" s="35" customFormat="1" x14ac:dyDescent="0.25">
      <c r="A251" s="38">
        <f>Données!A245</f>
        <v>5828</v>
      </c>
      <c r="B251" s="421" t="str">
        <f>Données!B245</f>
        <v>Treytorrens (Payerne)</v>
      </c>
      <c r="C251" s="31">
        <f>VPI!R245</f>
        <v>2864.8037627811859</v>
      </c>
      <c r="D251" s="8">
        <f>Données!N245</f>
        <v>0</v>
      </c>
      <c r="E251" s="174">
        <f>Données!O245+Données!P245+Données!R245</f>
        <v>21894.9</v>
      </c>
      <c r="F251" s="390">
        <f t="shared" si="11"/>
        <v>10947.45</v>
      </c>
      <c r="G251" s="390">
        <f>Ecrêtage!M245</f>
        <v>0</v>
      </c>
      <c r="H251" s="391">
        <f t="shared" si="12"/>
        <v>35805.322110528024</v>
      </c>
      <c r="I251" s="245">
        <f t="shared" si="13"/>
        <v>46752.772110528022</v>
      </c>
    </row>
    <row r="252" spans="1:9" s="35" customFormat="1" x14ac:dyDescent="0.25">
      <c r="A252" s="38">
        <f>Données!A246</f>
        <v>5830</v>
      </c>
      <c r="B252" s="421" t="str">
        <f>Données!B246</f>
        <v>Villarzel</v>
      </c>
      <c r="C252" s="31">
        <f>VPI!R246</f>
        <v>12474.066133333334</v>
      </c>
      <c r="D252" s="8">
        <f>Données!N246</f>
        <v>9722.5499999999993</v>
      </c>
      <c r="E252" s="174">
        <f>Données!O246+Données!P246+Données!R246</f>
        <v>57770.399999999994</v>
      </c>
      <c r="F252" s="390">
        <f t="shared" si="11"/>
        <v>31801.964999999997</v>
      </c>
      <c r="G252" s="390">
        <f>Ecrêtage!M246</f>
        <v>0</v>
      </c>
      <c r="H252" s="391">
        <f t="shared" si="12"/>
        <v>155905.25317462839</v>
      </c>
      <c r="I252" s="245">
        <f t="shared" si="13"/>
        <v>187707.21817462839</v>
      </c>
    </row>
    <row r="253" spans="1:9" s="35" customFormat="1" x14ac:dyDescent="0.25">
      <c r="A253" s="38">
        <f>Données!A247</f>
        <v>5831</v>
      </c>
      <c r="B253" s="421" t="str">
        <f>Données!B247</f>
        <v>Valbroye</v>
      </c>
      <c r="C253" s="31">
        <f>VPI!R247</f>
        <v>87465.086477541365</v>
      </c>
      <c r="D253" s="8">
        <f>Données!N247</f>
        <v>24200.65</v>
      </c>
      <c r="E253" s="174">
        <f>Données!O247+Données!P247+Données!R247</f>
        <v>868602.20000000007</v>
      </c>
      <c r="F253" s="390">
        <f t="shared" si="11"/>
        <v>441561.29500000004</v>
      </c>
      <c r="G253" s="390">
        <f>Ecrêtage!M247</f>
        <v>0</v>
      </c>
      <c r="H253" s="391">
        <f t="shared" si="12"/>
        <v>1093169.324698614</v>
      </c>
      <c r="I253" s="245">
        <f t="shared" si="13"/>
        <v>1534730.6196986139</v>
      </c>
    </row>
    <row r="254" spans="1:9" s="35" customFormat="1" x14ac:dyDescent="0.25">
      <c r="A254" s="38">
        <f>Données!A248</f>
        <v>5841</v>
      </c>
      <c r="B254" s="421" t="str">
        <f>Données!B248</f>
        <v>Château-d'Oex</v>
      </c>
      <c r="C254" s="31">
        <f>VPI!R248</f>
        <v>123825.99529652353</v>
      </c>
      <c r="D254" s="8">
        <f>Données!N248</f>
        <v>7540.8</v>
      </c>
      <c r="E254" s="174">
        <f>Données!O248+Données!P248+Données!R248</f>
        <v>2229664.7999999998</v>
      </c>
      <c r="F254" s="390">
        <f t="shared" si="11"/>
        <v>1117094.6399999999</v>
      </c>
      <c r="G254" s="390">
        <f>Ecrêtage!M248</f>
        <v>0</v>
      </c>
      <c r="H254" s="391">
        <f t="shared" si="12"/>
        <v>1547620.7148459384</v>
      </c>
      <c r="I254" s="245">
        <f t="shared" si="13"/>
        <v>2664715.3548459383</v>
      </c>
    </row>
    <row r="255" spans="1:9" s="35" customFormat="1" x14ac:dyDescent="0.25">
      <c r="A255" s="38">
        <f>Données!A249</f>
        <v>5842</v>
      </c>
      <c r="B255" s="421" t="str">
        <f>Données!B249</f>
        <v>Rossinière</v>
      </c>
      <c r="C255" s="31">
        <f>VPI!R249</f>
        <v>16473.108683127575</v>
      </c>
      <c r="D255" s="8">
        <f>Données!N249</f>
        <v>984.1</v>
      </c>
      <c r="E255" s="174">
        <f>Données!O249+Données!P249+Données!R249</f>
        <v>100148.25</v>
      </c>
      <c r="F255" s="390">
        <f t="shared" si="11"/>
        <v>50369.355000000003</v>
      </c>
      <c r="G255" s="390">
        <f>Ecrêtage!M249</f>
        <v>0</v>
      </c>
      <c r="H255" s="391">
        <f t="shared" si="12"/>
        <v>205886.68942144566</v>
      </c>
      <c r="I255" s="245">
        <f t="shared" si="13"/>
        <v>256256.04442144567</v>
      </c>
    </row>
    <row r="256" spans="1:9" s="35" customFormat="1" x14ac:dyDescent="0.25">
      <c r="A256" s="38">
        <f>Données!A250</f>
        <v>5843</v>
      </c>
      <c r="B256" s="421" t="str">
        <f>Données!B250</f>
        <v>Rougemont</v>
      </c>
      <c r="C256" s="31">
        <f>VPI!R250</f>
        <v>89735.240928270054</v>
      </c>
      <c r="D256" s="8">
        <f>Données!N250</f>
        <v>6430.85</v>
      </c>
      <c r="E256" s="174">
        <f>Données!O250+Données!P250+Données!R250</f>
        <v>1892069.2</v>
      </c>
      <c r="F256" s="390">
        <f t="shared" si="11"/>
        <v>947963.85499999998</v>
      </c>
      <c r="G256" s="390">
        <f>Ecrêtage!M250</f>
        <v>1449952.8469159065</v>
      </c>
      <c r="H256" s="391">
        <f t="shared" si="12"/>
        <v>1121542.5111642999</v>
      </c>
      <c r="I256" s="245">
        <f t="shared" si="13"/>
        <v>3519459.2130802064</v>
      </c>
    </row>
    <row r="257" spans="1:9" s="35" customFormat="1" x14ac:dyDescent="0.25">
      <c r="A257" s="38">
        <f>Données!A251</f>
        <v>5851</v>
      </c>
      <c r="B257" s="421" t="str">
        <f>Données!B251</f>
        <v>Allaman</v>
      </c>
      <c r="C257" s="31">
        <f>VPI!R251</f>
        <v>24650.249641025639</v>
      </c>
      <c r="D257" s="8">
        <f>Données!N251</f>
        <v>65972.95</v>
      </c>
      <c r="E257" s="174">
        <f>Données!O251+Données!P251+Données!R251</f>
        <v>574672.80000000005</v>
      </c>
      <c r="F257" s="390">
        <f t="shared" si="11"/>
        <v>307128.28500000003</v>
      </c>
      <c r="G257" s="390">
        <f>Ecrêtage!M251</f>
        <v>62147.030602197759</v>
      </c>
      <c r="H257" s="391">
        <f t="shared" si="12"/>
        <v>308087.46482691093</v>
      </c>
      <c r="I257" s="245">
        <f t="shared" si="13"/>
        <v>677362.78042910865</v>
      </c>
    </row>
    <row r="258" spans="1:9" s="35" customFormat="1" x14ac:dyDescent="0.25">
      <c r="A258" s="38">
        <f>Données!A252</f>
        <v>5852</v>
      </c>
      <c r="B258" s="421" t="str">
        <f>Données!B252</f>
        <v>Bursinel</v>
      </c>
      <c r="C258" s="31">
        <f>VPI!R252</f>
        <v>35648.966451612905</v>
      </c>
      <c r="D258" s="8">
        <f>Données!N252</f>
        <v>10092.549999999999</v>
      </c>
      <c r="E258" s="174">
        <f>Données!O252+Données!P252+Données!R252</f>
        <v>223546.15000000002</v>
      </c>
      <c r="F258" s="390">
        <f t="shared" si="11"/>
        <v>114800.84000000001</v>
      </c>
      <c r="G258" s="390">
        <f>Ecrêtage!M252</f>
        <v>184962.16548396123</v>
      </c>
      <c r="H258" s="391">
        <f t="shared" si="12"/>
        <v>445553.28476259776</v>
      </c>
      <c r="I258" s="245">
        <f t="shared" si="13"/>
        <v>745316.29024655896</v>
      </c>
    </row>
    <row r="259" spans="1:9" s="35" customFormat="1" x14ac:dyDescent="0.25">
      <c r="A259" s="38">
        <f>Données!A253</f>
        <v>5853</v>
      </c>
      <c r="B259" s="421" t="str">
        <f>Données!B253</f>
        <v>Bursins</v>
      </c>
      <c r="C259" s="31">
        <f>VPI!R253</f>
        <v>47535.713943661962</v>
      </c>
      <c r="D259" s="8">
        <f>Données!N253</f>
        <v>79871.399999999994</v>
      </c>
      <c r="E259" s="174">
        <f>Données!O253+Données!P253+Données!R253</f>
        <v>736189.64999999991</v>
      </c>
      <c r="F259" s="390">
        <f t="shared" si="11"/>
        <v>392056.24499999994</v>
      </c>
      <c r="G259" s="390">
        <f>Ecrêtage!M253</f>
        <v>178725.83906165289</v>
      </c>
      <c r="H259" s="391">
        <f t="shared" si="12"/>
        <v>594118.02358650288</v>
      </c>
      <c r="I259" s="245">
        <f t="shared" si="13"/>
        <v>1164900.1076481557</v>
      </c>
    </row>
    <row r="260" spans="1:9" s="35" customFormat="1" x14ac:dyDescent="0.25">
      <c r="A260" s="38">
        <f>Données!A254</f>
        <v>5854</v>
      </c>
      <c r="B260" s="421" t="str">
        <f>Données!B254</f>
        <v>Burtigny</v>
      </c>
      <c r="C260" s="31">
        <f>VPI!R254</f>
        <v>15260.82696390658</v>
      </c>
      <c r="D260" s="8">
        <f>Données!N254</f>
        <v>17144.25</v>
      </c>
      <c r="E260" s="174">
        <f>Données!O254+Données!P254+Données!R254</f>
        <v>102983.75</v>
      </c>
      <c r="F260" s="390">
        <f t="shared" si="11"/>
        <v>56635.15</v>
      </c>
      <c r="G260" s="390">
        <f>Ecrêtage!M254</f>
        <v>0</v>
      </c>
      <c r="H260" s="391">
        <f t="shared" si="12"/>
        <v>190735.16734885762</v>
      </c>
      <c r="I260" s="245">
        <f t="shared" si="13"/>
        <v>247370.31734885761</v>
      </c>
    </row>
    <row r="261" spans="1:9" s="35" customFormat="1" x14ac:dyDescent="0.25">
      <c r="A261" s="38">
        <f>Données!A255</f>
        <v>5855</v>
      </c>
      <c r="B261" s="421" t="str">
        <f>Données!B255</f>
        <v>Dully</v>
      </c>
      <c r="C261" s="31">
        <f>VPI!R255</f>
        <v>82571.316415094334</v>
      </c>
      <c r="D261" s="8">
        <f>Données!N255</f>
        <v>1933.5</v>
      </c>
      <c r="E261" s="174">
        <f>Données!O255+Données!P255+Données!R255</f>
        <v>1364872.9500000002</v>
      </c>
      <c r="F261" s="390">
        <f t="shared" si="11"/>
        <v>683016.52500000014</v>
      </c>
      <c r="G261" s="390">
        <f>Ecrêtage!M255</f>
        <v>1114652.5033226365</v>
      </c>
      <c r="H261" s="391">
        <f t="shared" si="12"/>
        <v>1032005.2702187825</v>
      </c>
      <c r="I261" s="245">
        <f t="shared" si="13"/>
        <v>2829674.2985414192</v>
      </c>
    </row>
    <row r="262" spans="1:9" s="35" customFormat="1" x14ac:dyDescent="0.25">
      <c r="A262" s="38">
        <f>Données!A256</f>
        <v>5856</v>
      </c>
      <c r="B262" s="421" t="str">
        <f>Données!B256</f>
        <v>Essertines-sur-Rolle</v>
      </c>
      <c r="C262" s="31">
        <f>VPI!R256</f>
        <v>36460.735639097751</v>
      </c>
      <c r="D262" s="8">
        <f>Données!N256</f>
        <v>7815.05</v>
      </c>
      <c r="E262" s="174">
        <f>Données!O256+Données!P256+Données!R256</f>
        <v>206666.75</v>
      </c>
      <c r="F262" s="390">
        <f t="shared" si="11"/>
        <v>105677.89</v>
      </c>
      <c r="G262" s="390">
        <f>Ecrêtage!M256</f>
        <v>7672.9114833235299</v>
      </c>
      <c r="H262" s="391">
        <f t="shared" si="12"/>
        <v>455699.06075427658</v>
      </c>
      <c r="I262" s="245">
        <f t="shared" si="13"/>
        <v>569049.86223760014</v>
      </c>
    </row>
    <row r="263" spans="1:9" s="35" customFormat="1" x14ac:dyDescent="0.25">
      <c r="A263" s="38">
        <f>Données!A257</f>
        <v>5857</v>
      </c>
      <c r="B263" s="421" t="str">
        <f>Données!B257</f>
        <v>Gilly</v>
      </c>
      <c r="C263" s="31">
        <f>VPI!R257</f>
        <v>87016.843255813976</v>
      </c>
      <c r="D263" s="8">
        <f>Données!N257</f>
        <v>80326.95</v>
      </c>
      <c r="E263" s="174">
        <f>Données!O257+Données!P257+Données!R257</f>
        <v>454337.9</v>
      </c>
      <c r="F263" s="390">
        <f t="shared" si="11"/>
        <v>251267.035</v>
      </c>
      <c r="G263" s="390">
        <f>Ecrêtage!M257</f>
        <v>253911.36954282757</v>
      </c>
      <c r="H263" s="391">
        <f t="shared" si="12"/>
        <v>1087567.0237150977</v>
      </c>
      <c r="I263" s="245">
        <f t="shared" si="13"/>
        <v>1592745.4282579252</v>
      </c>
    </row>
    <row r="264" spans="1:9" s="35" customFormat="1" x14ac:dyDescent="0.25">
      <c r="A264" s="38">
        <f>Données!A258</f>
        <v>5858</v>
      </c>
      <c r="B264" s="421" t="str">
        <f>Données!B258</f>
        <v>Luins</v>
      </c>
      <c r="C264" s="31">
        <f>VPI!R258</f>
        <v>41161.497549857544</v>
      </c>
      <c r="D264" s="8">
        <f>Données!N258</f>
        <v>4889.3</v>
      </c>
      <c r="E264" s="174">
        <f>Données!O258+Données!P258+Données!R258</f>
        <v>377904.45</v>
      </c>
      <c r="F264" s="390">
        <f t="shared" si="11"/>
        <v>190419.01500000001</v>
      </c>
      <c r="G264" s="390">
        <f>Ecrêtage!M258</f>
        <v>168127.22447462464</v>
      </c>
      <c r="H264" s="391">
        <f t="shared" si="12"/>
        <v>514450.83166659065</v>
      </c>
      <c r="I264" s="245">
        <f t="shared" si="13"/>
        <v>872997.07114121527</v>
      </c>
    </row>
    <row r="265" spans="1:9" s="35" customFormat="1" x14ac:dyDescent="0.25">
      <c r="A265" s="38">
        <f>Données!A259</f>
        <v>5859</v>
      </c>
      <c r="B265" s="421" t="str">
        <f>Données!B259</f>
        <v>Mont-sur-Rolle</v>
      </c>
      <c r="C265" s="31">
        <f>VPI!R259</f>
        <v>158432.4612598425</v>
      </c>
      <c r="D265" s="8">
        <f>Données!N259</f>
        <v>120650.05</v>
      </c>
      <c r="E265" s="174">
        <f>Données!O259+Données!P259+Données!R259</f>
        <v>1337129.05</v>
      </c>
      <c r="F265" s="390">
        <f t="shared" si="11"/>
        <v>704759.54</v>
      </c>
      <c r="G265" s="390">
        <f>Ecrêtage!M259</f>
        <v>333395.18274441233</v>
      </c>
      <c r="H265" s="391">
        <f t="shared" si="12"/>
        <v>1980144.4629021513</v>
      </c>
      <c r="I265" s="245">
        <f t="shared" si="13"/>
        <v>3018299.1856465633</v>
      </c>
    </row>
    <row r="266" spans="1:9" s="35" customFormat="1" x14ac:dyDescent="0.25">
      <c r="A266" s="38">
        <f>Données!A260</f>
        <v>5860</v>
      </c>
      <c r="B266" s="421" t="str">
        <f>Données!B260</f>
        <v>Perroy</v>
      </c>
      <c r="C266" s="31">
        <f>VPI!R260</f>
        <v>132372.96084155163</v>
      </c>
      <c r="D266" s="8">
        <f>Données!N260</f>
        <v>29243.5</v>
      </c>
      <c r="E266" s="174">
        <f>Données!O260+Données!P260+Données!R260</f>
        <v>770897.45</v>
      </c>
      <c r="F266" s="390">
        <f t="shared" si="11"/>
        <v>394221.77499999997</v>
      </c>
      <c r="G266" s="390">
        <f>Ecrêtage!M260</f>
        <v>1066316.4226944298</v>
      </c>
      <c r="H266" s="391">
        <f t="shared" si="12"/>
        <v>1654443.6876383997</v>
      </c>
      <c r="I266" s="245">
        <f t="shared" si="13"/>
        <v>3114981.8853328293</v>
      </c>
    </row>
    <row r="267" spans="1:9" s="35" customFormat="1" x14ac:dyDescent="0.25">
      <c r="A267" s="38">
        <f>Données!A261</f>
        <v>5861</v>
      </c>
      <c r="B267" s="421" t="str">
        <f>Données!B261</f>
        <v>Rolle</v>
      </c>
      <c r="C267" s="31">
        <f>VPI!R261</f>
        <v>796252.79529411776</v>
      </c>
      <c r="D267" s="8">
        <f>Données!N261</f>
        <v>705395.85</v>
      </c>
      <c r="E267" s="174">
        <f>Données!O261+Données!P261+Données!R261</f>
        <v>1626192.5499999998</v>
      </c>
      <c r="F267" s="390">
        <f t="shared" si="11"/>
        <v>1024715.0299999999</v>
      </c>
      <c r="G267" s="390">
        <f>Ecrêtage!M261</f>
        <v>11616096.908985872</v>
      </c>
      <c r="H267" s="391">
        <f t="shared" si="12"/>
        <v>9951846.6804987304</v>
      </c>
      <c r="I267" s="245">
        <f t="shared" si="13"/>
        <v>22592658.619484603</v>
      </c>
    </row>
    <row r="268" spans="1:9" s="35" customFormat="1" x14ac:dyDescent="0.25">
      <c r="A268" s="38">
        <f>Données!A262</f>
        <v>5862</v>
      </c>
      <c r="B268" s="421" t="str">
        <f>Données!B262</f>
        <v>Tartegnin</v>
      </c>
      <c r="C268" s="31">
        <f>VPI!R262</f>
        <v>10371.38594936709</v>
      </c>
      <c r="D268" s="8">
        <f>Données!N262</f>
        <v>7523.45</v>
      </c>
      <c r="E268" s="174">
        <f>Données!O262+Données!P262+Données!R262</f>
        <v>160964.25</v>
      </c>
      <c r="F268" s="390">
        <f t="shared" si="11"/>
        <v>82739.16</v>
      </c>
      <c r="G268" s="390">
        <f>Ecrêtage!M262</f>
        <v>0</v>
      </c>
      <c r="H268" s="391">
        <f t="shared" si="12"/>
        <v>129625.21882796653</v>
      </c>
      <c r="I268" s="245">
        <f t="shared" si="13"/>
        <v>212364.37882796652</v>
      </c>
    </row>
    <row r="269" spans="1:9" s="35" customFormat="1" x14ac:dyDescent="0.25">
      <c r="A269" s="38">
        <f>Données!A263</f>
        <v>5863</v>
      </c>
      <c r="B269" s="421" t="str">
        <f>Données!B263</f>
        <v>Vinzel</v>
      </c>
      <c r="C269" s="31">
        <f>VPI!R263</f>
        <v>23660.86104477612</v>
      </c>
      <c r="D269" s="8">
        <f>Données!N263</f>
        <v>20078.099999999999</v>
      </c>
      <c r="E269" s="174">
        <f>Données!O263+Données!P263+Données!R263</f>
        <v>158269.1</v>
      </c>
      <c r="F269" s="390">
        <f t="shared" ref="F269:F311" si="14">D269*$D$11+E269*$E$11</f>
        <v>85157.98</v>
      </c>
      <c r="G269" s="390">
        <f>Ecrêtage!M263</f>
        <v>87313.613229423499</v>
      </c>
      <c r="H269" s="391">
        <f t="shared" ref="H269:H311" si="15">$H$11*C269</f>
        <v>295721.73917357484</v>
      </c>
      <c r="I269" s="245">
        <f t="shared" ref="I269:I311" si="16">F269+H269+G269</f>
        <v>468193.33240299835</v>
      </c>
    </row>
    <row r="270" spans="1:9" s="35" customFormat="1" x14ac:dyDescent="0.25">
      <c r="A270" s="38">
        <f>Données!A264</f>
        <v>5871</v>
      </c>
      <c r="B270" s="421" t="str">
        <f>Données!B264</f>
        <v>L'Abbaye</v>
      </c>
      <c r="C270" s="31">
        <f>VPI!R264</f>
        <v>50235.576326002578</v>
      </c>
      <c r="D270" s="8">
        <f>Données!N264</f>
        <v>739765.05</v>
      </c>
      <c r="E270" s="174">
        <f>Données!O264+Données!P264+Données!R264</f>
        <v>348170.6</v>
      </c>
      <c r="F270" s="390">
        <f t="shared" si="14"/>
        <v>396014.815</v>
      </c>
      <c r="G270" s="390">
        <f>Ecrêtage!M264</f>
        <v>0</v>
      </c>
      <c r="H270" s="391">
        <f t="shared" si="15"/>
        <v>627861.85047953774</v>
      </c>
      <c r="I270" s="245">
        <f t="shared" si="16"/>
        <v>1023876.6654795378</v>
      </c>
    </row>
    <row r="271" spans="1:9" s="35" customFormat="1" x14ac:dyDescent="0.25">
      <c r="A271" s="38">
        <f>Données!A265</f>
        <v>5872</v>
      </c>
      <c r="B271" s="421" t="str">
        <f>Données!B265</f>
        <v>Le Chenit</v>
      </c>
      <c r="C271" s="31">
        <f>VPI!R265</f>
        <v>316919.42630555143</v>
      </c>
      <c r="D271" s="8">
        <f>Données!N265</f>
        <v>8102751.8499999996</v>
      </c>
      <c r="E271" s="174">
        <f>Données!O265+Données!P265+Données!R265</f>
        <v>644599.6</v>
      </c>
      <c r="F271" s="390">
        <f t="shared" si="14"/>
        <v>2753125.3549999995</v>
      </c>
      <c r="G271" s="390">
        <f>Ecrêtage!M265</f>
        <v>1627611.9021406448</v>
      </c>
      <c r="H271" s="391">
        <f t="shared" si="15"/>
        <v>3960970.1332344743</v>
      </c>
      <c r="I271" s="245">
        <f t="shared" si="16"/>
        <v>8341707.3903751187</v>
      </c>
    </row>
    <row r="272" spans="1:9" s="35" customFormat="1" x14ac:dyDescent="0.25">
      <c r="A272" s="38">
        <f>Données!A266</f>
        <v>5873</v>
      </c>
      <c r="B272" s="421" t="str">
        <f>Données!B266</f>
        <v>Le Lieu</v>
      </c>
      <c r="C272" s="31">
        <f>VPI!R266</f>
        <v>35203.466500000002</v>
      </c>
      <c r="D272" s="8">
        <f>Données!N266</f>
        <v>879860</v>
      </c>
      <c r="E272" s="174">
        <f>Données!O266+Données!P266+Données!R266</f>
        <v>247340.5</v>
      </c>
      <c r="F272" s="390">
        <f t="shared" si="14"/>
        <v>387628.25</v>
      </c>
      <c r="G272" s="390">
        <f>Ecrêtage!M266</f>
        <v>0</v>
      </c>
      <c r="H272" s="391">
        <f t="shared" si="15"/>
        <v>439985.27013103396</v>
      </c>
      <c r="I272" s="245">
        <f t="shared" si="16"/>
        <v>827613.52013103396</v>
      </c>
    </row>
    <row r="273" spans="1:9" s="35" customFormat="1" x14ac:dyDescent="0.25">
      <c r="A273" s="38">
        <f>Données!A267</f>
        <v>5882</v>
      </c>
      <c r="B273" s="421" t="str">
        <f>Données!B267</f>
        <v>Chardonne</v>
      </c>
      <c r="C273" s="31">
        <f>VPI!R267</f>
        <v>201755.16911764705</v>
      </c>
      <c r="D273" s="8">
        <f>Données!N267</f>
        <v>17097.55</v>
      </c>
      <c r="E273" s="174">
        <f>Données!O267+Données!P267+Données!R267</f>
        <v>3124951.8</v>
      </c>
      <c r="F273" s="390">
        <f t="shared" si="14"/>
        <v>1567605.1649999998</v>
      </c>
      <c r="G273" s="390">
        <f>Ecrêtage!M267</f>
        <v>788147.44435101259</v>
      </c>
      <c r="H273" s="391">
        <f t="shared" si="15"/>
        <v>2521606.8589313603</v>
      </c>
      <c r="I273" s="245">
        <f t="shared" si="16"/>
        <v>4877359.4682823727</v>
      </c>
    </row>
    <row r="274" spans="1:9" s="35" customFormat="1" x14ac:dyDescent="0.25">
      <c r="A274" s="38">
        <f>Données!A268</f>
        <v>5883</v>
      </c>
      <c r="B274" s="421" t="str">
        <f>Données!B268</f>
        <v>Corseaux</v>
      </c>
      <c r="C274" s="31">
        <f>VPI!R268</f>
        <v>180895.17037037041</v>
      </c>
      <c r="D274" s="8">
        <f>Données!N268</f>
        <v>1881.65</v>
      </c>
      <c r="E274" s="174">
        <f>Données!O268+Données!P268+Données!R268</f>
        <v>1497488.25</v>
      </c>
      <c r="F274" s="390">
        <f t="shared" si="14"/>
        <v>749308.62</v>
      </c>
      <c r="G274" s="390">
        <f>Ecrêtage!M268</f>
        <v>1377731.8146646933</v>
      </c>
      <c r="H274" s="391">
        <f t="shared" si="15"/>
        <v>2260891.2790110265</v>
      </c>
      <c r="I274" s="245">
        <f t="shared" si="16"/>
        <v>4387931.7136757197</v>
      </c>
    </row>
    <row r="275" spans="1:9" s="35" customFormat="1" x14ac:dyDescent="0.25">
      <c r="A275" s="38">
        <f>Données!A269</f>
        <v>5884</v>
      </c>
      <c r="B275" s="421" t="str">
        <f>Données!B269</f>
        <v>Corsier-sur-Vevey</v>
      </c>
      <c r="C275" s="31">
        <f>VPI!R269</f>
        <v>128040.06408268733</v>
      </c>
      <c r="D275" s="8">
        <f>Données!N269</f>
        <v>491143.6</v>
      </c>
      <c r="E275" s="174">
        <f>Données!O269+Données!P269+Données!R269</f>
        <v>1078848.2999999998</v>
      </c>
      <c r="F275" s="390">
        <f t="shared" si="14"/>
        <v>686767.22999999986</v>
      </c>
      <c r="G275" s="390">
        <f>Ecrêtage!M269</f>
        <v>0</v>
      </c>
      <c r="H275" s="391">
        <f t="shared" si="15"/>
        <v>1600289.6244043489</v>
      </c>
      <c r="I275" s="245">
        <f t="shared" si="16"/>
        <v>2287056.8544043489</v>
      </c>
    </row>
    <row r="276" spans="1:9" s="35" customFormat="1" x14ac:dyDescent="0.25">
      <c r="A276" s="38">
        <f>Données!A270</f>
        <v>5885</v>
      </c>
      <c r="B276" s="421" t="str">
        <f>Données!B270</f>
        <v>Jongny</v>
      </c>
      <c r="C276" s="31">
        <f>VPI!R270</f>
        <v>104088.6996882494</v>
      </c>
      <c r="D276" s="8">
        <f>Données!N270</f>
        <v>3104.95</v>
      </c>
      <c r="E276" s="174">
        <f>Données!O270+Données!P270+Données!R270</f>
        <v>590774</v>
      </c>
      <c r="F276" s="390">
        <f t="shared" si="14"/>
        <v>296318.48499999999</v>
      </c>
      <c r="G276" s="390">
        <f>Ecrêtage!M270</f>
        <v>220181.0183674625</v>
      </c>
      <c r="H276" s="391">
        <f t="shared" si="15"/>
        <v>1300937.0724875198</v>
      </c>
      <c r="I276" s="245">
        <f t="shared" si="16"/>
        <v>1817436.5758549825</v>
      </c>
    </row>
    <row r="277" spans="1:9" s="35" customFormat="1" x14ac:dyDescent="0.25">
      <c r="A277" s="38">
        <f>Données!A271</f>
        <v>5886</v>
      </c>
      <c r="B277" s="421" t="str">
        <f>Données!B271</f>
        <v>Montreux</v>
      </c>
      <c r="C277" s="31">
        <f>VPI!R271</f>
        <v>1153058.3310769231</v>
      </c>
      <c r="D277" s="8">
        <f>Données!N271</f>
        <v>920310.65</v>
      </c>
      <c r="E277" s="174">
        <f>Données!O271+Données!P271+Données!R271</f>
        <v>22752839.700000003</v>
      </c>
      <c r="F277" s="390">
        <f t="shared" si="14"/>
        <v>11652513.045000002</v>
      </c>
      <c r="G277" s="390">
        <f>Ecrêtage!M271</f>
        <v>0</v>
      </c>
      <c r="H277" s="391">
        <f t="shared" si="15"/>
        <v>14411327.397991307</v>
      </c>
      <c r="I277" s="245">
        <f t="shared" si="16"/>
        <v>26063840.442991309</v>
      </c>
    </row>
    <row r="278" spans="1:9" s="35" customFormat="1" x14ac:dyDescent="0.25">
      <c r="A278" s="38">
        <f>Données!A272</f>
        <v>5889</v>
      </c>
      <c r="B278" s="421" t="str">
        <f>Données!B272</f>
        <v>La Tour-de-Peilz</v>
      </c>
      <c r="C278" s="31">
        <f>VPI!R272</f>
        <v>709087.81846354157</v>
      </c>
      <c r="D278" s="8">
        <f>Données!N272</f>
        <v>244731.45</v>
      </c>
      <c r="E278" s="174">
        <f>Données!O272+Données!P272+Données!R272</f>
        <v>4417514.5</v>
      </c>
      <c r="F278" s="390">
        <f t="shared" si="14"/>
        <v>2282176.6850000001</v>
      </c>
      <c r="G278" s="390">
        <f>Ecrêtage!M272</f>
        <v>1472210.986615021</v>
      </c>
      <c r="H278" s="391">
        <f t="shared" si="15"/>
        <v>8862428.2314159852</v>
      </c>
      <c r="I278" s="245">
        <f t="shared" si="16"/>
        <v>12616815.903031006</v>
      </c>
    </row>
    <row r="279" spans="1:9" s="35" customFormat="1" x14ac:dyDescent="0.25">
      <c r="A279" s="38">
        <f>Données!A273</f>
        <v>5890</v>
      </c>
      <c r="B279" s="421" t="str">
        <f>Données!B273</f>
        <v>Vevey</v>
      </c>
      <c r="C279" s="31">
        <f>VPI!R273</f>
        <v>944872.98138702475</v>
      </c>
      <c r="D279" s="8">
        <f>Données!N273</f>
        <v>859057.1</v>
      </c>
      <c r="E279" s="174">
        <f>Données!O273+Données!P273+Données!R273</f>
        <v>6501015.3999999994</v>
      </c>
      <c r="F279" s="390">
        <f t="shared" si="14"/>
        <v>3508224.8299999996</v>
      </c>
      <c r="G279" s="390">
        <f>Ecrêtage!M273</f>
        <v>0</v>
      </c>
      <c r="H279" s="391">
        <f t="shared" si="15"/>
        <v>11809353.887211235</v>
      </c>
      <c r="I279" s="245">
        <f t="shared" si="16"/>
        <v>15317578.717211235</v>
      </c>
    </row>
    <row r="280" spans="1:9" s="35" customFormat="1" x14ac:dyDescent="0.25">
      <c r="A280" s="38">
        <f>Données!A274</f>
        <v>5891</v>
      </c>
      <c r="B280" s="421" t="str">
        <f>Données!B274</f>
        <v>Veytaux</v>
      </c>
      <c r="C280" s="31">
        <f>VPI!R274</f>
        <v>41112.713045563549</v>
      </c>
      <c r="D280" s="8">
        <f>Données!N274</f>
        <v>172</v>
      </c>
      <c r="E280" s="174">
        <f>Données!O274+Données!P274+Données!R274</f>
        <v>595973.65</v>
      </c>
      <c r="F280" s="390">
        <f t="shared" si="14"/>
        <v>298038.42499999999</v>
      </c>
      <c r="G280" s="390">
        <f>Ecrêtage!M274</f>
        <v>0</v>
      </c>
      <c r="H280" s="391">
        <f t="shared" si="15"/>
        <v>513841.10582325637</v>
      </c>
      <c r="I280" s="245">
        <f t="shared" si="16"/>
        <v>811879.53082325635</v>
      </c>
    </row>
    <row r="281" spans="1:9" s="35" customFormat="1" x14ac:dyDescent="0.25">
      <c r="A281" s="38">
        <f>Données!A275</f>
        <v>5892</v>
      </c>
      <c r="B281" s="421" t="str">
        <f>Données!B275</f>
        <v>Blonay-St-Légier</v>
      </c>
      <c r="C281" s="31">
        <f>VPI!R275</f>
        <v>749721.2351824817</v>
      </c>
      <c r="D281" s="8">
        <f>Données!N275</f>
        <v>295689.34999999998</v>
      </c>
      <c r="E281" s="174">
        <f>Données!O275+Données!P275+Données!R275</f>
        <v>6663303.2999999998</v>
      </c>
      <c r="F281" s="390">
        <f t="shared" si="14"/>
        <v>3420358.4550000001</v>
      </c>
      <c r="G281" s="390">
        <f>Ecrêtage!M275</f>
        <v>2675623.3697220292</v>
      </c>
      <c r="H281" s="391">
        <f t="shared" si="15"/>
        <v>9370278.9236604478</v>
      </c>
      <c r="I281" s="245">
        <f t="shared" si="16"/>
        <v>15466260.748382477</v>
      </c>
    </row>
    <row r="282" spans="1:9" s="35" customFormat="1" x14ac:dyDescent="0.25">
      <c r="A282" s="38">
        <f>Données!A276</f>
        <v>5902</v>
      </c>
      <c r="B282" s="421" t="str">
        <f>Données!B276</f>
        <v>Belmont-sur-Yverdon</v>
      </c>
      <c r="C282" s="31">
        <f>VPI!R276</f>
        <v>11917.701714285715</v>
      </c>
      <c r="D282" s="8">
        <f>Données!N276</f>
        <v>0</v>
      </c>
      <c r="E282" s="174">
        <f>Données!O276+Données!P276+Données!R276</f>
        <v>82151.3</v>
      </c>
      <c r="F282" s="390">
        <f t="shared" si="14"/>
        <v>41075.65</v>
      </c>
      <c r="G282" s="390">
        <f>Ecrêtage!M276</f>
        <v>0</v>
      </c>
      <c r="H282" s="391">
        <f t="shared" si="15"/>
        <v>148951.61554902801</v>
      </c>
      <c r="I282" s="245">
        <f t="shared" si="16"/>
        <v>190027.265549028</v>
      </c>
    </row>
    <row r="283" spans="1:9" s="35" customFormat="1" x14ac:dyDescent="0.25">
      <c r="A283" s="38">
        <f>Données!A277</f>
        <v>5903</v>
      </c>
      <c r="B283" s="421" t="str">
        <f>Données!B277</f>
        <v>Bioley-Magnoux</v>
      </c>
      <c r="C283" s="31">
        <f>VPI!R277</f>
        <v>6275.3681349206354</v>
      </c>
      <c r="D283" s="8">
        <f>Données!N277</f>
        <v>29031.05</v>
      </c>
      <c r="E283" s="174">
        <f>Données!O277+Données!P277+Données!R277</f>
        <v>22110.7</v>
      </c>
      <c r="F283" s="390">
        <f t="shared" si="14"/>
        <v>19764.665000000001</v>
      </c>
      <c r="G283" s="390">
        <f>Ecrêtage!M277</f>
        <v>0</v>
      </c>
      <c r="H283" s="391">
        <f t="shared" si="15"/>
        <v>78431.751714415353</v>
      </c>
      <c r="I283" s="245">
        <f t="shared" si="16"/>
        <v>98196.416714415362</v>
      </c>
    </row>
    <row r="284" spans="1:9" s="35" customFormat="1" x14ac:dyDescent="0.25">
      <c r="A284" s="38">
        <f>Données!A278</f>
        <v>5904</v>
      </c>
      <c r="B284" s="421" t="str">
        <f>Données!B278</f>
        <v>Chamblon</v>
      </c>
      <c r="C284" s="31">
        <f>VPI!R278</f>
        <v>18889.911515151514</v>
      </c>
      <c r="D284" s="8">
        <f>Données!N278</f>
        <v>31054.2</v>
      </c>
      <c r="E284" s="174">
        <f>Données!O278+Données!P278+Données!R278</f>
        <v>122567.6</v>
      </c>
      <c r="F284" s="390">
        <f t="shared" si="14"/>
        <v>70600.06</v>
      </c>
      <c r="G284" s="390">
        <f>Ecrêtage!M278</f>
        <v>0</v>
      </c>
      <c r="H284" s="391">
        <f t="shared" si="15"/>
        <v>236092.73878597346</v>
      </c>
      <c r="I284" s="245">
        <f t="shared" si="16"/>
        <v>306692.79878597346</v>
      </c>
    </row>
    <row r="285" spans="1:9" s="35" customFormat="1" x14ac:dyDescent="0.25">
      <c r="A285" s="38">
        <f>Données!A279</f>
        <v>5905</v>
      </c>
      <c r="B285" s="421" t="str">
        <f>Données!B279</f>
        <v>Champvent</v>
      </c>
      <c r="C285" s="31">
        <f>VPI!R279</f>
        <v>21532.633285714288</v>
      </c>
      <c r="D285" s="8">
        <f>Données!N279</f>
        <v>173931</v>
      </c>
      <c r="E285" s="174">
        <f>Données!O279+Données!P279+Données!R279</f>
        <v>102119.54999999999</v>
      </c>
      <c r="F285" s="390">
        <f t="shared" si="14"/>
        <v>103239.07499999998</v>
      </c>
      <c r="G285" s="390">
        <f>Ecrêtage!M279</f>
        <v>0</v>
      </c>
      <c r="H285" s="391">
        <f t="shared" si="15"/>
        <v>269122.40227386396</v>
      </c>
      <c r="I285" s="245">
        <f t="shared" si="16"/>
        <v>372361.47727386397</v>
      </c>
    </row>
    <row r="286" spans="1:9" s="35" customFormat="1" x14ac:dyDescent="0.25">
      <c r="A286" s="38">
        <f>Données!A280</f>
        <v>5907</v>
      </c>
      <c r="B286" s="421" t="str">
        <f>Données!B280</f>
        <v>Chavannes-le-Chêne</v>
      </c>
      <c r="C286" s="31">
        <f>VPI!R280</f>
        <v>8453.4518666666645</v>
      </c>
      <c r="D286" s="8">
        <f>Données!N280</f>
        <v>10275.1</v>
      </c>
      <c r="E286" s="174">
        <f>Données!O280+Données!P280+Données!R280</f>
        <v>62426.55</v>
      </c>
      <c r="F286" s="390">
        <f t="shared" si="14"/>
        <v>34295.805</v>
      </c>
      <c r="G286" s="390">
        <f>Ecrêtage!M280</f>
        <v>0</v>
      </c>
      <c r="H286" s="391">
        <f t="shared" si="15"/>
        <v>105654.20604516391</v>
      </c>
      <c r="I286" s="245">
        <f t="shared" si="16"/>
        <v>139950.0110451639</v>
      </c>
    </row>
    <row r="287" spans="1:9" s="35" customFormat="1" x14ac:dyDescent="0.25">
      <c r="A287" s="38">
        <f>Données!A281</f>
        <v>5908</v>
      </c>
      <c r="B287" s="421" t="str">
        <f>Données!B281</f>
        <v>Chêne-Pâquier</v>
      </c>
      <c r="C287" s="31">
        <f>VPI!R281</f>
        <v>4917.7774666666683</v>
      </c>
      <c r="D287" s="8">
        <f>Données!N281</f>
        <v>0</v>
      </c>
      <c r="E287" s="174">
        <f>Données!O281+Données!P281+Données!R281</f>
        <v>24347.200000000001</v>
      </c>
      <c r="F287" s="390">
        <f t="shared" si="14"/>
        <v>12173.6</v>
      </c>
      <c r="G287" s="390">
        <f>Ecrêtage!M281</f>
        <v>0</v>
      </c>
      <c r="H287" s="391">
        <f t="shared" si="15"/>
        <v>61464.107437136787</v>
      </c>
      <c r="I287" s="245">
        <f t="shared" si="16"/>
        <v>73637.707437136793</v>
      </c>
    </row>
    <row r="288" spans="1:9" s="35" customFormat="1" x14ac:dyDescent="0.25">
      <c r="A288" s="38">
        <f>Données!A282</f>
        <v>5909</v>
      </c>
      <c r="B288" s="421" t="str">
        <f>Données!B282</f>
        <v>Cheseaux-Noréaz</v>
      </c>
      <c r="C288" s="31">
        <f>VPI!R282</f>
        <v>34184.486119402987</v>
      </c>
      <c r="D288" s="8">
        <f>Données!N282</f>
        <v>9007.6</v>
      </c>
      <c r="E288" s="174">
        <f>Données!O282+Données!P282+Données!R282</f>
        <v>209022.25</v>
      </c>
      <c r="F288" s="390">
        <f t="shared" si="14"/>
        <v>107213.405</v>
      </c>
      <c r="G288" s="390">
        <f>Ecrêtage!M282</f>
        <v>0</v>
      </c>
      <c r="H288" s="391">
        <f t="shared" si="15"/>
        <v>427249.6959791191</v>
      </c>
      <c r="I288" s="245">
        <f t="shared" si="16"/>
        <v>534463.10097911907</v>
      </c>
    </row>
    <row r="289" spans="1:9" s="35" customFormat="1" x14ac:dyDescent="0.25">
      <c r="A289" s="38">
        <f>Données!A283</f>
        <v>5910</v>
      </c>
      <c r="B289" s="421" t="str">
        <f>Données!B283</f>
        <v>Cronay</v>
      </c>
      <c r="C289" s="31">
        <f>VPI!R283</f>
        <v>10619.844545454544</v>
      </c>
      <c r="D289" s="8">
        <f>Données!N283</f>
        <v>6244.6</v>
      </c>
      <c r="E289" s="174">
        <f>Données!O283+Données!P283+Données!R283</f>
        <v>140175.34999999998</v>
      </c>
      <c r="F289" s="390">
        <f t="shared" si="14"/>
        <v>71961.054999999993</v>
      </c>
      <c r="G289" s="390">
        <f>Ecrêtage!M283</f>
        <v>0</v>
      </c>
      <c r="H289" s="391">
        <f t="shared" si="15"/>
        <v>132730.54149600308</v>
      </c>
      <c r="I289" s="245">
        <f t="shared" si="16"/>
        <v>204691.59649600307</v>
      </c>
    </row>
    <row r="290" spans="1:9" s="35" customFormat="1" x14ac:dyDescent="0.25">
      <c r="A290" s="38">
        <f>Données!A284</f>
        <v>5911</v>
      </c>
      <c r="B290" s="421" t="str">
        <f>Données!B284</f>
        <v>Cuarny</v>
      </c>
      <c r="C290" s="31">
        <f>VPI!R284</f>
        <v>7630.6846753246737</v>
      </c>
      <c r="D290" s="8">
        <f>Données!N284</f>
        <v>0</v>
      </c>
      <c r="E290" s="174">
        <f>Données!O284+Données!P284+Données!R284</f>
        <v>30659</v>
      </c>
      <c r="F290" s="390">
        <f t="shared" si="14"/>
        <v>15329.5</v>
      </c>
      <c r="G290" s="390">
        <f>Ecrêtage!M284</f>
        <v>0</v>
      </c>
      <c r="H290" s="391">
        <f t="shared" si="15"/>
        <v>95370.973144291551</v>
      </c>
      <c r="I290" s="245">
        <f t="shared" si="16"/>
        <v>110700.47314429155</v>
      </c>
    </row>
    <row r="291" spans="1:9" s="35" customFormat="1" x14ac:dyDescent="0.25">
      <c r="A291" s="38">
        <f>Données!A285</f>
        <v>5912</v>
      </c>
      <c r="B291" s="421" t="str">
        <f>Données!B285</f>
        <v>Démoret</v>
      </c>
      <c r="C291" s="31">
        <f>VPI!R285</f>
        <v>3035.5676923076921</v>
      </c>
      <c r="D291" s="8">
        <f>Données!N285</f>
        <v>0</v>
      </c>
      <c r="E291" s="174">
        <f>Données!O285+Données!P285+Données!R285</f>
        <v>41485.5</v>
      </c>
      <c r="F291" s="390">
        <f t="shared" si="14"/>
        <v>20742.75</v>
      </c>
      <c r="G291" s="390">
        <f>Ecrêtage!M285</f>
        <v>0</v>
      </c>
      <c r="H291" s="391">
        <f t="shared" si="15"/>
        <v>37939.589588458264</v>
      </c>
      <c r="I291" s="245">
        <f t="shared" si="16"/>
        <v>58682.339588458264</v>
      </c>
    </row>
    <row r="292" spans="1:9" s="35" customFormat="1" x14ac:dyDescent="0.25">
      <c r="A292" s="38">
        <f>Données!A286</f>
        <v>5913</v>
      </c>
      <c r="B292" s="421" t="str">
        <f>Données!B286</f>
        <v>Donneloye</v>
      </c>
      <c r="C292" s="31">
        <f>VPI!R286</f>
        <v>21868.154383561647</v>
      </c>
      <c r="D292" s="8">
        <f>Données!N286</f>
        <v>19227.599999999999</v>
      </c>
      <c r="E292" s="174">
        <f>Données!O286+Données!P286+Données!R286</f>
        <v>172847.4</v>
      </c>
      <c r="F292" s="390">
        <f t="shared" si="14"/>
        <v>92191.98</v>
      </c>
      <c r="G292" s="390">
        <f>Ecrêtage!M286</f>
        <v>0</v>
      </c>
      <c r="H292" s="391">
        <f t="shared" si="15"/>
        <v>273315.86262161215</v>
      </c>
      <c r="I292" s="245">
        <f t="shared" si="16"/>
        <v>365507.84262161213</v>
      </c>
    </row>
    <row r="293" spans="1:9" s="35" customFormat="1" x14ac:dyDescent="0.25">
      <c r="A293" s="38">
        <f>Données!A287</f>
        <v>5914</v>
      </c>
      <c r="B293" s="421" t="str">
        <f>Données!B287</f>
        <v>Ependes</v>
      </c>
      <c r="C293" s="31">
        <f>VPI!R287</f>
        <v>9825.9911564625836</v>
      </c>
      <c r="D293" s="8">
        <f>Données!N287</f>
        <v>20140.25</v>
      </c>
      <c r="E293" s="174">
        <f>Données!O287+Données!P287+Données!R287</f>
        <v>27240.5</v>
      </c>
      <c r="F293" s="390">
        <f t="shared" si="14"/>
        <v>19662.325000000001</v>
      </c>
      <c r="G293" s="390">
        <f>Ecrêtage!M287</f>
        <v>0</v>
      </c>
      <c r="H293" s="391">
        <f t="shared" si="15"/>
        <v>122808.68343693767</v>
      </c>
      <c r="I293" s="245">
        <f t="shared" si="16"/>
        <v>142471.00843693767</v>
      </c>
    </row>
    <row r="294" spans="1:9" s="35" customFormat="1" x14ac:dyDescent="0.25">
      <c r="A294" s="38">
        <f>Données!A288</f>
        <v>5919</v>
      </c>
      <c r="B294" s="421" t="str">
        <f>Données!B288</f>
        <v>Mathod</v>
      </c>
      <c r="C294" s="31">
        <f>VPI!R288</f>
        <v>20853.913634259261</v>
      </c>
      <c r="D294" s="8">
        <f>Données!N288</f>
        <v>14768.6</v>
      </c>
      <c r="E294" s="174">
        <f>Données!O288+Données!P288+Données!R288</f>
        <v>286691.59999999998</v>
      </c>
      <c r="F294" s="390">
        <f t="shared" si="14"/>
        <v>147776.37999999998</v>
      </c>
      <c r="G294" s="390">
        <f>Ecrêtage!M288</f>
        <v>0</v>
      </c>
      <c r="H294" s="391">
        <f t="shared" si="15"/>
        <v>260639.52604380061</v>
      </c>
      <c r="I294" s="245">
        <f t="shared" si="16"/>
        <v>408415.90604380058</v>
      </c>
    </row>
    <row r="295" spans="1:9" s="35" customFormat="1" x14ac:dyDescent="0.25">
      <c r="A295" s="38">
        <f>Données!A289</f>
        <v>5921</v>
      </c>
      <c r="B295" s="421" t="str">
        <f>Données!B289</f>
        <v>Molondin</v>
      </c>
      <c r="C295" s="31">
        <f>VPI!R289</f>
        <v>5090.9581481481491</v>
      </c>
      <c r="D295" s="8">
        <f>Données!N289</f>
        <v>11053.2</v>
      </c>
      <c r="E295" s="174">
        <f>Données!O289+Données!P289+Données!R289</f>
        <v>25072.3</v>
      </c>
      <c r="F295" s="390">
        <f t="shared" si="14"/>
        <v>15852.11</v>
      </c>
      <c r="G295" s="390">
        <f>Ecrêtage!M289</f>
        <v>0</v>
      </c>
      <c r="H295" s="391">
        <f t="shared" si="15"/>
        <v>63628.580328552351</v>
      </c>
      <c r="I295" s="245">
        <f t="shared" si="16"/>
        <v>79480.690328552359</v>
      </c>
    </row>
    <row r="296" spans="1:9" s="35" customFormat="1" x14ac:dyDescent="0.25">
      <c r="A296" s="38">
        <f>Données!A290</f>
        <v>5922</v>
      </c>
      <c r="B296" s="421" t="str">
        <f>Données!B290</f>
        <v>Montagny-près-Yverdon</v>
      </c>
      <c r="C296" s="31">
        <f>VPI!R290</f>
        <v>39793.407325581393</v>
      </c>
      <c r="D296" s="8">
        <f>Données!N290</f>
        <v>403748.6</v>
      </c>
      <c r="E296" s="174">
        <f>Données!O290+Données!P290+Données!R290</f>
        <v>71704.75</v>
      </c>
      <c r="F296" s="390">
        <f t="shared" si="14"/>
        <v>156976.95499999999</v>
      </c>
      <c r="G296" s="390">
        <f>Ecrêtage!M290</f>
        <v>37455.069670287361</v>
      </c>
      <c r="H296" s="391">
        <f t="shared" si="15"/>
        <v>497351.96025596495</v>
      </c>
      <c r="I296" s="245">
        <f t="shared" si="16"/>
        <v>691783.98492625228</v>
      </c>
    </row>
    <row r="297" spans="1:9" s="35" customFormat="1" x14ac:dyDescent="0.25">
      <c r="A297" s="38">
        <f>Données!A291</f>
        <v>5923</v>
      </c>
      <c r="B297" s="421" t="str">
        <f>Données!B291</f>
        <v>Oppens</v>
      </c>
      <c r="C297" s="31">
        <f>VPI!R291</f>
        <v>4459.1672839506173</v>
      </c>
      <c r="D297" s="8">
        <f>Données!N291</f>
        <v>40011.199999999997</v>
      </c>
      <c r="E297" s="174">
        <f>Données!O291+Données!P291+Données!R291</f>
        <v>1527.6</v>
      </c>
      <c r="F297" s="390">
        <f t="shared" si="14"/>
        <v>12767.159999999998</v>
      </c>
      <c r="G297" s="390">
        <f>Ecrêtage!M291</f>
        <v>0</v>
      </c>
      <c r="H297" s="391">
        <f t="shared" si="15"/>
        <v>55732.236539503327</v>
      </c>
      <c r="I297" s="245">
        <f t="shared" si="16"/>
        <v>68499.39653950333</v>
      </c>
    </row>
    <row r="298" spans="1:9" s="35" customFormat="1" x14ac:dyDescent="0.25">
      <c r="A298" s="38">
        <f>Données!A292</f>
        <v>5924</v>
      </c>
      <c r="B298" s="421" t="str">
        <f>Données!B292</f>
        <v>Orges</v>
      </c>
      <c r="C298" s="31">
        <f>VPI!R292</f>
        <v>11637.444864864863</v>
      </c>
      <c r="D298" s="8">
        <f>Données!N292</f>
        <v>20322.2</v>
      </c>
      <c r="E298" s="174">
        <f>Données!O292+Données!P292+Données!R292</f>
        <v>48779.55</v>
      </c>
      <c r="F298" s="390">
        <f t="shared" si="14"/>
        <v>30486.435000000001</v>
      </c>
      <c r="G298" s="390">
        <f>Ecrêtage!M292</f>
        <v>0</v>
      </c>
      <c r="H298" s="391">
        <f t="shared" si="15"/>
        <v>145448.86715922083</v>
      </c>
      <c r="I298" s="245">
        <f t="shared" si="16"/>
        <v>175935.30215922082</v>
      </c>
    </row>
    <row r="299" spans="1:9" s="35" customFormat="1" x14ac:dyDescent="0.25">
      <c r="A299" s="38">
        <f>Données!A293</f>
        <v>5925</v>
      </c>
      <c r="B299" s="421" t="str">
        <f>Données!B293</f>
        <v>Orzens</v>
      </c>
      <c r="C299" s="31">
        <f>VPI!R293</f>
        <v>5255.7039240506319</v>
      </c>
      <c r="D299" s="8">
        <f>Données!N293</f>
        <v>288.45</v>
      </c>
      <c r="E299" s="174">
        <f>Données!O293+Données!P293+Données!R293</f>
        <v>38686.75</v>
      </c>
      <c r="F299" s="390">
        <f t="shared" si="14"/>
        <v>19429.91</v>
      </c>
      <c r="G299" s="390">
        <f>Ecrêtage!M293</f>
        <v>0</v>
      </c>
      <c r="H299" s="391">
        <f t="shared" si="15"/>
        <v>65687.630811930198</v>
      </c>
      <c r="I299" s="245">
        <f t="shared" si="16"/>
        <v>85117.540811930201</v>
      </c>
    </row>
    <row r="300" spans="1:9" s="35" customFormat="1" x14ac:dyDescent="0.25">
      <c r="A300" s="38">
        <f>Données!A294</f>
        <v>5926</v>
      </c>
      <c r="B300" s="421" t="str">
        <f>Données!B294</f>
        <v>Pomy</v>
      </c>
      <c r="C300" s="31">
        <f>VPI!R294</f>
        <v>26782.091549295772</v>
      </c>
      <c r="D300" s="8">
        <f>Données!N294</f>
        <v>24861.65</v>
      </c>
      <c r="E300" s="174">
        <f>Données!O294+Données!P294+Données!R294</f>
        <v>99797.05</v>
      </c>
      <c r="F300" s="390">
        <f t="shared" si="14"/>
        <v>57357.020000000004</v>
      </c>
      <c r="G300" s="390">
        <f>Ecrêtage!M294</f>
        <v>0</v>
      </c>
      <c r="H300" s="391">
        <f t="shared" si="15"/>
        <v>334731.97263090499</v>
      </c>
      <c r="I300" s="245">
        <f t="shared" si="16"/>
        <v>392088.99263090501</v>
      </c>
    </row>
    <row r="301" spans="1:9" s="35" customFormat="1" x14ac:dyDescent="0.25">
      <c r="A301" s="38">
        <f>Données!A295</f>
        <v>5928</v>
      </c>
      <c r="B301" s="421" t="str">
        <f>Données!B295</f>
        <v>Rovray</v>
      </c>
      <c r="C301" s="31">
        <f>VPI!R295</f>
        <v>5095.4959440559442</v>
      </c>
      <c r="D301" s="8">
        <f>Données!N295</f>
        <v>0</v>
      </c>
      <c r="E301" s="174">
        <f>Données!O295+Données!P295+Données!R295</f>
        <v>238.5</v>
      </c>
      <c r="F301" s="390">
        <f t="shared" si="14"/>
        <v>119.25</v>
      </c>
      <c r="G301" s="390">
        <f>Ecrêtage!M295</f>
        <v>0</v>
      </c>
      <c r="H301" s="391">
        <f t="shared" si="15"/>
        <v>63685.29529320763</v>
      </c>
      <c r="I301" s="245">
        <f t="shared" si="16"/>
        <v>63804.54529320763</v>
      </c>
    </row>
    <row r="302" spans="1:9" s="35" customFormat="1" x14ac:dyDescent="0.25">
      <c r="A302" s="38">
        <f>Données!A296</f>
        <v>5929</v>
      </c>
      <c r="B302" s="421" t="str">
        <f>Données!B296</f>
        <v>Suchy</v>
      </c>
      <c r="C302" s="31">
        <f>VPI!R296</f>
        <v>21602.649857142853</v>
      </c>
      <c r="D302" s="8">
        <f>Données!N296</f>
        <v>19827.2</v>
      </c>
      <c r="E302" s="174">
        <f>Données!O296+Données!P296+Données!R296</f>
        <v>89318.5</v>
      </c>
      <c r="F302" s="390">
        <f t="shared" si="14"/>
        <v>50607.41</v>
      </c>
      <c r="G302" s="390">
        <f>Ecrêtage!M296</f>
        <v>0</v>
      </c>
      <c r="H302" s="391">
        <f t="shared" si="15"/>
        <v>269997.49393830687</v>
      </c>
      <c r="I302" s="245">
        <f t="shared" si="16"/>
        <v>320604.90393830684</v>
      </c>
    </row>
    <row r="303" spans="1:9" s="35" customFormat="1" x14ac:dyDescent="0.25">
      <c r="A303" s="38">
        <f>Données!A297</f>
        <v>5930</v>
      </c>
      <c r="B303" s="421" t="str">
        <f>Données!B297</f>
        <v>Suscévaz</v>
      </c>
      <c r="C303" s="31">
        <f>VPI!R297</f>
        <v>5749.1573611111107</v>
      </c>
      <c r="D303" s="8">
        <f>Données!N297</f>
        <v>0</v>
      </c>
      <c r="E303" s="174">
        <f>Données!O297+Données!P297+Données!R297</f>
        <v>48537.95</v>
      </c>
      <c r="F303" s="390">
        <f t="shared" si="14"/>
        <v>24268.974999999999</v>
      </c>
      <c r="G303" s="390">
        <f>Ecrêtage!M297</f>
        <v>0</v>
      </c>
      <c r="H303" s="391">
        <f t="shared" si="15"/>
        <v>71854.984921848372</v>
      </c>
      <c r="I303" s="245">
        <f t="shared" si="16"/>
        <v>96123.959921848378</v>
      </c>
    </row>
    <row r="304" spans="1:9" s="35" customFormat="1" x14ac:dyDescent="0.25">
      <c r="A304" s="38">
        <f>Données!A298</f>
        <v>5931</v>
      </c>
      <c r="B304" s="421" t="str">
        <f>Données!B298</f>
        <v>Treycovagnes</v>
      </c>
      <c r="C304" s="31">
        <f>VPI!R298</f>
        <v>16306.589199999997</v>
      </c>
      <c r="D304" s="8">
        <f>Données!N298</f>
        <v>14546.55</v>
      </c>
      <c r="E304" s="174">
        <f>Données!O298+Données!P298+Données!R298</f>
        <v>198120.6</v>
      </c>
      <c r="F304" s="390">
        <f t="shared" si="14"/>
        <v>103424.265</v>
      </c>
      <c r="G304" s="390">
        <f>Ecrêtage!M298</f>
        <v>0</v>
      </c>
      <c r="H304" s="391">
        <f t="shared" si="15"/>
        <v>203805.47052313155</v>
      </c>
      <c r="I304" s="245">
        <f t="shared" si="16"/>
        <v>307229.73552313156</v>
      </c>
    </row>
    <row r="305" spans="1:9" s="35" customFormat="1" x14ac:dyDescent="0.25">
      <c r="A305" s="38">
        <f>Données!A299</f>
        <v>5932</v>
      </c>
      <c r="B305" s="421" t="str">
        <f>Données!B299</f>
        <v>Ursins</v>
      </c>
      <c r="C305" s="31">
        <f>VPI!R299</f>
        <v>7945.6270666666669</v>
      </c>
      <c r="D305" s="8">
        <f>Données!N299</f>
        <v>0</v>
      </c>
      <c r="E305" s="174">
        <f>Données!O299+Données!P299+Données!R299</f>
        <v>19469.650000000001</v>
      </c>
      <c r="F305" s="390">
        <f t="shared" si="14"/>
        <v>9734.8250000000007</v>
      </c>
      <c r="G305" s="390">
        <f>Ecrêtage!M299</f>
        <v>0</v>
      </c>
      <c r="H305" s="391">
        <f t="shared" si="15"/>
        <v>99307.233601207656</v>
      </c>
      <c r="I305" s="245">
        <f t="shared" si="16"/>
        <v>109042.05860120765</v>
      </c>
    </row>
    <row r="306" spans="1:9" s="35" customFormat="1" x14ac:dyDescent="0.25">
      <c r="A306" s="38">
        <f>Données!A300</f>
        <v>5933</v>
      </c>
      <c r="B306" s="421" t="str">
        <f>Données!B300</f>
        <v>Valeyres-sous-Montagny</v>
      </c>
      <c r="C306" s="31">
        <f>VPI!R300</f>
        <v>23478.000425531918</v>
      </c>
      <c r="D306" s="8">
        <f>Données!N300</f>
        <v>27780.9</v>
      </c>
      <c r="E306" s="174">
        <f>Données!O300+Données!P300+Données!R300</f>
        <v>93066.9</v>
      </c>
      <c r="F306" s="390">
        <f t="shared" si="14"/>
        <v>54867.72</v>
      </c>
      <c r="G306" s="390">
        <f>Ecrêtage!M300</f>
        <v>0</v>
      </c>
      <c r="H306" s="391">
        <f t="shared" si="15"/>
        <v>293436.28302525805</v>
      </c>
      <c r="I306" s="245">
        <f t="shared" si="16"/>
        <v>348304.00302525808</v>
      </c>
    </row>
    <row r="307" spans="1:9" s="35" customFormat="1" x14ac:dyDescent="0.25">
      <c r="A307" s="38">
        <f>Données!A301</f>
        <v>5934</v>
      </c>
      <c r="B307" s="421" t="str">
        <f>Données!B301</f>
        <v>Valeyres-sous-Ursins</v>
      </c>
      <c r="C307" s="31">
        <f>VPI!R301</f>
        <v>6917.5551948051934</v>
      </c>
      <c r="D307" s="8">
        <f>Données!N301</f>
        <v>7121.8</v>
      </c>
      <c r="E307" s="174">
        <f>Données!O301+Données!P301+Données!R301</f>
        <v>56058.2</v>
      </c>
      <c r="F307" s="390">
        <f t="shared" si="14"/>
        <v>30165.64</v>
      </c>
      <c r="G307" s="390">
        <f>Ecrêtage!M301</f>
        <v>0</v>
      </c>
      <c r="H307" s="391">
        <f t="shared" si="15"/>
        <v>86458.030803094356</v>
      </c>
      <c r="I307" s="245">
        <f t="shared" si="16"/>
        <v>116623.67080309436</v>
      </c>
    </row>
    <row r="308" spans="1:9" s="35" customFormat="1" x14ac:dyDescent="0.25">
      <c r="A308" s="38">
        <f>Données!A302</f>
        <v>5935</v>
      </c>
      <c r="B308" s="421" t="str">
        <f>Données!B302</f>
        <v>Villars-Epeney</v>
      </c>
      <c r="C308" s="31">
        <f>VPI!R302</f>
        <v>6724.3836764705884</v>
      </c>
      <c r="D308" s="8">
        <f>Données!N302</f>
        <v>0</v>
      </c>
      <c r="E308" s="174">
        <f>Données!O302+Données!P302+Données!R302</f>
        <v>57862.7</v>
      </c>
      <c r="F308" s="390">
        <f t="shared" si="14"/>
        <v>28931.35</v>
      </c>
      <c r="G308" s="390">
        <f>Ecrêtage!M302</f>
        <v>42035.507925651807</v>
      </c>
      <c r="H308" s="391">
        <f t="shared" si="15"/>
        <v>84043.705421925624</v>
      </c>
      <c r="I308" s="245">
        <f t="shared" si="16"/>
        <v>155010.56334757741</v>
      </c>
    </row>
    <row r="309" spans="1:9" s="35" customFormat="1" x14ac:dyDescent="0.25">
      <c r="A309" s="38">
        <f>Données!A303</f>
        <v>5937</v>
      </c>
      <c r="B309" s="421" t="str">
        <f>Données!B303</f>
        <v>Vugelles-La Mothe</v>
      </c>
      <c r="C309" s="31">
        <f>VPI!R303</f>
        <v>3343.8780000000002</v>
      </c>
      <c r="D309" s="8">
        <f>Données!N303</f>
        <v>2274.35</v>
      </c>
      <c r="E309" s="174">
        <f>Données!O303+Données!P303+Données!R303</f>
        <v>16589.400000000001</v>
      </c>
      <c r="F309" s="390">
        <f t="shared" si="14"/>
        <v>8977.005000000001</v>
      </c>
      <c r="G309" s="390">
        <f>Ecrêtage!M303</f>
        <v>0</v>
      </c>
      <c r="H309" s="391">
        <f t="shared" si="15"/>
        <v>41792.959938056716</v>
      </c>
      <c r="I309" s="245">
        <f t="shared" si="16"/>
        <v>50769.964938056713</v>
      </c>
    </row>
    <row r="310" spans="1:9" s="35" customFormat="1" x14ac:dyDescent="0.25">
      <c r="A310" s="38">
        <f>Données!A304</f>
        <v>5938</v>
      </c>
      <c r="B310" s="421" t="str">
        <f>Données!B304</f>
        <v>Yverdon-les-Bains</v>
      </c>
      <c r="C310" s="31">
        <f>VPI!R304</f>
        <v>780545.69493333355</v>
      </c>
      <c r="D310" s="8">
        <f>Données!N304</f>
        <v>5431399.5</v>
      </c>
      <c r="E310" s="174">
        <f>Données!O304+Données!P304+Données!R304</f>
        <v>5270017.45</v>
      </c>
      <c r="F310" s="390">
        <f t="shared" si="14"/>
        <v>4264428.5750000002</v>
      </c>
      <c r="G310" s="390">
        <f>Ecrêtage!M304</f>
        <v>0</v>
      </c>
      <c r="H310" s="391">
        <f t="shared" si="15"/>
        <v>9755533.8317281436</v>
      </c>
      <c r="I310" s="245">
        <f t="shared" si="16"/>
        <v>14019962.406728145</v>
      </c>
    </row>
    <row r="311" spans="1:9" s="35" customFormat="1" x14ac:dyDescent="0.25">
      <c r="A311" s="39">
        <f>Données!A305</f>
        <v>5939</v>
      </c>
      <c r="B311" s="422" t="str">
        <f>Données!B305</f>
        <v>Yvonand</v>
      </c>
      <c r="C311" s="31">
        <f>VPI!R305</f>
        <v>97389.711048951052</v>
      </c>
      <c r="D311" s="8">
        <f>Données!N305</f>
        <v>174288.8</v>
      </c>
      <c r="E311" s="174">
        <f>Données!O305+Données!P305+Données!R305</f>
        <v>1383071.45</v>
      </c>
      <c r="F311" s="390">
        <f t="shared" si="14"/>
        <v>743822.36499999999</v>
      </c>
      <c r="G311" s="390">
        <f>Ecrêtage!M305</f>
        <v>0</v>
      </c>
      <c r="H311" s="391">
        <f t="shared" si="15"/>
        <v>1217210.7631461825</v>
      </c>
      <c r="I311" s="245">
        <f t="shared" si="16"/>
        <v>1961033.1281461825</v>
      </c>
    </row>
    <row r="312" spans="1:9" x14ac:dyDescent="0.25">
      <c r="A312" s="25"/>
      <c r="B312" s="134">
        <f>COUNTA(B12:B311)</f>
        <v>300</v>
      </c>
      <c r="C312" s="9">
        <f>SUM(C12:C311)</f>
        <v>39802348.273186527</v>
      </c>
      <c r="D312" s="74">
        <f>SUM(D12:D311)</f>
        <v>86039533.399999931</v>
      </c>
      <c r="E312" s="9">
        <f>SUM(E12:E311)</f>
        <v>283527072.24999994</v>
      </c>
      <c r="F312" s="418">
        <f t="shared" ref="F312" si="17">D312*$D$11+E312*$E$11</f>
        <v>167575396.14499995</v>
      </c>
      <c r="G312" s="418">
        <f>SUM(G12:G311)</f>
        <v>125715596.50028637</v>
      </c>
      <c r="H312" s="419">
        <f>SUM(H12:H311)</f>
        <v>497463707.35471356</v>
      </c>
      <c r="I312" s="251">
        <f>SUM(I12:I311)</f>
        <v>790754699.99999952</v>
      </c>
    </row>
    <row r="313" spans="1:9" x14ac:dyDescent="0.25">
      <c r="C313" s="52"/>
      <c r="D313" s="52"/>
      <c r="E313" s="52"/>
      <c r="F313" s="52"/>
    </row>
    <row r="314" spans="1:9" x14ac:dyDescent="0.25">
      <c r="A314" s="53"/>
      <c r="B314" s="54"/>
      <c r="C314" s="425"/>
      <c r="D314" s="35"/>
      <c r="E314" s="55"/>
      <c r="F314" s="14"/>
      <c r="G314" s="14"/>
      <c r="H314" s="14"/>
      <c r="I314" s="14"/>
    </row>
    <row r="315" spans="1:9" x14ac:dyDescent="0.25">
      <c r="F315" s="53"/>
      <c r="G315" s="53"/>
      <c r="H315" s="53"/>
      <c r="I315" s="53"/>
    </row>
    <row r="316" spans="1:9" x14ac:dyDescent="0.25">
      <c r="F316" s="54"/>
      <c r="G316" s="53"/>
      <c r="H316" s="53"/>
      <c r="I316" s="53"/>
    </row>
    <row r="317" spans="1:9" x14ac:dyDescent="0.25">
      <c r="F317" s="54"/>
      <c r="G317" s="53"/>
      <c r="H317" s="53"/>
      <c r="I317" s="53"/>
    </row>
    <row r="318" spans="1:9" x14ac:dyDescent="0.25">
      <c r="F318" s="54"/>
      <c r="G318" s="53"/>
      <c r="H318" s="53"/>
      <c r="I318" s="53"/>
    </row>
    <row r="319" spans="1:9" x14ac:dyDescent="0.25">
      <c r="F319" s="57"/>
      <c r="G319" s="53"/>
      <c r="H319" s="53"/>
      <c r="I319" s="53"/>
    </row>
    <row r="320" spans="1:9" x14ac:dyDescent="0.25">
      <c r="D320" s="15"/>
      <c r="E320" s="53"/>
      <c r="F320" s="53"/>
      <c r="G320" s="53"/>
      <c r="H320" s="53"/>
      <c r="I320" s="53"/>
    </row>
    <row r="321" spans="3:9" x14ac:dyDescent="0.25">
      <c r="C321" s="45"/>
      <c r="E321" s="53"/>
      <c r="F321" s="53"/>
      <c r="G321" s="53"/>
      <c r="H321" s="53"/>
      <c r="I321" s="53"/>
    </row>
    <row r="322" spans="3:9" x14ac:dyDescent="0.25">
      <c r="E322" s="53"/>
      <c r="F322" s="53"/>
      <c r="G322" s="53"/>
      <c r="H322" s="53"/>
      <c r="I322" s="53"/>
    </row>
    <row r="323" spans="3:9" x14ac:dyDescent="0.25">
      <c r="E323" s="53"/>
      <c r="F323" s="53"/>
      <c r="G323" s="53"/>
      <c r="H323" s="53"/>
      <c r="I323" s="53"/>
    </row>
    <row r="324" spans="3:9" x14ac:dyDescent="0.25">
      <c r="E324" s="53"/>
      <c r="F324" s="53"/>
      <c r="G324" s="53"/>
      <c r="H324" s="53"/>
      <c r="I324" s="53"/>
    </row>
  </sheetData>
  <sheetProtection sheet="1" objects="1" scenarios="1"/>
  <mergeCells count="11">
    <mergeCell ref="A4:C4"/>
    <mergeCell ref="A10:A11"/>
    <mergeCell ref="I10:I11"/>
    <mergeCell ref="G10:G11"/>
    <mergeCell ref="F10:F11"/>
    <mergeCell ref="C10:C11"/>
    <mergeCell ref="B10:B11"/>
    <mergeCell ref="A5:B5"/>
    <mergeCell ref="A6:B6"/>
    <mergeCell ref="A7:B7"/>
    <mergeCell ref="A8:B8"/>
  </mergeCells>
  <phoneticPr fontId="0" type="noConversion"/>
  <hyperlinks>
    <hyperlink ref="E1" location="VPI!A1" display="← Précédent" xr:uid="{BB8ECA03-C04E-4697-B3DD-619E0FB40F67}"/>
    <hyperlink ref="F1" location="'Table des matières'!A1" display="Table des             matières" xr:uid="{54975323-3646-4DA1-AA62-F5E15D2A8645}"/>
    <hyperlink ref="G1" location="Ecrêtage!A1" display="Suivant →" xr:uid="{6AA66BEC-28C4-4E9D-9CB2-8418588B3BDC}"/>
  </hyperlinks>
  <printOptions horizontalCentered="1"/>
  <pageMargins left="0" right="0" top="0" bottom="0" header="0.51181102362204722" footer="0.51181102362204722"/>
  <pageSetup paperSize="9" scale="73" orientation="portrait" horizontalDpi="4294967292" vertic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tint="0.79998168889431442"/>
  </sheetPr>
  <dimension ref="A1:T312"/>
  <sheetViews>
    <sheetView workbookViewId="0">
      <pane ySplit="5" topLeftCell="A6" activePane="bottomLeft" state="frozen"/>
      <selection pane="bottomLeft" activeCell="A6" sqref="A6"/>
    </sheetView>
  </sheetViews>
  <sheetFormatPr baseColWidth="10" defaultColWidth="11" defaultRowHeight="15" x14ac:dyDescent="0.25"/>
  <cols>
    <col min="1" max="1" width="8.75" style="11" customWidth="1"/>
    <col min="2" max="2" width="23.625" style="11" customWidth="1"/>
    <col min="3" max="3" width="16.75" style="290" customWidth="1"/>
    <col min="4" max="4" width="11" style="11" customWidth="1"/>
    <col min="5" max="5" width="14.125" style="11" customWidth="1"/>
    <col min="6" max="6" width="10.875" style="45" customWidth="1"/>
    <col min="7" max="10" width="7" style="11" bestFit="1" customWidth="1"/>
    <col min="11" max="11" width="6.5" style="11" customWidth="1"/>
    <col min="12" max="12" width="9.625" style="11" customWidth="1"/>
    <col min="13" max="13" width="10.75" style="10" bestFit="1" customWidth="1"/>
    <col min="14" max="14" width="3.75" style="148" customWidth="1"/>
    <col min="15" max="15" width="12.625" style="148" customWidth="1"/>
    <col min="16" max="17" width="11" style="148" customWidth="1"/>
    <col min="18" max="18" width="11.25" style="148" customWidth="1"/>
    <col min="19" max="19" width="11" style="11"/>
    <col min="20" max="20" width="5.875" style="11" customWidth="1"/>
    <col min="21" max="16384" width="11" style="11"/>
  </cols>
  <sheetData>
    <row r="1" spans="1:20" s="209" customFormat="1" ht="29.1" customHeight="1" x14ac:dyDescent="0.4">
      <c r="A1" s="207" t="s">
        <v>536</v>
      </c>
      <c r="B1" s="208"/>
      <c r="C1" s="314" t="s">
        <v>403</v>
      </c>
      <c r="D1" s="239" t="s">
        <v>479</v>
      </c>
      <c r="E1" s="389" t="s">
        <v>404</v>
      </c>
      <c r="N1" s="210"/>
      <c r="O1" s="288"/>
      <c r="P1" s="286"/>
      <c r="Q1" s="286"/>
      <c r="R1" s="286"/>
      <c r="S1" s="286"/>
    </row>
    <row r="2" spans="1:20" s="158" customFormat="1" ht="15.75" customHeight="1" x14ac:dyDescent="0.25">
      <c r="A2" s="278" t="str">
        <f>Paramètres!B4</f>
        <v>Acomptes 2024</v>
      </c>
      <c r="B2" s="32"/>
      <c r="C2" s="289"/>
      <c r="D2" s="33"/>
      <c r="E2" s="33"/>
      <c r="F2" s="44"/>
      <c r="M2" s="10"/>
      <c r="N2" s="175"/>
      <c r="O2" s="286"/>
      <c r="P2" s="286"/>
      <c r="Q2" s="286"/>
      <c r="R2" s="286"/>
      <c r="S2" s="286"/>
    </row>
    <row r="3" spans="1:20" ht="15" customHeight="1" x14ac:dyDescent="0.25">
      <c r="G3" s="249">
        <f>$E$306*G5</f>
        <v>47.908978639858312</v>
      </c>
      <c r="H3" s="249">
        <f>$E$306*H5</f>
        <v>57.490774367829971</v>
      </c>
      <c r="I3" s="249">
        <f>$E$306*I5</f>
        <v>71.863467959787471</v>
      </c>
      <c r="J3" s="249">
        <f>$E$306*J5</f>
        <v>95.817957279716623</v>
      </c>
      <c r="K3" s="249">
        <f>$E$306*K5</f>
        <v>143.72693591957494</v>
      </c>
      <c r="O3" s="286"/>
      <c r="P3" s="286"/>
      <c r="Q3" s="286"/>
      <c r="R3" s="286"/>
      <c r="S3" s="286"/>
      <c r="T3" s="158"/>
    </row>
    <row r="4" spans="1:20" ht="37.5" customHeight="1" x14ac:dyDescent="0.25">
      <c r="A4" s="675" t="s">
        <v>44</v>
      </c>
      <c r="B4" s="675" t="s">
        <v>84</v>
      </c>
      <c r="C4" s="693" t="s">
        <v>421</v>
      </c>
      <c r="D4" s="694"/>
      <c r="E4" s="695"/>
      <c r="F4" s="691" t="s">
        <v>249</v>
      </c>
      <c r="G4" s="246">
        <f>Paramètres!B24</f>
        <v>0.2</v>
      </c>
      <c r="H4" s="246">
        <f>Paramètres!C24</f>
        <v>0.3</v>
      </c>
      <c r="I4" s="246">
        <f>Paramètres!D24</f>
        <v>0.4</v>
      </c>
      <c r="J4" s="246">
        <f>Paramètres!E24</f>
        <v>0.5</v>
      </c>
      <c r="K4" s="246">
        <f>Paramètres!F24</f>
        <v>0.6</v>
      </c>
      <c r="L4" s="691" t="s">
        <v>252</v>
      </c>
      <c r="M4" s="691" t="s">
        <v>557</v>
      </c>
      <c r="O4" s="286"/>
      <c r="P4" s="286"/>
      <c r="Q4" s="286"/>
      <c r="R4" s="286"/>
      <c r="S4" s="286"/>
      <c r="T4" s="286"/>
    </row>
    <row r="5" spans="1:20" ht="37.5" customHeight="1" x14ac:dyDescent="0.25">
      <c r="A5" s="681"/>
      <c r="B5" s="681"/>
      <c r="C5" s="247" t="s">
        <v>410</v>
      </c>
      <c r="D5" s="247" t="s">
        <v>258</v>
      </c>
      <c r="E5" s="247" t="s">
        <v>481</v>
      </c>
      <c r="F5" s="691"/>
      <c r="G5" s="248">
        <f>Paramètres!B25</f>
        <v>1</v>
      </c>
      <c r="H5" s="248">
        <f>Paramètres!C25</f>
        <v>1.2</v>
      </c>
      <c r="I5" s="248">
        <f>Paramètres!D25</f>
        <v>1.5</v>
      </c>
      <c r="J5" s="248">
        <f>Paramètres!E25</f>
        <v>2</v>
      </c>
      <c r="K5" s="248">
        <f>Paramètres!F25</f>
        <v>3</v>
      </c>
      <c r="L5" s="692"/>
      <c r="M5" s="691"/>
      <c r="O5" s="286"/>
      <c r="P5" s="286"/>
      <c r="Q5" s="286"/>
      <c r="R5" s="286"/>
      <c r="S5" s="286"/>
      <c r="T5" s="286"/>
    </row>
    <row r="6" spans="1:20" x14ac:dyDescent="0.25">
      <c r="A6" s="67">
        <f>Données!A6</f>
        <v>5401</v>
      </c>
      <c r="B6" s="133" t="str">
        <f>Données!B6</f>
        <v>Aigle</v>
      </c>
      <c r="C6" s="291">
        <f>VPI!R6</f>
        <v>294617.5415151515</v>
      </c>
      <c r="D6" s="27">
        <f>Données!Z6</f>
        <v>10937</v>
      </c>
      <c r="E6" s="88">
        <f>C6/D6</f>
        <v>26.937692375893892</v>
      </c>
      <c r="F6" s="147">
        <f>E6/$E$306</f>
        <v>0.56226814139349723</v>
      </c>
      <c r="G6" s="393">
        <f t="shared" ref="G6" si="0">IF(E6-$G$3&lt;0,0,E6-$G$3)</f>
        <v>0</v>
      </c>
      <c r="H6" s="393">
        <f t="shared" ref="H6" si="1">IF(E6-$H$3&lt;0,0,E6-$H$3)</f>
        <v>0</v>
      </c>
      <c r="I6" s="393">
        <f t="shared" ref="I6" si="2">IF(E6-$I$3&lt;0,0,E6-$I$3)</f>
        <v>0</v>
      </c>
      <c r="J6" s="393">
        <f t="shared" ref="J6" si="3">IF(E6-$J$3&lt;0,0,E6-$J$3)</f>
        <v>0</v>
      </c>
      <c r="K6" s="393">
        <f t="shared" ref="K6" si="4">IF(E6-$K$3&lt;0,0,E6-$K$3)</f>
        <v>0</v>
      </c>
      <c r="L6" s="394">
        <f>(G6-H6)*$G$4+(H6-I6)*$H$4+(I6-J6)*$I$4+(J6-K6)*$J$4+(K6*$K$4)</f>
        <v>0</v>
      </c>
      <c r="M6" s="250">
        <f>L6*D6*VPI!Q6</f>
        <v>0</v>
      </c>
    </row>
    <row r="7" spans="1:20" x14ac:dyDescent="0.25">
      <c r="A7" s="132">
        <f>Données!A7</f>
        <v>5402</v>
      </c>
      <c r="B7" s="27" t="str">
        <f>Données!B7</f>
        <v>Bex</v>
      </c>
      <c r="C7" s="291">
        <f>VPI!R7</f>
        <v>191952.18042253522</v>
      </c>
      <c r="D7" s="27">
        <f>Données!Z7</f>
        <v>8151</v>
      </c>
      <c r="E7" s="88">
        <f t="shared" ref="E7:E70" si="5">C7/D7</f>
        <v>23.549525263468926</v>
      </c>
      <c r="F7" s="147">
        <f t="shared" ref="F7:F70" si="6">E7/$E$306</f>
        <v>0.49154722000015011</v>
      </c>
      <c r="G7" s="393">
        <f t="shared" ref="G7:G70" si="7">IF(E7-$G$3&lt;0,0,E7-$G$3)</f>
        <v>0</v>
      </c>
      <c r="H7" s="393">
        <f t="shared" ref="H7:H70" si="8">IF(E7-$H$3&lt;0,0,E7-$H$3)</f>
        <v>0</v>
      </c>
      <c r="I7" s="393">
        <f t="shared" ref="I7:I70" si="9">IF(E7-$I$3&lt;0,0,E7-$I$3)</f>
        <v>0</v>
      </c>
      <c r="J7" s="393">
        <f t="shared" ref="J7:J70" si="10">IF(E7-$J$3&lt;0,0,E7-$J$3)</f>
        <v>0</v>
      </c>
      <c r="K7" s="393">
        <f t="shared" ref="K7:K70" si="11">IF(E7-$K$3&lt;0,0,E7-$K$3)</f>
        <v>0</v>
      </c>
      <c r="L7" s="395">
        <f t="shared" ref="L7:L70" si="12">(G7-H7)*$G$4+(H7-I7)*$H$4+(I7-J7)*$I$4+(J7-K7)*$J$4+(K7*$K$4)</f>
        <v>0</v>
      </c>
      <c r="M7" s="250">
        <f>L7*D7*VPI!Q7</f>
        <v>0</v>
      </c>
    </row>
    <row r="8" spans="1:20" x14ac:dyDescent="0.25">
      <c r="A8" s="132">
        <f>Données!A8</f>
        <v>5403</v>
      </c>
      <c r="B8" s="27" t="str">
        <f>Données!B8</f>
        <v>Chessel</v>
      </c>
      <c r="C8" s="291">
        <f>VPI!R8</f>
        <v>13520.577538461539</v>
      </c>
      <c r="D8" s="27">
        <f>Données!Z8</f>
        <v>528</v>
      </c>
      <c r="E8" s="88">
        <f t="shared" si="5"/>
        <v>25.60715442890443</v>
      </c>
      <c r="F8" s="147">
        <f t="shared" si="6"/>
        <v>0.53449593700167763</v>
      </c>
      <c r="G8" s="393">
        <f t="shared" si="7"/>
        <v>0</v>
      </c>
      <c r="H8" s="393">
        <f t="shared" si="8"/>
        <v>0</v>
      </c>
      <c r="I8" s="393">
        <f t="shared" si="9"/>
        <v>0</v>
      </c>
      <c r="J8" s="393">
        <f t="shared" si="10"/>
        <v>0</v>
      </c>
      <c r="K8" s="393">
        <f t="shared" si="11"/>
        <v>0</v>
      </c>
      <c r="L8" s="395">
        <f t="shared" si="12"/>
        <v>0</v>
      </c>
      <c r="M8" s="250">
        <f>L8*D8*VPI!Q8</f>
        <v>0</v>
      </c>
    </row>
    <row r="9" spans="1:20" x14ac:dyDescent="0.25">
      <c r="A9" s="132">
        <f>Données!A9</f>
        <v>5404</v>
      </c>
      <c r="B9" s="27" t="str">
        <f>Données!B9</f>
        <v>Corbeyrier</v>
      </c>
      <c r="C9" s="291">
        <f>VPI!R9</f>
        <v>11663.176261261262</v>
      </c>
      <c r="D9" s="27">
        <f>Données!Z9</f>
        <v>440</v>
      </c>
      <c r="E9" s="88">
        <f t="shared" si="5"/>
        <v>26.507218775593778</v>
      </c>
      <c r="F9" s="147">
        <f t="shared" si="6"/>
        <v>0.55328290287409421</v>
      </c>
      <c r="G9" s="393">
        <f t="shared" si="7"/>
        <v>0</v>
      </c>
      <c r="H9" s="393">
        <f t="shared" si="8"/>
        <v>0</v>
      </c>
      <c r="I9" s="393">
        <f t="shared" si="9"/>
        <v>0</v>
      </c>
      <c r="J9" s="393">
        <f t="shared" si="10"/>
        <v>0</v>
      </c>
      <c r="K9" s="393">
        <f t="shared" si="11"/>
        <v>0</v>
      </c>
      <c r="L9" s="395">
        <f t="shared" si="12"/>
        <v>0</v>
      </c>
      <c r="M9" s="250">
        <f>L9*D9*VPI!Q9</f>
        <v>0</v>
      </c>
    </row>
    <row r="10" spans="1:20" x14ac:dyDescent="0.25">
      <c r="A10" s="132">
        <f>Données!A10</f>
        <v>5405</v>
      </c>
      <c r="B10" s="27" t="str">
        <f>Données!B10</f>
        <v>Gryon</v>
      </c>
      <c r="C10" s="291">
        <f>VPI!R10</f>
        <v>73284.694739229046</v>
      </c>
      <c r="D10" s="27">
        <f>Données!Z10</f>
        <v>1389</v>
      </c>
      <c r="E10" s="88">
        <f t="shared" si="5"/>
        <v>52.760759351496795</v>
      </c>
      <c r="F10" s="147">
        <f t="shared" si="6"/>
        <v>1.1012708024545945</v>
      </c>
      <c r="G10" s="393">
        <f t="shared" si="7"/>
        <v>4.851780711638483</v>
      </c>
      <c r="H10" s="393">
        <f t="shared" si="8"/>
        <v>0</v>
      </c>
      <c r="I10" s="393">
        <f t="shared" si="9"/>
        <v>0</v>
      </c>
      <c r="J10" s="393">
        <f t="shared" si="10"/>
        <v>0</v>
      </c>
      <c r="K10" s="393">
        <f t="shared" si="11"/>
        <v>0</v>
      </c>
      <c r="L10" s="395">
        <f t="shared" si="12"/>
        <v>0.97035614232769662</v>
      </c>
      <c r="M10" s="250">
        <f>L10*D10*VPI!Q10</f>
        <v>99065.114104448032</v>
      </c>
    </row>
    <row r="11" spans="1:20" x14ac:dyDescent="0.25">
      <c r="A11" s="132">
        <f>Données!A11</f>
        <v>5406</v>
      </c>
      <c r="B11" s="27" t="str">
        <f>Données!B11</f>
        <v>Lavey-Morcles</v>
      </c>
      <c r="C11" s="291">
        <f>VPI!R11</f>
        <v>22110.99022054868</v>
      </c>
      <c r="D11" s="27">
        <f>Données!Z11</f>
        <v>979</v>
      </c>
      <c r="E11" s="88">
        <f t="shared" si="5"/>
        <v>22.585281124155955</v>
      </c>
      <c r="F11" s="147">
        <f t="shared" si="6"/>
        <v>0.47142063482367635</v>
      </c>
      <c r="G11" s="393">
        <f t="shared" si="7"/>
        <v>0</v>
      </c>
      <c r="H11" s="393">
        <f t="shared" si="8"/>
        <v>0</v>
      </c>
      <c r="I11" s="393">
        <f t="shared" si="9"/>
        <v>0</v>
      </c>
      <c r="J11" s="393">
        <f t="shared" si="10"/>
        <v>0</v>
      </c>
      <c r="K11" s="393">
        <f t="shared" si="11"/>
        <v>0</v>
      </c>
      <c r="L11" s="395">
        <f t="shared" si="12"/>
        <v>0</v>
      </c>
      <c r="M11" s="250">
        <f>L11*D11*VPI!Q11</f>
        <v>0</v>
      </c>
    </row>
    <row r="12" spans="1:20" x14ac:dyDescent="0.25">
      <c r="A12" s="132">
        <f>Données!A12</f>
        <v>5407</v>
      </c>
      <c r="B12" s="27" t="str">
        <f>Données!B12</f>
        <v>Leysin</v>
      </c>
      <c r="C12" s="291">
        <f>VPI!R12</f>
        <v>89840.418034188027</v>
      </c>
      <c r="D12" s="27">
        <f>Données!Z12</f>
        <v>3743</v>
      </c>
      <c r="E12" s="88">
        <f t="shared" si="5"/>
        <v>24.0022490072637</v>
      </c>
      <c r="F12" s="147">
        <f t="shared" si="6"/>
        <v>0.50099688385539509</v>
      </c>
      <c r="G12" s="393">
        <f t="shared" si="7"/>
        <v>0</v>
      </c>
      <c r="H12" s="393">
        <f t="shared" si="8"/>
        <v>0</v>
      </c>
      <c r="I12" s="393">
        <f t="shared" si="9"/>
        <v>0</v>
      </c>
      <c r="J12" s="393">
        <f t="shared" si="10"/>
        <v>0</v>
      </c>
      <c r="K12" s="393">
        <f t="shared" si="11"/>
        <v>0</v>
      </c>
      <c r="L12" s="395">
        <f t="shared" si="12"/>
        <v>0</v>
      </c>
      <c r="M12" s="250">
        <f>L12*D12*VPI!Q12</f>
        <v>0</v>
      </c>
    </row>
    <row r="13" spans="1:20" x14ac:dyDescent="0.25">
      <c r="A13" s="132">
        <f>Données!A13</f>
        <v>5408</v>
      </c>
      <c r="B13" s="27" t="str">
        <f>Données!B13</f>
        <v>Noville</v>
      </c>
      <c r="C13" s="291">
        <f>VPI!R13</f>
        <v>41970.812088888903</v>
      </c>
      <c r="D13" s="27">
        <f>Données!Z13</f>
        <v>1169</v>
      </c>
      <c r="E13" s="88">
        <f t="shared" si="5"/>
        <v>35.903175439597007</v>
      </c>
      <c r="F13" s="147">
        <f t="shared" si="6"/>
        <v>0.74940390003904267</v>
      </c>
      <c r="G13" s="393">
        <f t="shared" si="7"/>
        <v>0</v>
      </c>
      <c r="H13" s="393">
        <f t="shared" si="8"/>
        <v>0</v>
      </c>
      <c r="I13" s="393">
        <f t="shared" si="9"/>
        <v>0</v>
      </c>
      <c r="J13" s="393">
        <f t="shared" si="10"/>
        <v>0</v>
      </c>
      <c r="K13" s="393">
        <f t="shared" si="11"/>
        <v>0</v>
      </c>
      <c r="L13" s="395">
        <f t="shared" si="12"/>
        <v>0</v>
      </c>
      <c r="M13" s="250">
        <f>L13*D13*VPI!Q13</f>
        <v>0</v>
      </c>
    </row>
    <row r="14" spans="1:20" x14ac:dyDescent="0.25">
      <c r="A14" s="132">
        <f>Données!A14</f>
        <v>5409</v>
      </c>
      <c r="B14" s="27" t="str">
        <f>Données!B14</f>
        <v>Ollon</v>
      </c>
      <c r="C14" s="291">
        <f>VPI!R14</f>
        <v>405929.69030542986</v>
      </c>
      <c r="D14" s="27">
        <f>Données!Z14</f>
        <v>7967</v>
      </c>
      <c r="E14" s="88">
        <f t="shared" si="5"/>
        <v>50.951385754415696</v>
      </c>
      <c r="F14" s="147">
        <f t="shared" si="6"/>
        <v>1.0635039026281021</v>
      </c>
      <c r="G14" s="393">
        <f t="shared" si="7"/>
        <v>3.0424071145573848</v>
      </c>
      <c r="H14" s="393">
        <f t="shared" si="8"/>
        <v>0</v>
      </c>
      <c r="I14" s="393">
        <f t="shared" si="9"/>
        <v>0</v>
      </c>
      <c r="J14" s="393">
        <f t="shared" si="10"/>
        <v>0</v>
      </c>
      <c r="K14" s="393">
        <f t="shared" si="11"/>
        <v>0</v>
      </c>
      <c r="L14" s="395">
        <f t="shared" si="12"/>
        <v>0.608481422911477</v>
      </c>
      <c r="M14" s="250">
        <f>L14*D14*VPI!Q14</f>
        <v>329648.46175083017</v>
      </c>
    </row>
    <row r="15" spans="1:20" x14ac:dyDescent="0.25">
      <c r="A15" s="132">
        <f>Données!A15</f>
        <v>5410</v>
      </c>
      <c r="B15" s="27" t="str">
        <f>Données!B15</f>
        <v>Ormont-Dessous</v>
      </c>
      <c r="C15" s="291">
        <f>VPI!R15</f>
        <v>38412.928528138524</v>
      </c>
      <c r="D15" s="27">
        <f>Données!Z15</f>
        <v>1178</v>
      </c>
      <c r="E15" s="88">
        <f t="shared" si="5"/>
        <v>32.608598071424893</v>
      </c>
      <c r="F15" s="147">
        <f t="shared" si="6"/>
        <v>0.68063646934639244</v>
      </c>
      <c r="G15" s="393">
        <f t="shared" si="7"/>
        <v>0</v>
      </c>
      <c r="H15" s="393">
        <f t="shared" si="8"/>
        <v>0</v>
      </c>
      <c r="I15" s="393">
        <f t="shared" si="9"/>
        <v>0</v>
      </c>
      <c r="J15" s="393">
        <f t="shared" si="10"/>
        <v>0</v>
      </c>
      <c r="K15" s="393">
        <f t="shared" si="11"/>
        <v>0</v>
      </c>
      <c r="L15" s="395">
        <f t="shared" si="12"/>
        <v>0</v>
      </c>
      <c r="M15" s="250">
        <f>L15*D15*VPI!Q15</f>
        <v>0</v>
      </c>
    </row>
    <row r="16" spans="1:20" x14ac:dyDescent="0.25">
      <c r="A16" s="132">
        <f>Données!A16</f>
        <v>5411</v>
      </c>
      <c r="B16" s="27" t="str">
        <f>Données!B16</f>
        <v>Ormont-Dessus</v>
      </c>
      <c r="C16" s="291">
        <f>VPI!R16</f>
        <v>76159.947763157907</v>
      </c>
      <c r="D16" s="27">
        <f>Données!Z16</f>
        <v>1425</v>
      </c>
      <c r="E16" s="88">
        <f t="shared" si="5"/>
        <v>53.445577377654672</v>
      </c>
      <c r="F16" s="147">
        <f t="shared" si="6"/>
        <v>1.1155649503492053</v>
      </c>
      <c r="G16" s="393">
        <f t="shared" si="7"/>
        <v>5.5365987377963606</v>
      </c>
      <c r="H16" s="393">
        <f t="shared" si="8"/>
        <v>0</v>
      </c>
      <c r="I16" s="393">
        <f t="shared" si="9"/>
        <v>0</v>
      </c>
      <c r="J16" s="393">
        <f t="shared" si="10"/>
        <v>0</v>
      </c>
      <c r="K16" s="393">
        <f t="shared" si="11"/>
        <v>0</v>
      </c>
      <c r="L16" s="395">
        <f t="shared" si="12"/>
        <v>1.1073197475592722</v>
      </c>
      <c r="M16" s="250">
        <f>L16*D16*VPI!Q16</f>
        <v>119922.72866066918</v>
      </c>
    </row>
    <row r="17" spans="1:13" x14ac:dyDescent="0.25">
      <c r="A17" s="132">
        <f>Données!A17</f>
        <v>5412</v>
      </c>
      <c r="B17" s="27" t="str">
        <f>Données!B17</f>
        <v>Rennaz</v>
      </c>
      <c r="C17" s="291">
        <f>VPI!R17</f>
        <v>32236.510434782613</v>
      </c>
      <c r="D17" s="27">
        <f>Données!Z17</f>
        <v>929</v>
      </c>
      <c r="E17" s="88">
        <f t="shared" si="5"/>
        <v>34.700226517527035</v>
      </c>
      <c r="F17" s="147">
        <f t="shared" si="6"/>
        <v>0.72429485041573949</v>
      </c>
      <c r="G17" s="393">
        <f t="shared" si="7"/>
        <v>0</v>
      </c>
      <c r="H17" s="393">
        <f t="shared" si="8"/>
        <v>0</v>
      </c>
      <c r="I17" s="393">
        <f t="shared" si="9"/>
        <v>0</v>
      </c>
      <c r="J17" s="393">
        <f t="shared" si="10"/>
        <v>0</v>
      </c>
      <c r="K17" s="393">
        <f t="shared" si="11"/>
        <v>0</v>
      </c>
      <c r="L17" s="395">
        <f t="shared" si="12"/>
        <v>0</v>
      </c>
      <c r="M17" s="250">
        <f>L17*D17*VPI!Q17</f>
        <v>0</v>
      </c>
    </row>
    <row r="18" spans="1:13" x14ac:dyDescent="0.25">
      <c r="A18" s="132">
        <f>Données!A18</f>
        <v>5413</v>
      </c>
      <c r="B18" s="27" t="str">
        <f>Données!B18</f>
        <v>Roche</v>
      </c>
      <c r="C18" s="291">
        <f>VPI!R18</f>
        <v>42591.589534313724</v>
      </c>
      <c r="D18" s="27">
        <f>Données!Z18</f>
        <v>1940</v>
      </c>
      <c r="E18" s="88">
        <f t="shared" si="5"/>
        <v>21.954427595007076</v>
      </c>
      <c r="F18" s="147">
        <f t="shared" si="6"/>
        <v>0.45825288324435054</v>
      </c>
      <c r="G18" s="393">
        <f t="shared" si="7"/>
        <v>0</v>
      </c>
      <c r="H18" s="393">
        <f t="shared" si="8"/>
        <v>0</v>
      </c>
      <c r="I18" s="393">
        <f t="shared" si="9"/>
        <v>0</v>
      </c>
      <c r="J18" s="393">
        <f t="shared" si="10"/>
        <v>0</v>
      </c>
      <c r="K18" s="393">
        <f t="shared" si="11"/>
        <v>0</v>
      </c>
      <c r="L18" s="395">
        <f t="shared" si="12"/>
        <v>0</v>
      </c>
      <c r="M18" s="250">
        <f>L18*D18*VPI!Q18</f>
        <v>0</v>
      </c>
    </row>
    <row r="19" spans="1:13" x14ac:dyDescent="0.25">
      <c r="A19" s="132">
        <f>Données!A19</f>
        <v>5414</v>
      </c>
      <c r="B19" s="27" t="str">
        <f>Données!B19</f>
        <v>Villeneuve</v>
      </c>
      <c r="C19" s="291">
        <f>VPI!R19</f>
        <v>165869.64903703702</v>
      </c>
      <c r="D19" s="27">
        <f>Données!Z19</f>
        <v>5979</v>
      </c>
      <c r="E19" s="88">
        <f t="shared" si="5"/>
        <v>27.7420386414178</v>
      </c>
      <c r="F19" s="147">
        <f t="shared" si="6"/>
        <v>0.57905719197147643</v>
      </c>
      <c r="G19" s="393">
        <f t="shared" si="7"/>
        <v>0</v>
      </c>
      <c r="H19" s="393">
        <f t="shared" si="8"/>
        <v>0</v>
      </c>
      <c r="I19" s="393">
        <f t="shared" si="9"/>
        <v>0</v>
      </c>
      <c r="J19" s="393">
        <f t="shared" si="10"/>
        <v>0</v>
      </c>
      <c r="K19" s="393">
        <f t="shared" si="11"/>
        <v>0</v>
      </c>
      <c r="L19" s="395">
        <f t="shared" si="12"/>
        <v>0</v>
      </c>
      <c r="M19" s="250">
        <f>L19*D19*VPI!Q19</f>
        <v>0</v>
      </c>
    </row>
    <row r="20" spans="1:13" x14ac:dyDescent="0.25">
      <c r="A20" s="132">
        <f>Données!A20</f>
        <v>5415</v>
      </c>
      <c r="B20" s="27" t="str">
        <f>Données!B20</f>
        <v>Yvorne</v>
      </c>
      <c r="C20" s="291">
        <f>VPI!R20</f>
        <v>33673.599766899759</v>
      </c>
      <c r="D20" s="27">
        <f>Données!Z20</f>
        <v>1088</v>
      </c>
      <c r="E20" s="88">
        <f t="shared" si="5"/>
        <v>30.949999785753455</v>
      </c>
      <c r="F20" s="147">
        <f t="shared" si="6"/>
        <v>0.64601668965667158</v>
      </c>
      <c r="G20" s="393">
        <f t="shared" si="7"/>
        <v>0</v>
      </c>
      <c r="H20" s="393">
        <f t="shared" si="8"/>
        <v>0</v>
      </c>
      <c r="I20" s="393">
        <f t="shared" si="9"/>
        <v>0</v>
      </c>
      <c r="J20" s="393">
        <f t="shared" si="10"/>
        <v>0</v>
      </c>
      <c r="K20" s="393">
        <f t="shared" si="11"/>
        <v>0</v>
      </c>
      <c r="L20" s="395">
        <f t="shared" si="12"/>
        <v>0</v>
      </c>
      <c r="M20" s="250">
        <f>L20*D20*VPI!Q20</f>
        <v>0</v>
      </c>
    </row>
    <row r="21" spans="1:13" x14ac:dyDescent="0.25">
      <c r="A21" s="132">
        <f>Données!A21</f>
        <v>5422</v>
      </c>
      <c r="B21" s="27" t="str">
        <f>Données!B21</f>
        <v>Aubonne</v>
      </c>
      <c r="C21" s="291">
        <f>VPI!R21</f>
        <v>297528.5668571429</v>
      </c>
      <c r="D21" s="27">
        <f>Données!Z21</f>
        <v>3792</v>
      </c>
      <c r="E21" s="88">
        <f t="shared" si="5"/>
        <v>78.462174804098865</v>
      </c>
      <c r="F21" s="147">
        <f t="shared" si="6"/>
        <v>1.6377342417152168</v>
      </c>
      <c r="G21" s="393">
        <f t="shared" si="7"/>
        <v>30.553196164240553</v>
      </c>
      <c r="H21" s="393">
        <f t="shared" si="8"/>
        <v>20.971400436268894</v>
      </c>
      <c r="I21" s="393">
        <f t="shared" si="9"/>
        <v>6.5987068443113941</v>
      </c>
      <c r="J21" s="393">
        <f t="shared" si="10"/>
        <v>0</v>
      </c>
      <c r="K21" s="393">
        <f t="shared" si="11"/>
        <v>0</v>
      </c>
      <c r="L21" s="395">
        <f t="shared" si="12"/>
        <v>8.8676499609061388</v>
      </c>
      <c r="M21" s="250">
        <f>L21*D21*VPI!Q21</f>
        <v>2353829.0056229257</v>
      </c>
    </row>
    <row r="22" spans="1:13" x14ac:dyDescent="0.25">
      <c r="A22" s="132">
        <f>Données!A22</f>
        <v>5423</v>
      </c>
      <c r="B22" s="27" t="str">
        <f>Données!B22</f>
        <v>Ballens</v>
      </c>
      <c r="C22" s="291">
        <f>VPI!R22</f>
        <v>17345.56260273973</v>
      </c>
      <c r="D22" s="27">
        <f>Données!Z22</f>
        <v>590</v>
      </c>
      <c r="E22" s="88">
        <f t="shared" si="5"/>
        <v>29.399258648711406</v>
      </c>
      <c r="F22" s="147">
        <f t="shared" si="6"/>
        <v>0.6136482029748892</v>
      </c>
      <c r="G22" s="393">
        <f t="shared" si="7"/>
        <v>0</v>
      </c>
      <c r="H22" s="393">
        <f t="shared" si="8"/>
        <v>0</v>
      </c>
      <c r="I22" s="393">
        <f t="shared" si="9"/>
        <v>0</v>
      </c>
      <c r="J22" s="393">
        <f t="shared" si="10"/>
        <v>0</v>
      </c>
      <c r="K22" s="393">
        <f t="shared" si="11"/>
        <v>0</v>
      </c>
      <c r="L22" s="395">
        <f t="shared" si="12"/>
        <v>0</v>
      </c>
      <c r="M22" s="250">
        <f>L22*D22*VPI!Q22</f>
        <v>0</v>
      </c>
    </row>
    <row r="23" spans="1:13" x14ac:dyDescent="0.25">
      <c r="A23" s="132">
        <f>Données!A23</f>
        <v>5424</v>
      </c>
      <c r="B23" s="27" t="str">
        <f>Données!B23</f>
        <v>Berolle</v>
      </c>
      <c r="C23" s="291">
        <f>VPI!R23</f>
        <v>10263.233774834438</v>
      </c>
      <c r="D23" s="27">
        <f>Données!Z23</f>
        <v>303</v>
      </c>
      <c r="E23" s="88">
        <f t="shared" si="5"/>
        <v>33.872058662819924</v>
      </c>
      <c r="F23" s="147">
        <f t="shared" si="6"/>
        <v>0.70700857385090976</v>
      </c>
      <c r="G23" s="393">
        <f t="shared" si="7"/>
        <v>0</v>
      </c>
      <c r="H23" s="393">
        <f t="shared" si="8"/>
        <v>0</v>
      </c>
      <c r="I23" s="393">
        <f t="shared" si="9"/>
        <v>0</v>
      </c>
      <c r="J23" s="393">
        <f t="shared" si="10"/>
        <v>0</v>
      </c>
      <c r="K23" s="393">
        <f t="shared" si="11"/>
        <v>0</v>
      </c>
      <c r="L23" s="395">
        <f t="shared" si="12"/>
        <v>0</v>
      </c>
      <c r="M23" s="250">
        <f>L23*D23*VPI!Q23</f>
        <v>0</v>
      </c>
    </row>
    <row r="24" spans="1:13" x14ac:dyDescent="0.25">
      <c r="A24" s="132">
        <f>Données!A24</f>
        <v>5425</v>
      </c>
      <c r="B24" s="27" t="str">
        <f>Données!B24</f>
        <v>Bière</v>
      </c>
      <c r="C24" s="291">
        <f>VPI!R24</f>
        <v>42246.57887556222</v>
      </c>
      <c r="D24" s="27">
        <f>Données!Z24</f>
        <v>1683</v>
      </c>
      <c r="E24" s="88">
        <f t="shared" si="5"/>
        <v>25.101948232657289</v>
      </c>
      <c r="F24" s="147">
        <f t="shared" si="6"/>
        <v>0.52395081142000166</v>
      </c>
      <c r="G24" s="393">
        <f t="shared" si="7"/>
        <v>0</v>
      </c>
      <c r="H24" s="393">
        <f t="shared" si="8"/>
        <v>0</v>
      </c>
      <c r="I24" s="393">
        <f t="shared" si="9"/>
        <v>0</v>
      </c>
      <c r="J24" s="393">
        <f t="shared" si="10"/>
        <v>0</v>
      </c>
      <c r="K24" s="393">
        <f t="shared" si="11"/>
        <v>0</v>
      </c>
      <c r="L24" s="395">
        <f t="shared" si="12"/>
        <v>0</v>
      </c>
      <c r="M24" s="250">
        <f>L24*D24*VPI!Q24</f>
        <v>0</v>
      </c>
    </row>
    <row r="25" spans="1:13" x14ac:dyDescent="0.25">
      <c r="A25" s="132">
        <f>Données!A25</f>
        <v>5426</v>
      </c>
      <c r="B25" s="27" t="str">
        <f>Données!B25</f>
        <v>Bougy-Villars</v>
      </c>
      <c r="C25" s="291">
        <f>VPI!R25</f>
        <v>61944.740516795857</v>
      </c>
      <c r="D25" s="27">
        <f>Données!Z25</f>
        <v>506</v>
      </c>
      <c r="E25" s="88">
        <f t="shared" si="5"/>
        <v>122.42043580394439</v>
      </c>
      <c r="F25" s="147">
        <f t="shared" si="6"/>
        <v>2.5552712514329325</v>
      </c>
      <c r="G25" s="393">
        <f t="shared" si="7"/>
        <v>74.511457164086067</v>
      </c>
      <c r="H25" s="393">
        <f t="shared" si="8"/>
        <v>64.929661436114415</v>
      </c>
      <c r="I25" s="393">
        <f t="shared" si="9"/>
        <v>50.556967844156915</v>
      </c>
      <c r="J25" s="393">
        <f t="shared" si="10"/>
        <v>26.602478524227763</v>
      </c>
      <c r="K25" s="393">
        <f t="shared" si="11"/>
        <v>0</v>
      </c>
      <c r="L25" s="395">
        <f t="shared" si="12"/>
        <v>29.111202213267124</v>
      </c>
      <c r="M25" s="250">
        <f>L25*D25*VPI!Q25</f>
        <v>950102.30663439911</v>
      </c>
    </row>
    <row r="26" spans="1:13" x14ac:dyDescent="0.25">
      <c r="A26" s="132">
        <f>Données!A26</f>
        <v>5427</v>
      </c>
      <c r="B26" s="27" t="str">
        <f>Données!B26</f>
        <v>Féchy</v>
      </c>
      <c r="C26" s="291">
        <f>VPI!R26</f>
        <v>86921.388449519218</v>
      </c>
      <c r="D26" s="27">
        <f>Données!Z26</f>
        <v>887</v>
      </c>
      <c r="E26" s="88">
        <f t="shared" si="5"/>
        <v>97.994800957744332</v>
      </c>
      <c r="F26" s="147">
        <f t="shared" si="6"/>
        <v>2.0454370712928673</v>
      </c>
      <c r="G26" s="393">
        <f t="shared" si="7"/>
        <v>50.08582231788602</v>
      </c>
      <c r="H26" s="393">
        <f t="shared" si="8"/>
        <v>40.504026589914361</v>
      </c>
      <c r="I26" s="393">
        <f t="shared" si="9"/>
        <v>26.131332997956861</v>
      </c>
      <c r="J26" s="393">
        <f t="shared" si="10"/>
        <v>2.1768436780277085</v>
      </c>
      <c r="K26" s="393">
        <f t="shared" si="11"/>
        <v>0</v>
      </c>
      <c r="L26" s="395">
        <f t="shared" si="12"/>
        <v>16.898384790167096</v>
      </c>
      <c r="M26" s="250">
        <f>L26*D26*VPI!Q26</f>
        <v>959287.50776820572</v>
      </c>
    </row>
    <row r="27" spans="1:13" x14ac:dyDescent="0.25">
      <c r="A27" s="132">
        <f>Données!A27</f>
        <v>5428</v>
      </c>
      <c r="B27" s="27" t="str">
        <f>Données!B27</f>
        <v>Gimel</v>
      </c>
      <c r="C27" s="291">
        <f>VPI!R27</f>
        <v>71357.07080536912</v>
      </c>
      <c r="D27" s="27">
        <f>Données!Z27</f>
        <v>2414</v>
      </c>
      <c r="E27" s="88">
        <f t="shared" si="5"/>
        <v>29.559681360964838</v>
      </c>
      <c r="F27" s="147">
        <f t="shared" si="6"/>
        <v>0.61699669248161326</v>
      </c>
      <c r="G27" s="393">
        <f t="shared" si="7"/>
        <v>0</v>
      </c>
      <c r="H27" s="393">
        <f t="shared" si="8"/>
        <v>0</v>
      </c>
      <c r="I27" s="393">
        <f t="shared" si="9"/>
        <v>0</v>
      </c>
      <c r="J27" s="393">
        <f t="shared" si="10"/>
        <v>0</v>
      </c>
      <c r="K27" s="393">
        <f t="shared" si="11"/>
        <v>0</v>
      </c>
      <c r="L27" s="395">
        <f t="shared" si="12"/>
        <v>0</v>
      </c>
      <c r="M27" s="250">
        <f>L27*D27*VPI!Q27</f>
        <v>0</v>
      </c>
    </row>
    <row r="28" spans="1:13" x14ac:dyDescent="0.25">
      <c r="A28" s="132">
        <f>Données!A28</f>
        <v>5429</v>
      </c>
      <c r="B28" s="27" t="str">
        <f>Données!B28</f>
        <v>Longirod</v>
      </c>
      <c r="C28" s="291">
        <f>VPI!R28</f>
        <v>17141.954451612906</v>
      </c>
      <c r="D28" s="27">
        <f>Données!Z28</f>
        <v>541</v>
      </c>
      <c r="E28" s="88">
        <f t="shared" si="5"/>
        <v>31.685682905014612</v>
      </c>
      <c r="F28" s="147">
        <f t="shared" si="6"/>
        <v>0.66137254027480807</v>
      </c>
      <c r="G28" s="393">
        <f t="shared" si="7"/>
        <v>0</v>
      </c>
      <c r="H28" s="393">
        <f t="shared" si="8"/>
        <v>0</v>
      </c>
      <c r="I28" s="393">
        <f t="shared" si="9"/>
        <v>0</v>
      </c>
      <c r="J28" s="393">
        <f t="shared" si="10"/>
        <v>0</v>
      </c>
      <c r="K28" s="393">
        <f t="shared" si="11"/>
        <v>0</v>
      </c>
      <c r="L28" s="395">
        <f t="shared" si="12"/>
        <v>0</v>
      </c>
      <c r="M28" s="250">
        <f>L28*D28*VPI!Q28</f>
        <v>0</v>
      </c>
    </row>
    <row r="29" spans="1:13" x14ac:dyDescent="0.25">
      <c r="A29" s="132">
        <f>Données!A29</f>
        <v>5430</v>
      </c>
      <c r="B29" s="27" t="str">
        <f>Données!B29</f>
        <v>Marchissy</v>
      </c>
      <c r="C29" s="291">
        <f>VPI!R29</f>
        <v>17121.702064516132</v>
      </c>
      <c r="D29" s="27">
        <f>Données!Z29</f>
        <v>499</v>
      </c>
      <c r="E29" s="88">
        <f t="shared" si="5"/>
        <v>34.312028185403072</v>
      </c>
      <c r="F29" s="147">
        <f t="shared" si="6"/>
        <v>0.71619201994126558</v>
      </c>
      <c r="G29" s="393">
        <f t="shared" si="7"/>
        <v>0</v>
      </c>
      <c r="H29" s="393">
        <f t="shared" si="8"/>
        <v>0</v>
      </c>
      <c r="I29" s="393">
        <f t="shared" si="9"/>
        <v>0</v>
      </c>
      <c r="J29" s="393">
        <f t="shared" si="10"/>
        <v>0</v>
      </c>
      <c r="K29" s="393">
        <f t="shared" si="11"/>
        <v>0</v>
      </c>
      <c r="L29" s="395">
        <f t="shared" si="12"/>
        <v>0</v>
      </c>
      <c r="M29" s="250">
        <f>L29*D29*VPI!Q29</f>
        <v>0</v>
      </c>
    </row>
    <row r="30" spans="1:13" x14ac:dyDescent="0.25">
      <c r="A30" s="132">
        <f>Données!A30</f>
        <v>5431</v>
      </c>
      <c r="B30" s="27" t="str">
        <f>Données!B30</f>
        <v>Mollens</v>
      </c>
      <c r="C30" s="291">
        <f>VPI!R30</f>
        <v>9475.2202702702707</v>
      </c>
      <c r="D30" s="27">
        <f>Données!Z30</f>
        <v>324</v>
      </c>
      <c r="E30" s="88">
        <f t="shared" si="5"/>
        <v>29.244507007007009</v>
      </c>
      <c r="F30" s="147">
        <f t="shared" si="6"/>
        <v>0.61041808523709118</v>
      </c>
      <c r="G30" s="393">
        <f t="shared" si="7"/>
        <v>0</v>
      </c>
      <c r="H30" s="393">
        <f t="shared" si="8"/>
        <v>0</v>
      </c>
      <c r="I30" s="393">
        <f t="shared" si="9"/>
        <v>0</v>
      </c>
      <c r="J30" s="393">
        <f t="shared" si="10"/>
        <v>0</v>
      </c>
      <c r="K30" s="393">
        <f t="shared" si="11"/>
        <v>0</v>
      </c>
      <c r="L30" s="395">
        <f t="shared" si="12"/>
        <v>0</v>
      </c>
      <c r="M30" s="250">
        <f>L30*D30*VPI!Q30</f>
        <v>0</v>
      </c>
    </row>
    <row r="31" spans="1:13" x14ac:dyDescent="0.25">
      <c r="A31" s="132">
        <f>Données!A31</f>
        <v>5434</v>
      </c>
      <c r="B31" s="27" t="str">
        <f>Données!B31</f>
        <v>Saint-George</v>
      </c>
      <c r="C31" s="291">
        <f>VPI!R31</f>
        <v>40910.420311750597</v>
      </c>
      <c r="D31" s="27">
        <f>Données!Z31</f>
        <v>1069</v>
      </c>
      <c r="E31" s="88">
        <f t="shared" si="5"/>
        <v>38.269803846352289</v>
      </c>
      <c r="F31" s="147">
        <f t="shared" si="6"/>
        <v>0.79880233168889514</v>
      </c>
      <c r="G31" s="393">
        <f t="shared" si="7"/>
        <v>0</v>
      </c>
      <c r="H31" s="393">
        <f t="shared" si="8"/>
        <v>0</v>
      </c>
      <c r="I31" s="393">
        <f t="shared" si="9"/>
        <v>0</v>
      </c>
      <c r="J31" s="393">
        <f t="shared" si="10"/>
        <v>0</v>
      </c>
      <c r="K31" s="393">
        <f t="shared" si="11"/>
        <v>0</v>
      </c>
      <c r="L31" s="395">
        <f t="shared" si="12"/>
        <v>0</v>
      </c>
      <c r="M31" s="250">
        <f>L31*D31*VPI!Q31</f>
        <v>0</v>
      </c>
    </row>
    <row r="32" spans="1:13" x14ac:dyDescent="0.25">
      <c r="A32" s="132">
        <f>Données!A32</f>
        <v>5435</v>
      </c>
      <c r="B32" s="27" t="str">
        <f>Données!B32</f>
        <v>Saint-Livres</v>
      </c>
      <c r="C32" s="291">
        <f>VPI!R32</f>
        <v>25462.062463768114</v>
      </c>
      <c r="D32" s="27">
        <f>Données!Z32</f>
        <v>697</v>
      </c>
      <c r="E32" s="88">
        <f t="shared" si="5"/>
        <v>36.530936102967168</v>
      </c>
      <c r="F32" s="147">
        <f t="shared" si="6"/>
        <v>0.76250709449637322</v>
      </c>
      <c r="G32" s="393">
        <f t="shared" si="7"/>
        <v>0</v>
      </c>
      <c r="H32" s="393">
        <f t="shared" si="8"/>
        <v>0</v>
      </c>
      <c r="I32" s="393">
        <f t="shared" si="9"/>
        <v>0</v>
      </c>
      <c r="J32" s="393">
        <f t="shared" si="10"/>
        <v>0</v>
      </c>
      <c r="K32" s="393">
        <f t="shared" si="11"/>
        <v>0</v>
      </c>
      <c r="L32" s="395">
        <f t="shared" si="12"/>
        <v>0</v>
      </c>
      <c r="M32" s="250">
        <f>L32*D32*VPI!Q32</f>
        <v>0</v>
      </c>
    </row>
    <row r="33" spans="1:13" x14ac:dyDescent="0.25">
      <c r="A33" s="132">
        <f>Données!A33</f>
        <v>5436</v>
      </c>
      <c r="B33" s="27" t="str">
        <f>Données!B33</f>
        <v>Saint-Oyens</v>
      </c>
      <c r="C33" s="291">
        <f>VPI!R33</f>
        <v>16425.302151898733</v>
      </c>
      <c r="D33" s="27">
        <f>Données!Z33</f>
        <v>456</v>
      </c>
      <c r="E33" s="88">
        <f t="shared" si="5"/>
        <v>36.020399455918273</v>
      </c>
      <c r="F33" s="147">
        <f t="shared" si="6"/>
        <v>0.75185070687252709</v>
      </c>
      <c r="G33" s="393">
        <f t="shared" si="7"/>
        <v>0</v>
      </c>
      <c r="H33" s="393">
        <f t="shared" si="8"/>
        <v>0</v>
      </c>
      <c r="I33" s="393">
        <f t="shared" si="9"/>
        <v>0</v>
      </c>
      <c r="J33" s="393">
        <f t="shared" si="10"/>
        <v>0</v>
      </c>
      <c r="K33" s="393">
        <f t="shared" si="11"/>
        <v>0</v>
      </c>
      <c r="L33" s="395">
        <f t="shared" si="12"/>
        <v>0</v>
      </c>
      <c r="M33" s="250">
        <f>L33*D33*VPI!Q33</f>
        <v>0</v>
      </c>
    </row>
    <row r="34" spans="1:13" x14ac:dyDescent="0.25">
      <c r="A34" s="132">
        <f>Données!A34</f>
        <v>5437</v>
      </c>
      <c r="B34" s="27" t="str">
        <f>Données!B34</f>
        <v>Saubraz</v>
      </c>
      <c r="C34" s="291">
        <f>VPI!R34</f>
        <v>12131.165499999999</v>
      </c>
      <c r="D34" s="27">
        <f>Données!Z34</f>
        <v>449</v>
      </c>
      <c r="E34" s="88">
        <f t="shared" si="5"/>
        <v>27.018185968819598</v>
      </c>
      <c r="F34" s="147">
        <f t="shared" si="6"/>
        <v>0.56394827725134533</v>
      </c>
      <c r="G34" s="393">
        <f t="shared" si="7"/>
        <v>0</v>
      </c>
      <c r="H34" s="393">
        <f t="shared" si="8"/>
        <v>0</v>
      </c>
      <c r="I34" s="393">
        <f t="shared" si="9"/>
        <v>0</v>
      </c>
      <c r="J34" s="393">
        <f t="shared" si="10"/>
        <v>0</v>
      </c>
      <c r="K34" s="393">
        <f t="shared" si="11"/>
        <v>0</v>
      </c>
      <c r="L34" s="395">
        <f t="shared" si="12"/>
        <v>0</v>
      </c>
      <c r="M34" s="250">
        <f>L34*D34*VPI!Q34</f>
        <v>0</v>
      </c>
    </row>
    <row r="35" spans="1:13" x14ac:dyDescent="0.25">
      <c r="A35" s="132">
        <f>Données!A35</f>
        <v>5451</v>
      </c>
      <c r="B35" s="27" t="str">
        <f>Données!B35</f>
        <v>Avenches</v>
      </c>
      <c r="C35" s="291">
        <f>VPI!R35</f>
        <v>142603.64295739346</v>
      </c>
      <c r="D35" s="27">
        <f>Données!Z35</f>
        <v>4696</v>
      </c>
      <c r="E35" s="88">
        <f t="shared" si="5"/>
        <v>30.367044922783958</v>
      </c>
      <c r="F35" s="147">
        <f t="shared" si="6"/>
        <v>0.63384872282624327</v>
      </c>
      <c r="G35" s="393">
        <f t="shared" si="7"/>
        <v>0</v>
      </c>
      <c r="H35" s="393">
        <f t="shared" si="8"/>
        <v>0</v>
      </c>
      <c r="I35" s="393">
        <f t="shared" si="9"/>
        <v>0</v>
      </c>
      <c r="J35" s="393">
        <f t="shared" si="10"/>
        <v>0</v>
      </c>
      <c r="K35" s="393">
        <f t="shared" si="11"/>
        <v>0</v>
      </c>
      <c r="L35" s="395">
        <f t="shared" si="12"/>
        <v>0</v>
      </c>
      <c r="M35" s="250">
        <f>L35*D35*VPI!Q35</f>
        <v>0</v>
      </c>
    </row>
    <row r="36" spans="1:13" x14ac:dyDescent="0.25">
      <c r="A36" s="132">
        <f>Données!A36</f>
        <v>5456</v>
      </c>
      <c r="B36" s="27" t="str">
        <f>Données!B36</f>
        <v>Cudrefin</v>
      </c>
      <c r="C36" s="291">
        <f>VPI!R36</f>
        <v>64059.429152542369</v>
      </c>
      <c r="D36" s="27">
        <f>Données!Z36</f>
        <v>1876</v>
      </c>
      <c r="E36" s="88">
        <f t="shared" si="5"/>
        <v>34.146817245491668</v>
      </c>
      <c r="F36" s="147">
        <f t="shared" si="6"/>
        <v>0.7127435861695226</v>
      </c>
      <c r="G36" s="393">
        <f t="shared" si="7"/>
        <v>0</v>
      </c>
      <c r="H36" s="393">
        <f t="shared" si="8"/>
        <v>0</v>
      </c>
      <c r="I36" s="393">
        <f t="shared" si="9"/>
        <v>0</v>
      </c>
      <c r="J36" s="393">
        <f t="shared" si="10"/>
        <v>0</v>
      </c>
      <c r="K36" s="393">
        <f t="shared" si="11"/>
        <v>0</v>
      </c>
      <c r="L36" s="395">
        <f t="shared" si="12"/>
        <v>0</v>
      </c>
      <c r="M36" s="250">
        <f>L36*D36*VPI!Q36</f>
        <v>0</v>
      </c>
    </row>
    <row r="37" spans="1:13" x14ac:dyDescent="0.25">
      <c r="A37" s="132">
        <f>Données!A37</f>
        <v>5458</v>
      </c>
      <c r="B37" s="27" t="str">
        <f>Données!B37</f>
        <v>Faoug</v>
      </c>
      <c r="C37" s="291">
        <f>VPI!R37</f>
        <v>32630.608820512818</v>
      </c>
      <c r="D37" s="27">
        <f>Données!Z37</f>
        <v>903</v>
      </c>
      <c r="E37" s="88">
        <f t="shared" si="5"/>
        <v>36.135779424709654</v>
      </c>
      <c r="F37" s="147">
        <f t="shared" si="6"/>
        <v>0.75425902306016102</v>
      </c>
      <c r="G37" s="393">
        <f t="shared" si="7"/>
        <v>0</v>
      </c>
      <c r="H37" s="393">
        <f t="shared" si="8"/>
        <v>0</v>
      </c>
      <c r="I37" s="393">
        <f t="shared" si="9"/>
        <v>0</v>
      </c>
      <c r="J37" s="393">
        <f t="shared" si="10"/>
        <v>0</v>
      </c>
      <c r="K37" s="393">
        <f t="shared" si="11"/>
        <v>0</v>
      </c>
      <c r="L37" s="395">
        <f t="shared" si="12"/>
        <v>0</v>
      </c>
      <c r="M37" s="250">
        <f>L37*D37*VPI!Q37</f>
        <v>0</v>
      </c>
    </row>
    <row r="38" spans="1:13" x14ac:dyDescent="0.25">
      <c r="A38" s="132">
        <f>Données!A38</f>
        <v>5464</v>
      </c>
      <c r="B38" s="27" t="str">
        <f>Données!B38</f>
        <v>Vully-les-Lacs</v>
      </c>
      <c r="C38" s="291">
        <f>VPI!R38</f>
        <v>117932.28119402986</v>
      </c>
      <c r="D38" s="27">
        <f>Données!Z38</f>
        <v>3540</v>
      </c>
      <c r="E38" s="88">
        <f t="shared" si="5"/>
        <v>33.314203727127079</v>
      </c>
      <c r="F38" s="147">
        <f t="shared" si="6"/>
        <v>0.6953645156486602</v>
      </c>
      <c r="G38" s="393">
        <f t="shared" si="7"/>
        <v>0</v>
      </c>
      <c r="H38" s="393">
        <f t="shared" si="8"/>
        <v>0</v>
      </c>
      <c r="I38" s="393">
        <f t="shared" si="9"/>
        <v>0</v>
      </c>
      <c r="J38" s="393">
        <f t="shared" si="10"/>
        <v>0</v>
      </c>
      <c r="K38" s="393">
        <f t="shared" si="11"/>
        <v>0</v>
      </c>
      <c r="L38" s="395">
        <f t="shared" si="12"/>
        <v>0</v>
      </c>
      <c r="M38" s="250">
        <f>L38*D38*VPI!Q38</f>
        <v>0</v>
      </c>
    </row>
    <row r="39" spans="1:13" x14ac:dyDescent="0.25">
      <c r="A39" s="132">
        <f>Données!A39</f>
        <v>5471</v>
      </c>
      <c r="B39" s="27" t="str">
        <f>Données!B39</f>
        <v>Bettens</v>
      </c>
      <c r="C39" s="291">
        <f>VPI!R39</f>
        <v>22692.008412698411</v>
      </c>
      <c r="D39" s="27">
        <f>Données!Z39</f>
        <v>650</v>
      </c>
      <c r="E39" s="88">
        <f t="shared" si="5"/>
        <v>34.910782173382174</v>
      </c>
      <c r="F39" s="147">
        <f t="shared" si="6"/>
        <v>0.72868976055227008</v>
      </c>
      <c r="G39" s="393">
        <f t="shared" si="7"/>
        <v>0</v>
      </c>
      <c r="H39" s="393">
        <f t="shared" si="8"/>
        <v>0</v>
      </c>
      <c r="I39" s="393">
        <f t="shared" si="9"/>
        <v>0</v>
      </c>
      <c r="J39" s="393">
        <f t="shared" si="10"/>
        <v>0</v>
      </c>
      <c r="K39" s="393">
        <f t="shared" si="11"/>
        <v>0</v>
      </c>
      <c r="L39" s="395">
        <f t="shared" si="12"/>
        <v>0</v>
      </c>
      <c r="M39" s="250">
        <f>L39*D39*VPI!Q39</f>
        <v>0</v>
      </c>
    </row>
    <row r="40" spans="1:13" x14ac:dyDescent="0.25">
      <c r="A40" s="132">
        <f>Données!A40</f>
        <v>5472</v>
      </c>
      <c r="B40" s="27" t="str">
        <f>Données!B40</f>
        <v>Bournens</v>
      </c>
      <c r="C40" s="291">
        <f>VPI!R40</f>
        <v>19974.815147058827</v>
      </c>
      <c r="D40" s="27">
        <f>Données!Z40</f>
        <v>514</v>
      </c>
      <c r="E40" s="88">
        <f t="shared" si="5"/>
        <v>38.861508068207833</v>
      </c>
      <c r="F40" s="147">
        <f t="shared" si="6"/>
        <v>0.81115292313655474</v>
      </c>
      <c r="G40" s="393">
        <f t="shared" si="7"/>
        <v>0</v>
      </c>
      <c r="H40" s="393">
        <f t="shared" si="8"/>
        <v>0</v>
      </c>
      <c r="I40" s="393">
        <f t="shared" si="9"/>
        <v>0</v>
      </c>
      <c r="J40" s="393">
        <f t="shared" si="10"/>
        <v>0</v>
      </c>
      <c r="K40" s="393">
        <f t="shared" si="11"/>
        <v>0</v>
      </c>
      <c r="L40" s="395">
        <f t="shared" si="12"/>
        <v>0</v>
      </c>
      <c r="M40" s="250">
        <f>L40*D40*VPI!Q40</f>
        <v>0</v>
      </c>
    </row>
    <row r="41" spans="1:13" x14ac:dyDescent="0.25">
      <c r="A41" s="132">
        <f>Données!A41</f>
        <v>5473</v>
      </c>
      <c r="B41" s="27" t="str">
        <f>Données!B41</f>
        <v>Boussens</v>
      </c>
      <c r="C41" s="291">
        <f>VPI!R41</f>
        <v>40042.684696969693</v>
      </c>
      <c r="D41" s="27">
        <f>Données!Z41</f>
        <v>1009</v>
      </c>
      <c r="E41" s="88">
        <f t="shared" si="5"/>
        <v>39.685515061416943</v>
      </c>
      <c r="F41" s="147">
        <f t="shared" si="6"/>
        <v>0.82835235039638722</v>
      </c>
      <c r="G41" s="393">
        <f t="shared" si="7"/>
        <v>0</v>
      </c>
      <c r="H41" s="393">
        <f t="shared" si="8"/>
        <v>0</v>
      </c>
      <c r="I41" s="393">
        <f t="shared" si="9"/>
        <v>0</v>
      </c>
      <c r="J41" s="393">
        <f t="shared" si="10"/>
        <v>0</v>
      </c>
      <c r="K41" s="393">
        <f t="shared" si="11"/>
        <v>0</v>
      </c>
      <c r="L41" s="395">
        <f t="shared" si="12"/>
        <v>0</v>
      </c>
      <c r="M41" s="250">
        <f>L41*D41*VPI!Q41</f>
        <v>0</v>
      </c>
    </row>
    <row r="42" spans="1:13" x14ac:dyDescent="0.25">
      <c r="A42" s="132">
        <f>Données!A42</f>
        <v>5474</v>
      </c>
      <c r="B42" s="27" t="str">
        <f>Données!B42</f>
        <v>La Chaux (Cossonay)</v>
      </c>
      <c r="C42" s="291">
        <f>VPI!R42</f>
        <v>13862.371951754385</v>
      </c>
      <c r="D42" s="27">
        <f>Données!Z42</f>
        <v>412</v>
      </c>
      <c r="E42" s="88">
        <f t="shared" si="5"/>
        <v>33.646533863481515</v>
      </c>
      <c r="F42" s="147">
        <f t="shared" si="6"/>
        <v>0.70230121406698021</v>
      </c>
      <c r="G42" s="393">
        <f t="shared" si="7"/>
        <v>0</v>
      </c>
      <c r="H42" s="393">
        <f t="shared" si="8"/>
        <v>0</v>
      </c>
      <c r="I42" s="393">
        <f t="shared" si="9"/>
        <v>0</v>
      </c>
      <c r="J42" s="393">
        <f t="shared" si="10"/>
        <v>0</v>
      </c>
      <c r="K42" s="393">
        <f t="shared" si="11"/>
        <v>0</v>
      </c>
      <c r="L42" s="395">
        <f t="shared" si="12"/>
        <v>0</v>
      </c>
      <c r="M42" s="250">
        <f>L42*D42*VPI!Q42</f>
        <v>0</v>
      </c>
    </row>
    <row r="43" spans="1:13" x14ac:dyDescent="0.25">
      <c r="A43" s="132">
        <f>Données!A43</f>
        <v>5475</v>
      </c>
      <c r="B43" s="27" t="str">
        <f>Données!B43</f>
        <v>Chavannes-le-Veyron</v>
      </c>
      <c r="C43" s="291">
        <f>VPI!R43</f>
        <v>4297.1488000000008</v>
      </c>
      <c r="D43" s="27">
        <f>Données!Z43</f>
        <v>163</v>
      </c>
      <c r="E43" s="88">
        <f t="shared" si="5"/>
        <v>26.362876073619638</v>
      </c>
      <c r="F43" s="147">
        <f t="shared" si="6"/>
        <v>0.55027005004207719</v>
      </c>
      <c r="G43" s="393">
        <f t="shared" si="7"/>
        <v>0</v>
      </c>
      <c r="H43" s="393">
        <f t="shared" si="8"/>
        <v>0</v>
      </c>
      <c r="I43" s="393">
        <f t="shared" si="9"/>
        <v>0</v>
      </c>
      <c r="J43" s="393">
        <f t="shared" si="10"/>
        <v>0</v>
      </c>
      <c r="K43" s="393">
        <f t="shared" si="11"/>
        <v>0</v>
      </c>
      <c r="L43" s="395">
        <f t="shared" si="12"/>
        <v>0</v>
      </c>
      <c r="M43" s="250">
        <f>L43*D43*VPI!Q43</f>
        <v>0</v>
      </c>
    </row>
    <row r="44" spans="1:13" x14ac:dyDescent="0.25">
      <c r="A44" s="132">
        <f>Données!A44</f>
        <v>5476</v>
      </c>
      <c r="B44" s="27" t="str">
        <f>Données!B44</f>
        <v>Chevilly</v>
      </c>
      <c r="C44" s="291">
        <f>VPI!R44</f>
        <v>13558.448137931036</v>
      </c>
      <c r="D44" s="27">
        <f>Données!Z44</f>
        <v>331</v>
      </c>
      <c r="E44" s="88">
        <f t="shared" si="5"/>
        <v>40.962078966559019</v>
      </c>
      <c r="F44" s="147">
        <f t="shared" si="6"/>
        <v>0.85499795924432931</v>
      </c>
      <c r="G44" s="393">
        <f t="shared" si="7"/>
        <v>0</v>
      </c>
      <c r="H44" s="393">
        <f t="shared" si="8"/>
        <v>0</v>
      </c>
      <c r="I44" s="393">
        <f t="shared" si="9"/>
        <v>0</v>
      </c>
      <c r="J44" s="393">
        <f t="shared" si="10"/>
        <v>0</v>
      </c>
      <c r="K44" s="393">
        <f t="shared" si="11"/>
        <v>0</v>
      </c>
      <c r="L44" s="395">
        <f t="shared" si="12"/>
        <v>0</v>
      </c>
      <c r="M44" s="250">
        <f>L44*D44*VPI!Q44</f>
        <v>0</v>
      </c>
    </row>
    <row r="45" spans="1:13" x14ac:dyDescent="0.25">
      <c r="A45" s="132">
        <f>Données!A45</f>
        <v>5477</v>
      </c>
      <c r="B45" s="27" t="str">
        <f>Données!B45</f>
        <v>Cossonay</v>
      </c>
      <c r="C45" s="291">
        <f>VPI!R45</f>
        <v>151484.78088235293</v>
      </c>
      <c r="D45" s="27">
        <f>Données!Z45</f>
        <v>4389</v>
      </c>
      <c r="E45" s="88">
        <f t="shared" si="5"/>
        <v>34.514645906209374</v>
      </c>
      <c r="F45" s="147">
        <f t="shared" si="6"/>
        <v>0.72042124224068926</v>
      </c>
      <c r="G45" s="393">
        <f t="shared" si="7"/>
        <v>0</v>
      </c>
      <c r="H45" s="393">
        <f t="shared" si="8"/>
        <v>0</v>
      </c>
      <c r="I45" s="393">
        <f t="shared" si="9"/>
        <v>0</v>
      </c>
      <c r="J45" s="393">
        <f t="shared" si="10"/>
        <v>0</v>
      </c>
      <c r="K45" s="393">
        <f t="shared" si="11"/>
        <v>0</v>
      </c>
      <c r="L45" s="395">
        <f t="shared" si="12"/>
        <v>0</v>
      </c>
      <c r="M45" s="250">
        <f>L45*D45*VPI!Q45</f>
        <v>0</v>
      </c>
    </row>
    <row r="46" spans="1:13" x14ac:dyDescent="0.25">
      <c r="A46" s="132">
        <f>Données!A46</f>
        <v>5479</v>
      </c>
      <c r="B46" s="27" t="str">
        <f>Données!B46</f>
        <v>Cuarnens</v>
      </c>
      <c r="C46" s="291">
        <f>VPI!R46</f>
        <v>14331.03077922078</v>
      </c>
      <c r="D46" s="27">
        <f>Données!Z46</f>
        <v>545</v>
      </c>
      <c r="E46" s="88">
        <f t="shared" si="5"/>
        <v>26.295469319671156</v>
      </c>
      <c r="F46" s="147">
        <f t="shared" si="6"/>
        <v>0.54886307465119699</v>
      </c>
      <c r="G46" s="393">
        <f t="shared" si="7"/>
        <v>0</v>
      </c>
      <c r="H46" s="393">
        <f t="shared" si="8"/>
        <v>0</v>
      </c>
      <c r="I46" s="393">
        <f t="shared" si="9"/>
        <v>0</v>
      </c>
      <c r="J46" s="393">
        <f t="shared" si="10"/>
        <v>0</v>
      </c>
      <c r="K46" s="393">
        <f t="shared" si="11"/>
        <v>0</v>
      </c>
      <c r="L46" s="395">
        <f t="shared" si="12"/>
        <v>0</v>
      </c>
      <c r="M46" s="250">
        <f>L46*D46*VPI!Q46</f>
        <v>0</v>
      </c>
    </row>
    <row r="47" spans="1:13" x14ac:dyDescent="0.25">
      <c r="A47" s="132">
        <f>Données!A47</f>
        <v>5480</v>
      </c>
      <c r="B47" s="27" t="str">
        <f>Données!B47</f>
        <v>Daillens</v>
      </c>
      <c r="C47" s="291">
        <f>VPI!R47</f>
        <v>42741.079141414142</v>
      </c>
      <c r="D47" s="27">
        <f>Données!Z47</f>
        <v>1057</v>
      </c>
      <c r="E47" s="88">
        <f t="shared" si="5"/>
        <v>40.436214892539397</v>
      </c>
      <c r="F47" s="147">
        <f t="shared" si="6"/>
        <v>0.84402164355259535</v>
      </c>
      <c r="G47" s="393">
        <f t="shared" si="7"/>
        <v>0</v>
      </c>
      <c r="H47" s="393">
        <f t="shared" si="8"/>
        <v>0</v>
      </c>
      <c r="I47" s="393">
        <f t="shared" si="9"/>
        <v>0</v>
      </c>
      <c r="J47" s="393">
        <f t="shared" si="10"/>
        <v>0</v>
      </c>
      <c r="K47" s="393">
        <f t="shared" si="11"/>
        <v>0</v>
      </c>
      <c r="L47" s="395">
        <f t="shared" si="12"/>
        <v>0</v>
      </c>
      <c r="M47" s="250">
        <f>L47*D47*VPI!Q47</f>
        <v>0</v>
      </c>
    </row>
    <row r="48" spans="1:13" x14ac:dyDescent="0.25">
      <c r="A48" s="132">
        <f>Données!A48</f>
        <v>5481</v>
      </c>
      <c r="B48" s="27" t="str">
        <f>Données!B48</f>
        <v>Dizy</v>
      </c>
      <c r="C48" s="291">
        <f>VPI!R48</f>
        <v>8551.9890666666652</v>
      </c>
      <c r="D48" s="27">
        <f>Données!Z48</f>
        <v>232</v>
      </c>
      <c r="E48" s="88">
        <f t="shared" si="5"/>
        <v>36.862021839080455</v>
      </c>
      <c r="F48" s="147">
        <f t="shared" si="6"/>
        <v>0.76941781865524383</v>
      </c>
      <c r="G48" s="393">
        <f t="shared" si="7"/>
        <v>0</v>
      </c>
      <c r="H48" s="393">
        <f t="shared" si="8"/>
        <v>0</v>
      </c>
      <c r="I48" s="393">
        <f t="shared" si="9"/>
        <v>0</v>
      </c>
      <c r="J48" s="393">
        <f t="shared" si="10"/>
        <v>0</v>
      </c>
      <c r="K48" s="393">
        <f t="shared" si="11"/>
        <v>0</v>
      </c>
      <c r="L48" s="395">
        <f t="shared" si="12"/>
        <v>0</v>
      </c>
      <c r="M48" s="250">
        <f>L48*D48*VPI!Q48</f>
        <v>0</v>
      </c>
    </row>
    <row r="49" spans="1:13" x14ac:dyDescent="0.25">
      <c r="A49" s="132">
        <f>Données!A49</f>
        <v>5482</v>
      </c>
      <c r="B49" s="27" t="str">
        <f>Données!B49</f>
        <v>Eclépens</v>
      </c>
      <c r="C49" s="291">
        <f>VPI!R49</f>
        <v>48311.561086956521</v>
      </c>
      <c r="D49" s="27">
        <f>Données!Z49</f>
        <v>1199</v>
      </c>
      <c r="E49" s="88">
        <f t="shared" si="5"/>
        <v>40.293211915726872</v>
      </c>
      <c r="F49" s="147">
        <f t="shared" si="6"/>
        <v>0.8410367546889127</v>
      </c>
      <c r="G49" s="393">
        <f t="shared" si="7"/>
        <v>0</v>
      </c>
      <c r="H49" s="393">
        <f t="shared" si="8"/>
        <v>0</v>
      </c>
      <c r="I49" s="393">
        <f t="shared" si="9"/>
        <v>0</v>
      </c>
      <c r="J49" s="393">
        <f t="shared" si="10"/>
        <v>0</v>
      </c>
      <c r="K49" s="393">
        <f t="shared" si="11"/>
        <v>0</v>
      </c>
      <c r="L49" s="395">
        <f t="shared" si="12"/>
        <v>0</v>
      </c>
      <c r="M49" s="250">
        <f>L49*D49*VPI!Q49</f>
        <v>0</v>
      </c>
    </row>
    <row r="50" spans="1:13" x14ac:dyDescent="0.25">
      <c r="A50" s="132">
        <f>Données!A50</f>
        <v>5483</v>
      </c>
      <c r="B50" s="27" t="str">
        <f>Données!B50</f>
        <v>Ferreyres</v>
      </c>
      <c r="C50" s="291">
        <f>VPI!R50</f>
        <v>10284.191184210527</v>
      </c>
      <c r="D50" s="27">
        <f>Données!Z50</f>
        <v>308</v>
      </c>
      <c r="E50" s="88">
        <f t="shared" si="5"/>
        <v>33.39023111756665</v>
      </c>
      <c r="F50" s="147">
        <f t="shared" si="6"/>
        <v>0.69695142884526751</v>
      </c>
      <c r="G50" s="393">
        <f t="shared" si="7"/>
        <v>0</v>
      </c>
      <c r="H50" s="393">
        <f t="shared" si="8"/>
        <v>0</v>
      </c>
      <c r="I50" s="393">
        <f t="shared" si="9"/>
        <v>0</v>
      </c>
      <c r="J50" s="393">
        <f t="shared" si="10"/>
        <v>0</v>
      </c>
      <c r="K50" s="393">
        <f t="shared" si="11"/>
        <v>0</v>
      </c>
      <c r="L50" s="395">
        <f t="shared" si="12"/>
        <v>0</v>
      </c>
      <c r="M50" s="250">
        <f>L50*D50*VPI!Q50</f>
        <v>0</v>
      </c>
    </row>
    <row r="51" spans="1:13" x14ac:dyDescent="0.25">
      <c r="A51" s="132">
        <f>Données!A51</f>
        <v>5484</v>
      </c>
      <c r="B51" s="27" t="str">
        <f>Données!B51</f>
        <v>Gollion</v>
      </c>
      <c r="C51" s="291">
        <f>VPI!R51</f>
        <v>32601.092837837834</v>
      </c>
      <c r="D51" s="27">
        <f>Données!Z51</f>
        <v>1033</v>
      </c>
      <c r="E51" s="88">
        <f t="shared" si="5"/>
        <v>31.559625206038561</v>
      </c>
      <c r="F51" s="147">
        <f t="shared" si="6"/>
        <v>0.65874134874130341</v>
      </c>
      <c r="G51" s="393">
        <f t="shared" si="7"/>
        <v>0</v>
      </c>
      <c r="H51" s="393">
        <f t="shared" si="8"/>
        <v>0</v>
      </c>
      <c r="I51" s="393">
        <f t="shared" si="9"/>
        <v>0</v>
      </c>
      <c r="J51" s="393">
        <f t="shared" si="10"/>
        <v>0</v>
      </c>
      <c r="K51" s="393">
        <f t="shared" si="11"/>
        <v>0</v>
      </c>
      <c r="L51" s="395">
        <f t="shared" si="12"/>
        <v>0</v>
      </c>
      <c r="M51" s="250">
        <f>L51*D51*VPI!Q51</f>
        <v>0</v>
      </c>
    </row>
    <row r="52" spans="1:13" x14ac:dyDescent="0.25">
      <c r="A52" s="132">
        <f>Données!A52</f>
        <v>5485</v>
      </c>
      <c r="B52" s="27" t="str">
        <f>Données!B52</f>
        <v>Grancy</v>
      </c>
      <c r="C52" s="291">
        <f>VPI!R52</f>
        <v>18961.04185714286</v>
      </c>
      <c r="D52" s="27">
        <f>Données!Z52</f>
        <v>489</v>
      </c>
      <c r="E52" s="88">
        <f t="shared" si="5"/>
        <v>38.775136722173535</v>
      </c>
      <c r="F52" s="147">
        <f t="shared" si="6"/>
        <v>0.8093501014424509</v>
      </c>
      <c r="G52" s="393">
        <f t="shared" si="7"/>
        <v>0</v>
      </c>
      <c r="H52" s="393">
        <f t="shared" si="8"/>
        <v>0</v>
      </c>
      <c r="I52" s="393">
        <f t="shared" si="9"/>
        <v>0</v>
      </c>
      <c r="J52" s="393">
        <f t="shared" si="10"/>
        <v>0</v>
      </c>
      <c r="K52" s="393">
        <f t="shared" si="11"/>
        <v>0</v>
      </c>
      <c r="L52" s="395">
        <f t="shared" si="12"/>
        <v>0</v>
      </c>
      <c r="M52" s="250">
        <f>L52*D52*VPI!Q52</f>
        <v>0</v>
      </c>
    </row>
    <row r="53" spans="1:13" x14ac:dyDescent="0.25">
      <c r="A53" s="132">
        <f>Données!A53</f>
        <v>5486</v>
      </c>
      <c r="B53" s="27" t="str">
        <f>Données!B53</f>
        <v>L'Isle</v>
      </c>
      <c r="C53" s="291">
        <f>VPI!R53</f>
        <v>34755.462666666674</v>
      </c>
      <c r="D53" s="27">
        <f>Données!Z53</f>
        <v>1095</v>
      </c>
      <c r="E53" s="88">
        <f t="shared" si="5"/>
        <v>31.740148554033492</v>
      </c>
      <c r="F53" s="147">
        <f t="shared" si="6"/>
        <v>0.6625093970929905</v>
      </c>
      <c r="G53" s="393">
        <f t="shared" si="7"/>
        <v>0</v>
      </c>
      <c r="H53" s="393">
        <f t="shared" si="8"/>
        <v>0</v>
      </c>
      <c r="I53" s="393">
        <f t="shared" si="9"/>
        <v>0</v>
      </c>
      <c r="J53" s="393">
        <f t="shared" si="10"/>
        <v>0</v>
      </c>
      <c r="K53" s="393">
        <f t="shared" si="11"/>
        <v>0</v>
      </c>
      <c r="L53" s="395">
        <f t="shared" si="12"/>
        <v>0</v>
      </c>
      <c r="M53" s="250">
        <f>L53*D53*VPI!Q53</f>
        <v>0</v>
      </c>
    </row>
    <row r="54" spans="1:13" x14ac:dyDescent="0.25">
      <c r="A54" s="132">
        <f>Données!A54</f>
        <v>5487</v>
      </c>
      <c r="B54" s="27" t="str">
        <f>Données!B54</f>
        <v>Lussery-Villars</v>
      </c>
      <c r="C54" s="291">
        <f>VPI!R54</f>
        <v>12042.578266666667</v>
      </c>
      <c r="D54" s="27">
        <f>Données!Z54</f>
        <v>482</v>
      </c>
      <c r="E54" s="88">
        <f t="shared" si="5"/>
        <v>24.984602213001384</v>
      </c>
      <c r="F54" s="147">
        <f t="shared" si="6"/>
        <v>0.52150145802138259</v>
      </c>
      <c r="G54" s="393">
        <f t="shared" si="7"/>
        <v>0</v>
      </c>
      <c r="H54" s="393">
        <f t="shared" si="8"/>
        <v>0</v>
      </c>
      <c r="I54" s="393">
        <f t="shared" si="9"/>
        <v>0</v>
      </c>
      <c r="J54" s="393">
        <f t="shared" si="10"/>
        <v>0</v>
      </c>
      <c r="K54" s="393">
        <f t="shared" si="11"/>
        <v>0</v>
      </c>
      <c r="L54" s="395">
        <f t="shared" si="12"/>
        <v>0</v>
      </c>
      <c r="M54" s="250">
        <f>L54*D54*VPI!Q54</f>
        <v>0</v>
      </c>
    </row>
    <row r="55" spans="1:13" x14ac:dyDescent="0.25">
      <c r="A55" s="132">
        <f>Données!A55</f>
        <v>5488</v>
      </c>
      <c r="B55" s="27" t="str">
        <f>Données!B55</f>
        <v>Mauraz</v>
      </c>
      <c r="C55" s="291">
        <f>VPI!R55</f>
        <v>2131.605194805195</v>
      </c>
      <c r="D55" s="27">
        <f>Données!Z55</f>
        <v>65</v>
      </c>
      <c r="E55" s="88">
        <f t="shared" si="5"/>
        <v>32.793926073926073</v>
      </c>
      <c r="F55" s="147">
        <f t="shared" si="6"/>
        <v>0.6845048048392931</v>
      </c>
      <c r="G55" s="393">
        <f t="shared" si="7"/>
        <v>0</v>
      </c>
      <c r="H55" s="393">
        <f t="shared" si="8"/>
        <v>0</v>
      </c>
      <c r="I55" s="393">
        <f t="shared" si="9"/>
        <v>0</v>
      </c>
      <c r="J55" s="393">
        <f t="shared" si="10"/>
        <v>0</v>
      </c>
      <c r="K55" s="393">
        <f t="shared" si="11"/>
        <v>0</v>
      </c>
      <c r="L55" s="395">
        <f t="shared" si="12"/>
        <v>0</v>
      </c>
      <c r="M55" s="250">
        <f>L55*D55*VPI!Q55</f>
        <v>0</v>
      </c>
    </row>
    <row r="56" spans="1:13" x14ac:dyDescent="0.25">
      <c r="A56" s="132">
        <f>Données!A56</f>
        <v>5489</v>
      </c>
      <c r="B56" s="27" t="str">
        <f>Données!B56</f>
        <v>Mex</v>
      </c>
      <c r="C56" s="291">
        <f>VPI!R56</f>
        <v>60289.963529411769</v>
      </c>
      <c r="D56" s="27">
        <f>Données!Z56</f>
        <v>817</v>
      </c>
      <c r="E56" s="88">
        <f t="shared" si="5"/>
        <v>73.794325005399955</v>
      </c>
      <c r="F56" s="147">
        <f t="shared" si="6"/>
        <v>1.5403026134229898</v>
      </c>
      <c r="G56" s="393">
        <f t="shared" si="7"/>
        <v>25.885346365541643</v>
      </c>
      <c r="H56" s="393">
        <f t="shared" si="8"/>
        <v>16.303550637569984</v>
      </c>
      <c r="I56" s="393">
        <f t="shared" si="9"/>
        <v>1.9308570456124841</v>
      </c>
      <c r="J56" s="393">
        <f t="shared" si="10"/>
        <v>0</v>
      </c>
      <c r="K56" s="393">
        <f t="shared" si="11"/>
        <v>0</v>
      </c>
      <c r="L56" s="395">
        <f t="shared" si="12"/>
        <v>7.0005100414265753</v>
      </c>
      <c r="M56" s="250">
        <f>L56*D56*VPI!Q56</f>
        <v>340305.29387880792</v>
      </c>
    </row>
    <row r="57" spans="1:13" x14ac:dyDescent="0.25">
      <c r="A57" s="132">
        <f>Données!A57</f>
        <v>5490</v>
      </c>
      <c r="B57" s="27" t="str">
        <f>Données!B57</f>
        <v>Moiry</v>
      </c>
      <c r="C57" s="291">
        <f>VPI!R57</f>
        <v>8460.9402597402623</v>
      </c>
      <c r="D57" s="27">
        <f>Données!Z57</f>
        <v>296</v>
      </c>
      <c r="E57" s="88">
        <f t="shared" si="5"/>
        <v>28.584257634257643</v>
      </c>
      <c r="F57" s="147">
        <f t="shared" si="6"/>
        <v>0.59663675673679895</v>
      </c>
      <c r="G57" s="393">
        <f t="shared" si="7"/>
        <v>0</v>
      </c>
      <c r="H57" s="393">
        <f t="shared" si="8"/>
        <v>0</v>
      </c>
      <c r="I57" s="393">
        <f t="shared" si="9"/>
        <v>0</v>
      </c>
      <c r="J57" s="393">
        <f t="shared" si="10"/>
        <v>0</v>
      </c>
      <c r="K57" s="393">
        <f t="shared" si="11"/>
        <v>0</v>
      </c>
      <c r="L57" s="395">
        <f t="shared" si="12"/>
        <v>0</v>
      </c>
      <c r="M57" s="250">
        <f>L57*D57*VPI!Q57</f>
        <v>0</v>
      </c>
    </row>
    <row r="58" spans="1:13" x14ac:dyDescent="0.25">
      <c r="A58" s="132">
        <f>Données!A58</f>
        <v>5491</v>
      </c>
      <c r="B58" s="27" t="str">
        <f>Données!B58</f>
        <v>Mont-la-Ville</v>
      </c>
      <c r="C58" s="291">
        <f>VPI!R58</f>
        <v>13841.869078947369</v>
      </c>
      <c r="D58" s="27">
        <f>Données!Z58</f>
        <v>502</v>
      </c>
      <c r="E58" s="88">
        <f t="shared" si="5"/>
        <v>27.573444380373246</v>
      </c>
      <c r="F58" s="147">
        <f t="shared" si="6"/>
        <v>0.57553813842804968</v>
      </c>
      <c r="G58" s="393">
        <f t="shared" si="7"/>
        <v>0</v>
      </c>
      <c r="H58" s="393">
        <f t="shared" si="8"/>
        <v>0</v>
      </c>
      <c r="I58" s="393">
        <f t="shared" si="9"/>
        <v>0</v>
      </c>
      <c r="J58" s="393">
        <f t="shared" si="10"/>
        <v>0</v>
      </c>
      <c r="K58" s="393">
        <f t="shared" si="11"/>
        <v>0</v>
      </c>
      <c r="L58" s="395">
        <f t="shared" si="12"/>
        <v>0</v>
      </c>
      <c r="M58" s="250">
        <f>L58*D58*VPI!Q58</f>
        <v>0</v>
      </c>
    </row>
    <row r="59" spans="1:13" x14ac:dyDescent="0.25">
      <c r="A59" s="132">
        <f>Données!A59</f>
        <v>5492</v>
      </c>
      <c r="B59" s="27" t="str">
        <f>Données!B59</f>
        <v>Montricher</v>
      </c>
      <c r="C59" s="291">
        <f>VPI!R59</f>
        <v>149906.53015624997</v>
      </c>
      <c r="D59" s="27">
        <f>Données!Z59</f>
        <v>978</v>
      </c>
      <c r="E59" s="88">
        <f t="shared" si="5"/>
        <v>153.27866069146214</v>
      </c>
      <c r="F59" s="147">
        <f t="shared" si="6"/>
        <v>3.1993723315140881</v>
      </c>
      <c r="G59" s="393">
        <f t="shared" si="7"/>
        <v>105.36968205160383</v>
      </c>
      <c r="H59" s="393">
        <f t="shared" si="8"/>
        <v>95.787886323632165</v>
      </c>
      <c r="I59" s="393">
        <f t="shared" si="9"/>
        <v>81.415192731674665</v>
      </c>
      <c r="J59" s="393">
        <f t="shared" si="10"/>
        <v>57.460703411745513</v>
      </c>
      <c r="K59" s="393">
        <f t="shared" si="11"/>
        <v>9.5517247718871943</v>
      </c>
      <c r="L59" s="395">
        <f t="shared" si="12"/>
        <v>45.49548713421472</v>
      </c>
      <c r="M59" s="250">
        <f>L59*D59*VPI!Q59</f>
        <v>2847653.5307047679</v>
      </c>
    </row>
    <row r="60" spans="1:13" x14ac:dyDescent="0.25">
      <c r="A60" s="132">
        <f>Données!A60</f>
        <v>5493</v>
      </c>
      <c r="B60" s="27" t="str">
        <f>Données!B60</f>
        <v>Orny</v>
      </c>
      <c r="C60" s="291">
        <f>VPI!R60</f>
        <v>14635.714141201266</v>
      </c>
      <c r="D60" s="27">
        <f>Données!Z60</f>
        <v>484</v>
      </c>
      <c r="E60" s="88">
        <f t="shared" si="5"/>
        <v>30.239078804134849</v>
      </c>
      <c r="F60" s="147">
        <f t="shared" si="6"/>
        <v>0.63117769701266746</v>
      </c>
      <c r="G60" s="393">
        <f t="shared" si="7"/>
        <v>0</v>
      </c>
      <c r="H60" s="393">
        <f t="shared" si="8"/>
        <v>0</v>
      </c>
      <c r="I60" s="393">
        <f t="shared" si="9"/>
        <v>0</v>
      </c>
      <c r="J60" s="393">
        <f t="shared" si="10"/>
        <v>0</v>
      </c>
      <c r="K60" s="393">
        <f t="shared" si="11"/>
        <v>0</v>
      </c>
      <c r="L60" s="395">
        <f t="shared" si="12"/>
        <v>0</v>
      </c>
      <c r="M60" s="250">
        <f>L60*D60*VPI!Q60</f>
        <v>0</v>
      </c>
    </row>
    <row r="61" spans="1:13" x14ac:dyDescent="0.25">
      <c r="A61" s="132">
        <f>Données!A61</f>
        <v>5495</v>
      </c>
      <c r="B61" s="27" t="str">
        <f>Données!B61</f>
        <v>Penthalaz</v>
      </c>
      <c r="C61" s="291">
        <f>VPI!R61</f>
        <v>103053.60797297298</v>
      </c>
      <c r="D61" s="27">
        <f>Données!Z61</f>
        <v>3214</v>
      </c>
      <c r="E61" s="88">
        <f t="shared" si="5"/>
        <v>32.06397261137927</v>
      </c>
      <c r="F61" s="147">
        <f t="shared" si="6"/>
        <v>0.66926854885408382</v>
      </c>
      <c r="G61" s="393">
        <f t="shared" si="7"/>
        <v>0</v>
      </c>
      <c r="H61" s="393">
        <f t="shared" si="8"/>
        <v>0</v>
      </c>
      <c r="I61" s="393">
        <f t="shared" si="9"/>
        <v>0</v>
      </c>
      <c r="J61" s="393">
        <f t="shared" si="10"/>
        <v>0</v>
      </c>
      <c r="K61" s="393">
        <f t="shared" si="11"/>
        <v>0</v>
      </c>
      <c r="L61" s="395">
        <f t="shared" si="12"/>
        <v>0</v>
      </c>
      <c r="M61" s="250">
        <f>L61*D61*VPI!Q61</f>
        <v>0</v>
      </c>
    </row>
    <row r="62" spans="1:13" x14ac:dyDescent="0.25">
      <c r="A62" s="132">
        <f>Données!A62</f>
        <v>5496</v>
      </c>
      <c r="B62" s="27" t="str">
        <f>Données!B62</f>
        <v>Penthaz</v>
      </c>
      <c r="C62" s="291">
        <f>VPI!R62</f>
        <v>61649.529352517988</v>
      </c>
      <c r="D62" s="27">
        <f>Données!Z62</f>
        <v>1923</v>
      </c>
      <c r="E62" s="88">
        <f t="shared" si="5"/>
        <v>32.059037624814344</v>
      </c>
      <c r="F62" s="147">
        <f t="shared" si="6"/>
        <v>0.66916554130299355</v>
      </c>
      <c r="G62" s="393">
        <f t="shared" si="7"/>
        <v>0</v>
      </c>
      <c r="H62" s="393">
        <f t="shared" si="8"/>
        <v>0</v>
      </c>
      <c r="I62" s="393">
        <f t="shared" si="9"/>
        <v>0</v>
      </c>
      <c r="J62" s="393">
        <f t="shared" si="10"/>
        <v>0</v>
      </c>
      <c r="K62" s="393">
        <f t="shared" si="11"/>
        <v>0</v>
      </c>
      <c r="L62" s="395">
        <f t="shared" si="12"/>
        <v>0</v>
      </c>
      <c r="M62" s="250">
        <f>L62*D62*VPI!Q62</f>
        <v>0</v>
      </c>
    </row>
    <row r="63" spans="1:13" x14ac:dyDescent="0.25">
      <c r="A63" s="132">
        <f>Données!A63</f>
        <v>5497</v>
      </c>
      <c r="B63" s="27" t="str">
        <f>Données!B63</f>
        <v>Pompaples</v>
      </c>
      <c r="C63" s="291">
        <f>VPI!R63</f>
        <v>22949.555</v>
      </c>
      <c r="D63" s="27">
        <f>Données!Z63</f>
        <v>860</v>
      </c>
      <c r="E63" s="88">
        <f t="shared" si="5"/>
        <v>26.685529069767441</v>
      </c>
      <c r="F63" s="147">
        <f t="shared" si="6"/>
        <v>0.55700475834327579</v>
      </c>
      <c r="G63" s="393">
        <f t="shared" si="7"/>
        <v>0</v>
      </c>
      <c r="H63" s="393">
        <f t="shared" si="8"/>
        <v>0</v>
      </c>
      <c r="I63" s="393">
        <f t="shared" si="9"/>
        <v>0</v>
      </c>
      <c r="J63" s="393">
        <f t="shared" si="10"/>
        <v>0</v>
      </c>
      <c r="K63" s="393">
        <f t="shared" si="11"/>
        <v>0</v>
      </c>
      <c r="L63" s="395">
        <f t="shared" si="12"/>
        <v>0</v>
      </c>
      <c r="M63" s="250">
        <f>L63*D63*VPI!Q63</f>
        <v>0</v>
      </c>
    </row>
    <row r="64" spans="1:13" x14ac:dyDescent="0.25">
      <c r="A64" s="132">
        <f>Données!A64</f>
        <v>5498</v>
      </c>
      <c r="B64" s="27" t="str">
        <f>Données!B64</f>
        <v>La Sarraz</v>
      </c>
      <c r="C64" s="291">
        <f>VPI!R64</f>
        <v>73742.233181818185</v>
      </c>
      <c r="D64" s="27">
        <f>Données!Z64</f>
        <v>2608</v>
      </c>
      <c r="E64" s="88">
        <f t="shared" si="5"/>
        <v>28.275396158672617</v>
      </c>
      <c r="F64" s="147">
        <f t="shared" si="6"/>
        <v>0.59018991766083373</v>
      </c>
      <c r="G64" s="393">
        <f t="shared" si="7"/>
        <v>0</v>
      </c>
      <c r="H64" s="393">
        <f t="shared" si="8"/>
        <v>0</v>
      </c>
      <c r="I64" s="393">
        <f t="shared" si="9"/>
        <v>0</v>
      </c>
      <c r="J64" s="393">
        <f t="shared" si="10"/>
        <v>0</v>
      </c>
      <c r="K64" s="393">
        <f t="shared" si="11"/>
        <v>0</v>
      </c>
      <c r="L64" s="395">
        <f t="shared" si="12"/>
        <v>0</v>
      </c>
      <c r="M64" s="250">
        <f>L64*D64*VPI!Q64</f>
        <v>0</v>
      </c>
    </row>
    <row r="65" spans="1:13" x14ac:dyDescent="0.25">
      <c r="A65" s="132">
        <f>Données!A65</f>
        <v>5499</v>
      </c>
      <c r="B65" s="27" t="str">
        <f>Données!B65</f>
        <v>Senarclens</v>
      </c>
      <c r="C65" s="291">
        <f>VPI!R65</f>
        <v>20490.878394160583</v>
      </c>
      <c r="D65" s="27">
        <f>Données!Z65</f>
        <v>496</v>
      </c>
      <c r="E65" s="88">
        <f t="shared" si="5"/>
        <v>41.312254826936659</v>
      </c>
      <c r="F65" s="147">
        <f t="shared" si="6"/>
        <v>0.86230714992881419</v>
      </c>
      <c r="G65" s="393">
        <f t="shared" si="7"/>
        <v>0</v>
      </c>
      <c r="H65" s="393">
        <f t="shared" si="8"/>
        <v>0</v>
      </c>
      <c r="I65" s="393">
        <f t="shared" si="9"/>
        <v>0</v>
      </c>
      <c r="J65" s="393">
        <f t="shared" si="10"/>
        <v>0</v>
      </c>
      <c r="K65" s="393">
        <f t="shared" si="11"/>
        <v>0</v>
      </c>
      <c r="L65" s="395">
        <f t="shared" si="12"/>
        <v>0</v>
      </c>
      <c r="M65" s="250">
        <f>L65*D65*VPI!Q65</f>
        <v>0</v>
      </c>
    </row>
    <row r="66" spans="1:13" x14ac:dyDescent="0.25">
      <c r="A66" s="132">
        <f>Données!A66</f>
        <v>5501</v>
      </c>
      <c r="B66" s="27" t="str">
        <f>Données!B66</f>
        <v>Sullens</v>
      </c>
      <c r="C66" s="291">
        <f>VPI!R66</f>
        <v>53839.001093749997</v>
      </c>
      <c r="D66" s="27">
        <f>Données!Z66</f>
        <v>1169</v>
      </c>
      <c r="E66" s="88">
        <f t="shared" si="5"/>
        <v>46.055604015183917</v>
      </c>
      <c r="F66" s="147">
        <f t="shared" si="6"/>
        <v>0.96131467050035457</v>
      </c>
      <c r="G66" s="393">
        <f t="shared" si="7"/>
        <v>0</v>
      </c>
      <c r="H66" s="393">
        <f t="shared" si="8"/>
        <v>0</v>
      </c>
      <c r="I66" s="393">
        <f t="shared" si="9"/>
        <v>0</v>
      </c>
      <c r="J66" s="393">
        <f t="shared" si="10"/>
        <v>0</v>
      </c>
      <c r="K66" s="393">
        <f t="shared" si="11"/>
        <v>0</v>
      </c>
      <c r="L66" s="395">
        <f t="shared" si="12"/>
        <v>0</v>
      </c>
      <c r="M66" s="250">
        <f>L66*D66*VPI!Q66</f>
        <v>0</v>
      </c>
    </row>
    <row r="67" spans="1:13" x14ac:dyDescent="0.25">
      <c r="A67" s="132">
        <f>Données!A67</f>
        <v>5503</v>
      </c>
      <c r="B67" s="27" t="str">
        <f>Données!B67</f>
        <v>Vufflens-la-Ville</v>
      </c>
      <c r="C67" s="291">
        <f>VPI!R67</f>
        <v>75815.146368159199</v>
      </c>
      <c r="D67" s="27">
        <f>Données!Z67</f>
        <v>1334</v>
      </c>
      <c r="E67" s="88">
        <f t="shared" si="5"/>
        <v>56.832943304467165</v>
      </c>
      <c r="F67" s="147">
        <f t="shared" si="6"/>
        <v>1.1862691486640142</v>
      </c>
      <c r="G67" s="393">
        <f t="shared" si="7"/>
        <v>8.9239646646088531</v>
      </c>
      <c r="H67" s="393">
        <f t="shared" si="8"/>
        <v>0</v>
      </c>
      <c r="I67" s="393">
        <f t="shared" si="9"/>
        <v>0</v>
      </c>
      <c r="J67" s="393">
        <f t="shared" si="10"/>
        <v>0</v>
      </c>
      <c r="K67" s="393">
        <f t="shared" si="11"/>
        <v>0</v>
      </c>
      <c r="L67" s="395">
        <f t="shared" si="12"/>
        <v>1.7847929329217707</v>
      </c>
      <c r="M67" s="250">
        <f>L67*D67*VPI!Q67</f>
        <v>159521.22275868201</v>
      </c>
    </row>
    <row r="68" spans="1:13" x14ac:dyDescent="0.25">
      <c r="A68" s="132">
        <f>Données!A68</f>
        <v>5511</v>
      </c>
      <c r="B68" s="27" t="str">
        <f>Données!B68</f>
        <v>Assens</v>
      </c>
      <c r="C68" s="291">
        <f>VPI!R68</f>
        <v>72829.098714285734</v>
      </c>
      <c r="D68" s="27">
        <f>Données!Z68</f>
        <v>1669</v>
      </c>
      <c r="E68" s="88">
        <f t="shared" si="5"/>
        <v>43.636368312933335</v>
      </c>
      <c r="F68" s="147">
        <f t="shared" si="6"/>
        <v>0.91081817128594889</v>
      </c>
      <c r="G68" s="393">
        <f t="shared" si="7"/>
        <v>0</v>
      </c>
      <c r="H68" s="393">
        <f t="shared" si="8"/>
        <v>0</v>
      </c>
      <c r="I68" s="393">
        <f t="shared" si="9"/>
        <v>0</v>
      </c>
      <c r="J68" s="393">
        <f t="shared" si="10"/>
        <v>0</v>
      </c>
      <c r="K68" s="393">
        <f t="shared" si="11"/>
        <v>0</v>
      </c>
      <c r="L68" s="395">
        <f t="shared" si="12"/>
        <v>0</v>
      </c>
      <c r="M68" s="250">
        <f>L68*D68*VPI!Q68</f>
        <v>0</v>
      </c>
    </row>
    <row r="69" spans="1:13" x14ac:dyDescent="0.25">
      <c r="A69" s="132">
        <f>Données!A69</f>
        <v>5512</v>
      </c>
      <c r="B69" s="27" t="str">
        <f>Données!B69</f>
        <v>Bercher</v>
      </c>
      <c r="C69" s="291">
        <f>VPI!R69</f>
        <v>41197.962531645571</v>
      </c>
      <c r="D69" s="27">
        <f>Données!Z69</f>
        <v>1359</v>
      </c>
      <c r="E69" s="88">
        <f t="shared" si="5"/>
        <v>30.314909883477242</v>
      </c>
      <c r="F69" s="147">
        <f t="shared" si="6"/>
        <v>0.63276051262458921</v>
      </c>
      <c r="G69" s="393">
        <f t="shared" si="7"/>
        <v>0</v>
      </c>
      <c r="H69" s="393">
        <f t="shared" si="8"/>
        <v>0</v>
      </c>
      <c r="I69" s="393">
        <f t="shared" si="9"/>
        <v>0</v>
      </c>
      <c r="J69" s="393">
        <f t="shared" si="10"/>
        <v>0</v>
      </c>
      <c r="K69" s="393">
        <f t="shared" si="11"/>
        <v>0</v>
      </c>
      <c r="L69" s="395">
        <f t="shared" si="12"/>
        <v>0</v>
      </c>
      <c r="M69" s="250">
        <f>L69*D69*VPI!Q69</f>
        <v>0</v>
      </c>
    </row>
    <row r="70" spans="1:13" x14ac:dyDescent="0.25">
      <c r="A70" s="132">
        <f>Données!A70</f>
        <v>5514</v>
      </c>
      <c r="B70" s="27" t="str">
        <f>Données!B70</f>
        <v>Bottens</v>
      </c>
      <c r="C70" s="291">
        <f>VPI!R70</f>
        <v>45711.625241379304</v>
      </c>
      <c r="D70" s="27">
        <f>Données!Z70</f>
        <v>1356</v>
      </c>
      <c r="E70" s="88">
        <f t="shared" si="5"/>
        <v>33.710638083613055</v>
      </c>
      <c r="F70" s="147">
        <f t="shared" si="6"/>
        <v>0.70363925595289534</v>
      </c>
      <c r="G70" s="393">
        <f t="shared" si="7"/>
        <v>0</v>
      </c>
      <c r="H70" s="393">
        <f t="shared" si="8"/>
        <v>0</v>
      </c>
      <c r="I70" s="393">
        <f t="shared" si="9"/>
        <v>0</v>
      </c>
      <c r="J70" s="393">
        <f t="shared" si="10"/>
        <v>0</v>
      </c>
      <c r="K70" s="393">
        <f t="shared" si="11"/>
        <v>0</v>
      </c>
      <c r="L70" s="395">
        <f t="shared" si="12"/>
        <v>0</v>
      </c>
      <c r="M70" s="250">
        <f>L70*D70*VPI!Q70</f>
        <v>0</v>
      </c>
    </row>
    <row r="71" spans="1:13" x14ac:dyDescent="0.25">
      <c r="A71" s="132">
        <f>Données!A71</f>
        <v>5515</v>
      </c>
      <c r="B71" s="27" t="str">
        <f>Données!B71</f>
        <v>Bretigny-sur-Morrens</v>
      </c>
      <c r="C71" s="291">
        <f>VPI!R71</f>
        <v>29284.807179487179</v>
      </c>
      <c r="D71" s="27">
        <f>Données!Z71</f>
        <v>878</v>
      </c>
      <c r="E71" s="88">
        <f t="shared" ref="E71:E134" si="13">C71/D71</f>
        <v>33.353994509666492</v>
      </c>
      <c r="F71" s="147">
        <f t="shared" ref="F71:F134" si="14">E71/$E$306</f>
        <v>0.6961950652380916</v>
      </c>
      <c r="G71" s="393">
        <f t="shared" ref="G71:G134" si="15">IF(E71-$G$3&lt;0,0,E71-$G$3)</f>
        <v>0</v>
      </c>
      <c r="H71" s="393">
        <f t="shared" ref="H71:H134" si="16">IF(E71-$H$3&lt;0,0,E71-$H$3)</f>
        <v>0</v>
      </c>
      <c r="I71" s="393">
        <f t="shared" ref="I71:I134" si="17">IF(E71-$I$3&lt;0,0,E71-$I$3)</f>
        <v>0</v>
      </c>
      <c r="J71" s="393">
        <f t="shared" ref="J71:J134" si="18">IF(E71-$J$3&lt;0,0,E71-$J$3)</f>
        <v>0</v>
      </c>
      <c r="K71" s="393">
        <f t="shared" ref="K71:K134" si="19">IF(E71-$K$3&lt;0,0,E71-$K$3)</f>
        <v>0</v>
      </c>
      <c r="L71" s="395">
        <f t="shared" ref="L71:L134" si="20">(G71-H71)*$G$4+(H71-I71)*$H$4+(I71-J71)*$I$4+(J71-K71)*$J$4+(K71*$K$4)</f>
        <v>0</v>
      </c>
      <c r="M71" s="250">
        <f>L71*D71*VPI!Q71</f>
        <v>0</v>
      </c>
    </row>
    <row r="72" spans="1:13" x14ac:dyDescent="0.25">
      <c r="A72" s="132">
        <f>Données!A72</f>
        <v>5516</v>
      </c>
      <c r="B72" s="27" t="str">
        <f>Données!B72</f>
        <v>Cugy</v>
      </c>
      <c r="C72" s="291">
        <f>VPI!R72</f>
        <v>110286.19364035087</v>
      </c>
      <c r="D72" s="27">
        <f>Données!Z72</f>
        <v>2697</v>
      </c>
      <c r="E72" s="88">
        <f t="shared" si="13"/>
        <v>40.892174134353311</v>
      </c>
      <c r="F72" s="147">
        <f t="shared" si="14"/>
        <v>0.85353884168035032</v>
      </c>
      <c r="G72" s="393">
        <f t="shared" si="15"/>
        <v>0</v>
      </c>
      <c r="H72" s="393">
        <f t="shared" si="16"/>
        <v>0</v>
      </c>
      <c r="I72" s="393">
        <f t="shared" si="17"/>
        <v>0</v>
      </c>
      <c r="J72" s="393">
        <f t="shared" si="18"/>
        <v>0</v>
      </c>
      <c r="K72" s="393">
        <f t="shared" si="19"/>
        <v>0</v>
      </c>
      <c r="L72" s="395">
        <f t="shared" si="20"/>
        <v>0</v>
      </c>
      <c r="M72" s="250">
        <f>L72*D72*VPI!Q72</f>
        <v>0</v>
      </c>
    </row>
    <row r="73" spans="1:13" x14ac:dyDescent="0.25">
      <c r="A73" s="132">
        <f>Données!A73</f>
        <v>5518</v>
      </c>
      <c r="B73" s="27" t="str">
        <f>Données!B73</f>
        <v>Echallens</v>
      </c>
      <c r="C73" s="291">
        <f>VPI!R73</f>
        <v>193272.16565517243</v>
      </c>
      <c r="D73" s="27">
        <f>Données!Z73</f>
        <v>5816</v>
      </c>
      <c r="E73" s="88">
        <f t="shared" si="13"/>
        <v>33.23111514016032</v>
      </c>
      <c r="F73" s="147">
        <f t="shared" si="14"/>
        <v>0.69363021470287389</v>
      </c>
      <c r="G73" s="393">
        <f t="shared" si="15"/>
        <v>0</v>
      </c>
      <c r="H73" s="393">
        <f t="shared" si="16"/>
        <v>0</v>
      </c>
      <c r="I73" s="393">
        <f t="shared" si="17"/>
        <v>0</v>
      </c>
      <c r="J73" s="393">
        <f t="shared" si="18"/>
        <v>0</v>
      </c>
      <c r="K73" s="393">
        <f t="shared" si="19"/>
        <v>0</v>
      </c>
      <c r="L73" s="395">
        <f t="shared" si="20"/>
        <v>0</v>
      </c>
      <c r="M73" s="250">
        <f>L73*D73*VPI!Q73</f>
        <v>0</v>
      </c>
    </row>
    <row r="74" spans="1:13" x14ac:dyDescent="0.25">
      <c r="A74" s="132">
        <f>Données!A74</f>
        <v>5520</v>
      </c>
      <c r="B74" s="27" t="str">
        <f>Données!B74</f>
        <v>Essertines-sur-Yverdon</v>
      </c>
      <c r="C74" s="291">
        <f>VPI!R74</f>
        <v>31421.603918918918</v>
      </c>
      <c r="D74" s="27">
        <f>Données!Z74</f>
        <v>1081</v>
      </c>
      <c r="E74" s="88">
        <f t="shared" si="13"/>
        <v>29.06716366227467</v>
      </c>
      <c r="F74" s="147">
        <f t="shared" si="14"/>
        <v>0.60671641282062272</v>
      </c>
      <c r="G74" s="393">
        <f t="shared" si="15"/>
        <v>0</v>
      </c>
      <c r="H74" s="393">
        <f t="shared" si="16"/>
        <v>0</v>
      </c>
      <c r="I74" s="393">
        <f t="shared" si="17"/>
        <v>0</v>
      </c>
      <c r="J74" s="393">
        <f t="shared" si="18"/>
        <v>0</v>
      </c>
      <c r="K74" s="393">
        <f t="shared" si="19"/>
        <v>0</v>
      </c>
      <c r="L74" s="395">
        <f t="shared" si="20"/>
        <v>0</v>
      </c>
      <c r="M74" s="250">
        <f>L74*D74*VPI!Q74</f>
        <v>0</v>
      </c>
    </row>
    <row r="75" spans="1:13" x14ac:dyDescent="0.25">
      <c r="A75" s="132">
        <f>Données!A75</f>
        <v>5521</v>
      </c>
      <c r="B75" s="27" t="str">
        <f>Données!B75</f>
        <v>Etagnières</v>
      </c>
      <c r="C75" s="291">
        <f>VPI!R75</f>
        <v>47186.910273972615</v>
      </c>
      <c r="D75" s="27">
        <f>Données!Z75</f>
        <v>1154</v>
      </c>
      <c r="E75" s="88">
        <f t="shared" si="13"/>
        <v>40.889870254742299</v>
      </c>
      <c r="F75" s="147">
        <f t="shared" si="14"/>
        <v>0.85349075299892951</v>
      </c>
      <c r="G75" s="393">
        <f t="shared" si="15"/>
        <v>0</v>
      </c>
      <c r="H75" s="393">
        <f t="shared" si="16"/>
        <v>0</v>
      </c>
      <c r="I75" s="393">
        <f t="shared" si="17"/>
        <v>0</v>
      </c>
      <c r="J75" s="393">
        <f t="shared" si="18"/>
        <v>0</v>
      </c>
      <c r="K75" s="393">
        <f t="shared" si="19"/>
        <v>0</v>
      </c>
      <c r="L75" s="395">
        <f t="shared" si="20"/>
        <v>0</v>
      </c>
      <c r="M75" s="250">
        <f>L75*D75*VPI!Q75</f>
        <v>0</v>
      </c>
    </row>
    <row r="76" spans="1:13" x14ac:dyDescent="0.25">
      <c r="A76" s="132">
        <f>Données!A76</f>
        <v>5522</v>
      </c>
      <c r="B76" s="27" t="str">
        <f>Données!B76</f>
        <v>Fey</v>
      </c>
      <c r="C76" s="291">
        <f>VPI!R76</f>
        <v>24171.660400000001</v>
      </c>
      <c r="D76" s="27">
        <f>Données!Z76</f>
        <v>736</v>
      </c>
      <c r="E76" s="88">
        <f t="shared" si="13"/>
        <v>32.841929891304346</v>
      </c>
      <c r="F76" s="147">
        <f t="shared" si="14"/>
        <v>0.68550678440014168</v>
      </c>
      <c r="G76" s="393">
        <f t="shared" si="15"/>
        <v>0</v>
      </c>
      <c r="H76" s="393">
        <f t="shared" si="16"/>
        <v>0</v>
      </c>
      <c r="I76" s="393">
        <f t="shared" si="17"/>
        <v>0</v>
      </c>
      <c r="J76" s="393">
        <f t="shared" si="18"/>
        <v>0</v>
      </c>
      <c r="K76" s="393">
        <f t="shared" si="19"/>
        <v>0</v>
      </c>
      <c r="L76" s="395">
        <f t="shared" si="20"/>
        <v>0</v>
      </c>
      <c r="M76" s="250">
        <f>L76*D76*VPI!Q76</f>
        <v>0</v>
      </c>
    </row>
    <row r="77" spans="1:13" x14ac:dyDescent="0.25">
      <c r="A77" s="132">
        <f>Données!A77</f>
        <v>5523</v>
      </c>
      <c r="B77" s="27" t="str">
        <f>Données!B77</f>
        <v>Froideville</v>
      </c>
      <c r="C77" s="291">
        <f>VPI!R77</f>
        <v>92223.451805555553</v>
      </c>
      <c r="D77" s="27">
        <f>Données!Z77</f>
        <v>2720</v>
      </c>
      <c r="E77" s="88">
        <f t="shared" si="13"/>
        <v>33.905680810866009</v>
      </c>
      <c r="F77" s="147">
        <f t="shared" si="14"/>
        <v>0.70771036606190285</v>
      </c>
      <c r="G77" s="393">
        <f t="shared" si="15"/>
        <v>0</v>
      </c>
      <c r="H77" s="393">
        <f t="shared" si="16"/>
        <v>0</v>
      </c>
      <c r="I77" s="393">
        <f t="shared" si="17"/>
        <v>0</v>
      </c>
      <c r="J77" s="393">
        <f t="shared" si="18"/>
        <v>0</v>
      </c>
      <c r="K77" s="393">
        <f t="shared" si="19"/>
        <v>0</v>
      </c>
      <c r="L77" s="395">
        <f t="shared" si="20"/>
        <v>0</v>
      </c>
      <c r="M77" s="250">
        <f>L77*D77*VPI!Q77</f>
        <v>0</v>
      </c>
    </row>
    <row r="78" spans="1:13" x14ac:dyDescent="0.25">
      <c r="A78" s="132">
        <f>Données!A78</f>
        <v>5527</v>
      </c>
      <c r="B78" s="27" t="str">
        <f>Données!B78</f>
        <v>Morrens</v>
      </c>
      <c r="C78" s="291">
        <f>VPI!R78</f>
        <v>40722.210135135138</v>
      </c>
      <c r="D78" s="27">
        <f>Données!Z78</f>
        <v>1172</v>
      </c>
      <c r="E78" s="88">
        <f t="shared" si="13"/>
        <v>34.745913084586292</v>
      </c>
      <c r="F78" s="147">
        <f t="shared" si="14"/>
        <v>0.72524846220952643</v>
      </c>
      <c r="G78" s="393">
        <f t="shared" si="15"/>
        <v>0</v>
      </c>
      <c r="H78" s="393">
        <f t="shared" si="16"/>
        <v>0</v>
      </c>
      <c r="I78" s="393">
        <f t="shared" si="17"/>
        <v>0</v>
      </c>
      <c r="J78" s="393">
        <f t="shared" si="18"/>
        <v>0</v>
      </c>
      <c r="K78" s="393">
        <f t="shared" si="19"/>
        <v>0</v>
      </c>
      <c r="L78" s="395">
        <f t="shared" si="20"/>
        <v>0</v>
      </c>
      <c r="M78" s="250">
        <f>L78*D78*VPI!Q78</f>
        <v>0</v>
      </c>
    </row>
    <row r="79" spans="1:13" x14ac:dyDescent="0.25">
      <c r="A79" s="132">
        <f>Données!A79</f>
        <v>5529</v>
      </c>
      <c r="B79" s="27" t="str">
        <f>Données!B79</f>
        <v>Oulens-sous-Echallens</v>
      </c>
      <c r="C79" s="291">
        <f>VPI!R79</f>
        <v>22676.673521126762</v>
      </c>
      <c r="D79" s="27">
        <f>Données!Z79</f>
        <v>606</v>
      </c>
      <c r="E79" s="88">
        <f t="shared" si="13"/>
        <v>37.420253335192676</v>
      </c>
      <c r="F79" s="147">
        <f t="shared" si="14"/>
        <v>0.78106973677081393</v>
      </c>
      <c r="G79" s="393">
        <f t="shared" si="15"/>
        <v>0</v>
      </c>
      <c r="H79" s="393">
        <f t="shared" si="16"/>
        <v>0</v>
      </c>
      <c r="I79" s="393">
        <f t="shared" si="17"/>
        <v>0</v>
      </c>
      <c r="J79" s="393">
        <f t="shared" si="18"/>
        <v>0</v>
      </c>
      <c r="K79" s="393">
        <f t="shared" si="19"/>
        <v>0</v>
      </c>
      <c r="L79" s="395">
        <f t="shared" si="20"/>
        <v>0</v>
      </c>
      <c r="M79" s="250">
        <f>L79*D79*VPI!Q79</f>
        <v>0</v>
      </c>
    </row>
    <row r="80" spans="1:13" x14ac:dyDescent="0.25">
      <c r="A80" s="132">
        <f>Données!A80</f>
        <v>5530</v>
      </c>
      <c r="B80" s="27" t="str">
        <f>Données!B80</f>
        <v>Pailly</v>
      </c>
      <c r="C80" s="291">
        <f>VPI!R80</f>
        <v>20358.644320175437</v>
      </c>
      <c r="D80" s="27">
        <f>Données!Z80</f>
        <v>566</v>
      </c>
      <c r="E80" s="88">
        <f t="shared" si="13"/>
        <v>35.969336254726919</v>
      </c>
      <c r="F80" s="147">
        <f t="shared" si="14"/>
        <v>0.75078486905587882</v>
      </c>
      <c r="G80" s="393">
        <f t="shared" si="15"/>
        <v>0</v>
      </c>
      <c r="H80" s="393">
        <f t="shared" si="16"/>
        <v>0</v>
      </c>
      <c r="I80" s="393">
        <f t="shared" si="17"/>
        <v>0</v>
      </c>
      <c r="J80" s="393">
        <f t="shared" si="18"/>
        <v>0</v>
      </c>
      <c r="K80" s="393">
        <f t="shared" si="19"/>
        <v>0</v>
      </c>
      <c r="L80" s="395">
        <f t="shared" si="20"/>
        <v>0</v>
      </c>
      <c r="M80" s="250">
        <f>L80*D80*VPI!Q80</f>
        <v>0</v>
      </c>
    </row>
    <row r="81" spans="1:13" x14ac:dyDescent="0.25">
      <c r="A81" s="132">
        <f>Données!A81</f>
        <v>5531</v>
      </c>
      <c r="B81" s="27" t="str">
        <f>Données!B81</f>
        <v>Penthéréaz</v>
      </c>
      <c r="C81" s="291">
        <f>VPI!R81</f>
        <v>17299.265810810808</v>
      </c>
      <c r="D81" s="27">
        <f>Données!Z81</f>
        <v>433</v>
      </c>
      <c r="E81" s="88">
        <f t="shared" si="13"/>
        <v>39.95211503651457</v>
      </c>
      <c r="F81" s="147">
        <f t="shared" si="14"/>
        <v>0.83391706879920924</v>
      </c>
      <c r="G81" s="393">
        <f t="shared" si="15"/>
        <v>0</v>
      </c>
      <c r="H81" s="393">
        <f t="shared" si="16"/>
        <v>0</v>
      </c>
      <c r="I81" s="393">
        <f t="shared" si="17"/>
        <v>0</v>
      </c>
      <c r="J81" s="393">
        <f t="shared" si="18"/>
        <v>0</v>
      </c>
      <c r="K81" s="393">
        <f t="shared" si="19"/>
        <v>0</v>
      </c>
      <c r="L81" s="395">
        <f t="shared" si="20"/>
        <v>0</v>
      </c>
      <c r="M81" s="250">
        <f>L81*D81*VPI!Q81</f>
        <v>0</v>
      </c>
    </row>
    <row r="82" spans="1:13" x14ac:dyDescent="0.25">
      <c r="A82" s="132">
        <f>Données!A82</f>
        <v>5533</v>
      </c>
      <c r="B82" s="27" t="str">
        <f>Données!B82</f>
        <v>Poliez-Pittet</v>
      </c>
      <c r="C82" s="291">
        <f>VPI!R82</f>
        <v>28011.409726027396</v>
      </c>
      <c r="D82" s="27">
        <f>Données!Z82</f>
        <v>848</v>
      </c>
      <c r="E82" s="88">
        <f t="shared" si="13"/>
        <v>33.032322790126649</v>
      </c>
      <c r="F82" s="147">
        <f t="shared" si="14"/>
        <v>0.68948083903932589</v>
      </c>
      <c r="G82" s="393">
        <f t="shared" si="15"/>
        <v>0</v>
      </c>
      <c r="H82" s="393">
        <f t="shared" si="16"/>
        <v>0</v>
      </c>
      <c r="I82" s="393">
        <f t="shared" si="17"/>
        <v>0</v>
      </c>
      <c r="J82" s="393">
        <f t="shared" si="18"/>
        <v>0</v>
      </c>
      <c r="K82" s="393">
        <f t="shared" si="19"/>
        <v>0</v>
      </c>
      <c r="L82" s="395">
        <f t="shared" si="20"/>
        <v>0</v>
      </c>
      <c r="M82" s="250">
        <f>L82*D82*VPI!Q82</f>
        <v>0</v>
      </c>
    </row>
    <row r="83" spans="1:13" x14ac:dyDescent="0.25">
      <c r="A83" s="132">
        <f>Données!A83</f>
        <v>5534</v>
      </c>
      <c r="B83" s="27" t="str">
        <f>Données!B83</f>
        <v>Rueyres</v>
      </c>
      <c r="C83" s="291">
        <f>VPI!R83</f>
        <v>15039.569474885846</v>
      </c>
      <c r="D83" s="27">
        <f>Données!Z83</f>
        <v>303</v>
      </c>
      <c r="E83" s="88">
        <f t="shared" si="13"/>
        <v>49.63554282140543</v>
      </c>
      <c r="F83" s="147">
        <f t="shared" si="14"/>
        <v>1.0360384260020665</v>
      </c>
      <c r="G83" s="393">
        <f t="shared" si="15"/>
        <v>1.7265641815471184</v>
      </c>
      <c r="H83" s="393">
        <f t="shared" si="16"/>
        <v>0</v>
      </c>
      <c r="I83" s="393">
        <f t="shared" si="17"/>
        <v>0</v>
      </c>
      <c r="J83" s="393">
        <f t="shared" si="18"/>
        <v>0</v>
      </c>
      <c r="K83" s="393">
        <f t="shared" si="19"/>
        <v>0</v>
      </c>
      <c r="L83" s="395">
        <f t="shared" si="20"/>
        <v>0.34531283630942372</v>
      </c>
      <c r="M83" s="250">
        <f>L83*D83*VPI!Q83</f>
        <v>7637.9746263281431</v>
      </c>
    </row>
    <row r="84" spans="1:13" x14ac:dyDescent="0.25">
      <c r="A84" s="132">
        <f>Données!A84</f>
        <v>5535</v>
      </c>
      <c r="B84" s="27" t="str">
        <f>Données!B84</f>
        <v>Saint-Barthélemy</v>
      </c>
      <c r="C84" s="291">
        <f>VPI!R84</f>
        <v>25492.320666666663</v>
      </c>
      <c r="D84" s="27">
        <f>Données!Z84</f>
        <v>814</v>
      </c>
      <c r="E84" s="88">
        <f t="shared" si="13"/>
        <v>31.317347256347251</v>
      </c>
      <c r="F84" s="147">
        <f t="shared" si="14"/>
        <v>0.65368430188767368</v>
      </c>
      <c r="G84" s="393">
        <f t="shared" si="15"/>
        <v>0</v>
      </c>
      <c r="H84" s="393">
        <f t="shared" si="16"/>
        <v>0</v>
      </c>
      <c r="I84" s="393">
        <f t="shared" si="17"/>
        <v>0</v>
      </c>
      <c r="J84" s="393">
        <f t="shared" si="18"/>
        <v>0</v>
      </c>
      <c r="K84" s="393">
        <f t="shared" si="19"/>
        <v>0</v>
      </c>
      <c r="L84" s="395">
        <f t="shared" si="20"/>
        <v>0</v>
      </c>
      <c r="M84" s="250">
        <f>L84*D84*VPI!Q84</f>
        <v>0</v>
      </c>
    </row>
    <row r="85" spans="1:13" x14ac:dyDescent="0.25">
      <c r="A85" s="132">
        <f>Données!A85</f>
        <v>5537</v>
      </c>
      <c r="B85" s="27" t="str">
        <f>Données!B85</f>
        <v>Villars-le-Terroir</v>
      </c>
      <c r="C85" s="291">
        <f>VPI!R85</f>
        <v>39162.025657894737</v>
      </c>
      <c r="D85" s="27">
        <f>Données!Z85</f>
        <v>1308</v>
      </c>
      <c r="E85" s="88">
        <f t="shared" si="13"/>
        <v>29.940386588604539</v>
      </c>
      <c r="F85" s="147">
        <f t="shared" si="14"/>
        <v>0.62494312002918306</v>
      </c>
      <c r="G85" s="393">
        <f t="shared" si="15"/>
        <v>0</v>
      </c>
      <c r="H85" s="393">
        <f t="shared" si="16"/>
        <v>0</v>
      </c>
      <c r="I85" s="393">
        <f t="shared" si="17"/>
        <v>0</v>
      </c>
      <c r="J85" s="393">
        <f t="shared" si="18"/>
        <v>0</v>
      </c>
      <c r="K85" s="393">
        <f t="shared" si="19"/>
        <v>0</v>
      </c>
      <c r="L85" s="395">
        <f t="shared" si="20"/>
        <v>0</v>
      </c>
      <c r="M85" s="250">
        <f>L85*D85*VPI!Q85</f>
        <v>0</v>
      </c>
    </row>
    <row r="86" spans="1:13" x14ac:dyDescent="0.25">
      <c r="A86" s="132">
        <f>Données!A86</f>
        <v>5539</v>
      </c>
      <c r="B86" s="27" t="str">
        <f>Données!B86</f>
        <v>Vuarrens</v>
      </c>
      <c r="C86" s="291">
        <f>VPI!R86</f>
        <v>34442.298537414965</v>
      </c>
      <c r="D86" s="27">
        <f>Données!Z86</f>
        <v>1106</v>
      </c>
      <c r="E86" s="88">
        <f t="shared" si="13"/>
        <v>31.141318749923116</v>
      </c>
      <c r="F86" s="147">
        <f t="shared" si="14"/>
        <v>0.65001007397838395</v>
      </c>
      <c r="G86" s="393">
        <f t="shared" si="15"/>
        <v>0</v>
      </c>
      <c r="H86" s="393">
        <f t="shared" si="16"/>
        <v>0</v>
      </c>
      <c r="I86" s="393">
        <f t="shared" si="17"/>
        <v>0</v>
      </c>
      <c r="J86" s="393">
        <f t="shared" si="18"/>
        <v>0</v>
      </c>
      <c r="K86" s="393">
        <f t="shared" si="19"/>
        <v>0</v>
      </c>
      <c r="L86" s="395">
        <f t="shared" si="20"/>
        <v>0</v>
      </c>
      <c r="M86" s="250">
        <f>L86*D86*VPI!Q86</f>
        <v>0</v>
      </c>
    </row>
    <row r="87" spans="1:13" x14ac:dyDescent="0.25">
      <c r="A87" s="132">
        <f>Données!A87</f>
        <v>5540</v>
      </c>
      <c r="B87" s="27" t="str">
        <f>Données!B87</f>
        <v>Montilliez</v>
      </c>
      <c r="C87" s="291">
        <f>VPI!R87</f>
        <v>67462.536103448278</v>
      </c>
      <c r="D87" s="27">
        <f>Données!Z87</f>
        <v>1895</v>
      </c>
      <c r="E87" s="88">
        <f t="shared" si="13"/>
        <v>35.600282904194344</v>
      </c>
      <c r="F87" s="147">
        <f t="shared" si="14"/>
        <v>0.74308165013929905</v>
      </c>
      <c r="G87" s="393">
        <f t="shared" si="15"/>
        <v>0</v>
      </c>
      <c r="H87" s="393">
        <f t="shared" si="16"/>
        <v>0</v>
      </c>
      <c r="I87" s="393">
        <f t="shared" si="17"/>
        <v>0</v>
      </c>
      <c r="J87" s="393">
        <f t="shared" si="18"/>
        <v>0</v>
      </c>
      <c r="K87" s="393">
        <f t="shared" si="19"/>
        <v>0</v>
      </c>
      <c r="L87" s="395">
        <f t="shared" si="20"/>
        <v>0</v>
      </c>
      <c r="M87" s="250">
        <f>L87*D87*VPI!Q87</f>
        <v>0</v>
      </c>
    </row>
    <row r="88" spans="1:13" x14ac:dyDescent="0.25">
      <c r="A88" s="132">
        <f>Données!A88</f>
        <v>5541</v>
      </c>
      <c r="B88" s="27" t="str">
        <f>Données!B88</f>
        <v>Goumoëns</v>
      </c>
      <c r="C88" s="291">
        <f>VPI!R88</f>
        <v>41725.831258278151</v>
      </c>
      <c r="D88" s="27">
        <f>Données!Z88</f>
        <v>1175</v>
      </c>
      <c r="E88" s="88">
        <f t="shared" si="13"/>
        <v>35.511345751726083</v>
      </c>
      <c r="F88" s="147">
        <f t="shared" si="14"/>
        <v>0.74122527258767512</v>
      </c>
      <c r="G88" s="393">
        <f t="shared" si="15"/>
        <v>0</v>
      </c>
      <c r="H88" s="393">
        <f t="shared" si="16"/>
        <v>0</v>
      </c>
      <c r="I88" s="393">
        <f t="shared" si="17"/>
        <v>0</v>
      </c>
      <c r="J88" s="393">
        <f t="shared" si="18"/>
        <v>0</v>
      </c>
      <c r="K88" s="393">
        <f t="shared" si="19"/>
        <v>0</v>
      </c>
      <c r="L88" s="395">
        <f t="shared" si="20"/>
        <v>0</v>
      </c>
      <c r="M88" s="250">
        <f>L88*D88*VPI!Q88</f>
        <v>0</v>
      </c>
    </row>
    <row r="89" spans="1:13" x14ac:dyDescent="0.25">
      <c r="A89" s="132">
        <f>Données!A89</f>
        <v>5551</v>
      </c>
      <c r="B89" s="27" t="str">
        <f>Données!B89</f>
        <v>Bonvillars</v>
      </c>
      <c r="C89" s="291">
        <f>VPI!R89</f>
        <v>18574.407321428567</v>
      </c>
      <c r="D89" s="27">
        <f>Données!Z89</f>
        <v>501</v>
      </c>
      <c r="E89" s="88">
        <f t="shared" si="13"/>
        <v>37.074665312232668</v>
      </c>
      <c r="F89" s="147">
        <f t="shared" si="14"/>
        <v>0.77385630762305713</v>
      </c>
      <c r="G89" s="393">
        <f t="shared" si="15"/>
        <v>0</v>
      </c>
      <c r="H89" s="393">
        <f t="shared" si="16"/>
        <v>0</v>
      </c>
      <c r="I89" s="393">
        <f t="shared" si="17"/>
        <v>0</v>
      </c>
      <c r="J89" s="393">
        <f t="shared" si="18"/>
        <v>0</v>
      </c>
      <c r="K89" s="393">
        <f t="shared" si="19"/>
        <v>0</v>
      </c>
      <c r="L89" s="395">
        <f t="shared" si="20"/>
        <v>0</v>
      </c>
      <c r="M89" s="250">
        <f>L89*D89*VPI!Q89</f>
        <v>0</v>
      </c>
    </row>
    <row r="90" spans="1:13" x14ac:dyDescent="0.25">
      <c r="A90" s="132">
        <f>Données!A90</f>
        <v>5552</v>
      </c>
      <c r="B90" s="27" t="str">
        <f>Données!B90</f>
        <v>Bullet</v>
      </c>
      <c r="C90" s="291">
        <f>VPI!R90</f>
        <v>19038.467972027971</v>
      </c>
      <c r="D90" s="27">
        <f>Données!Z90</f>
        <v>651</v>
      </c>
      <c r="E90" s="88">
        <f t="shared" si="13"/>
        <v>29.244958482377836</v>
      </c>
      <c r="F90" s="147">
        <f t="shared" si="14"/>
        <v>0.61042750884376451</v>
      </c>
      <c r="G90" s="393">
        <f t="shared" si="15"/>
        <v>0</v>
      </c>
      <c r="H90" s="393">
        <f t="shared" si="16"/>
        <v>0</v>
      </c>
      <c r="I90" s="393">
        <f t="shared" si="17"/>
        <v>0</v>
      </c>
      <c r="J90" s="393">
        <f t="shared" si="18"/>
        <v>0</v>
      </c>
      <c r="K90" s="393">
        <f t="shared" si="19"/>
        <v>0</v>
      </c>
      <c r="L90" s="395">
        <f t="shared" si="20"/>
        <v>0</v>
      </c>
      <c r="M90" s="250">
        <f>L90*D90*VPI!Q90</f>
        <v>0</v>
      </c>
    </row>
    <row r="91" spans="1:13" x14ac:dyDescent="0.25">
      <c r="A91" s="132">
        <f>Données!A91</f>
        <v>5553</v>
      </c>
      <c r="B91" s="27" t="str">
        <f>Données!B91</f>
        <v>Champagne</v>
      </c>
      <c r="C91" s="291">
        <f>VPI!R91</f>
        <v>38261.021999999997</v>
      </c>
      <c r="D91" s="27">
        <f>Données!Z91</f>
        <v>1077</v>
      </c>
      <c r="E91" s="88">
        <f t="shared" si="13"/>
        <v>35.525554317548746</v>
      </c>
      <c r="F91" s="147">
        <f t="shared" si="14"/>
        <v>0.74152184676283073</v>
      </c>
      <c r="G91" s="393">
        <f t="shared" si="15"/>
        <v>0</v>
      </c>
      <c r="H91" s="393">
        <f t="shared" si="16"/>
        <v>0</v>
      </c>
      <c r="I91" s="393">
        <f t="shared" si="17"/>
        <v>0</v>
      </c>
      <c r="J91" s="393">
        <f t="shared" si="18"/>
        <v>0</v>
      </c>
      <c r="K91" s="393">
        <f t="shared" si="19"/>
        <v>0</v>
      </c>
      <c r="L91" s="395">
        <f t="shared" si="20"/>
        <v>0</v>
      </c>
      <c r="M91" s="250">
        <f>L91*D91*VPI!Q91</f>
        <v>0</v>
      </c>
    </row>
    <row r="92" spans="1:13" x14ac:dyDescent="0.25">
      <c r="A92" s="132">
        <f>Données!A92</f>
        <v>5554</v>
      </c>
      <c r="B92" s="27" t="str">
        <f>Données!B92</f>
        <v>Concise</v>
      </c>
      <c r="C92" s="291">
        <f>VPI!R92</f>
        <v>33906.908000000003</v>
      </c>
      <c r="D92" s="27">
        <f>Données!Z92</f>
        <v>1002</v>
      </c>
      <c r="E92" s="88">
        <f t="shared" si="13"/>
        <v>33.839229540918168</v>
      </c>
      <c r="F92" s="147">
        <f t="shared" si="14"/>
        <v>0.70632333440657646</v>
      </c>
      <c r="G92" s="393">
        <f t="shared" si="15"/>
        <v>0</v>
      </c>
      <c r="H92" s="393">
        <f t="shared" si="16"/>
        <v>0</v>
      </c>
      <c r="I92" s="393">
        <f t="shared" si="17"/>
        <v>0</v>
      </c>
      <c r="J92" s="393">
        <f t="shared" si="18"/>
        <v>0</v>
      </c>
      <c r="K92" s="393">
        <f t="shared" si="19"/>
        <v>0</v>
      </c>
      <c r="L92" s="395">
        <f t="shared" si="20"/>
        <v>0</v>
      </c>
      <c r="M92" s="250">
        <f>L92*D92*VPI!Q92</f>
        <v>0</v>
      </c>
    </row>
    <row r="93" spans="1:13" x14ac:dyDescent="0.25">
      <c r="A93" s="132">
        <f>Données!A93</f>
        <v>5555</v>
      </c>
      <c r="B93" s="27" t="str">
        <f>Données!B93</f>
        <v>Corcelles-près-Concise</v>
      </c>
      <c r="C93" s="291">
        <f>VPI!R93</f>
        <v>13425.133333333333</v>
      </c>
      <c r="D93" s="27">
        <f>Données!Z93</f>
        <v>412</v>
      </c>
      <c r="E93" s="88">
        <f t="shared" si="13"/>
        <v>32.58527508090615</v>
      </c>
      <c r="F93" s="147">
        <f t="shared" si="14"/>
        <v>0.68014965056667964</v>
      </c>
      <c r="G93" s="393">
        <f t="shared" si="15"/>
        <v>0</v>
      </c>
      <c r="H93" s="393">
        <f t="shared" si="16"/>
        <v>0</v>
      </c>
      <c r="I93" s="393">
        <f t="shared" si="17"/>
        <v>0</v>
      </c>
      <c r="J93" s="393">
        <f t="shared" si="18"/>
        <v>0</v>
      </c>
      <c r="K93" s="393">
        <f t="shared" si="19"/>
        <v>0</v>
      </c>
      <c r="L93" s="395">
        <f t="shared" si="20"/>
        <v>0</v>
      </c>
      <c r="M93" s="250">
        <f>L93*D93*VPI!Q93</f>
        <v>0</v>
      </c>
    </row>
    <row r="94" spans="1:13" x14ac:dyDescent="0.25">
      <c r="A94" s="132">
        <f>Données!A94</f>
        <v>5556</v>
      </c>
      <c r="B94" s="27" t="str">
        <f>Données!B94</f>
        <v>Fiez</v>
      </c>
      <c r="C94" s="291">
        <f>VPI!R94</f>
        <v>13304.178019323672</v>
      </c>
      <c r="D94" s="27">
        <f>Données!Z94</f>
        <v>436</v>
      </c>
      <c r="E94" s="88">
        <f t="shared" si="13"/>
        <v>30.514169769090991</v>
      </c>
      <c r="F94" s="147">
        <f t="shared" si="14"/>
        <v>0.63691964711818028</v>
      </c>
      <c r="G94" s="393">
        <f t="shared" si="15"/>
        <v>0</v>
      </c>
      <c r="H94" s="393">
        <f t="shared" si="16"/>
        <v>0</v>
      </c>
      <c r="I94" s="393">
        <f t="shared" si="17"/>
        <v>0</v>
      </c>
      <c r="J94" s="393">
        <f t="shared" si="18"/>
        <v>0</v>
      </c>
      <c r="K94" s="393">
        <f t="shared" si="19"/>
        <v>0</v>
      </c>
      <c r="L94" s="395">
        <f t="shared" si="20"/>
        <v>0</v>
      </c>
      <c r="M94" s="250">
        <f>L94*D94*VPI!Q94</f>
        <v>0</v>
      </c>
    </row>
    <row r="95" spans="1:13" x14ac:dyDescent="0.25">
      <c r="A95" s="132">
        <f>Données!A95</f>
        <v>5557</v>
      </c>
      <c r="B95" s="27" t="str">
        <f>Données!B95</f>
        <v>Fontaines-sur-Grandson</v>
      </c>
      <c r="C95" s="291">
        <f>VPI!R95</f>
        <v>5098.6839130434782</v>
      </c>
      <c r="D95" s="27">
        <f>Données!Z95</f>
        <v>214</v>
      </c>
      <c r="E95" s="88">
        <f t="shared" si="13"/>
        <v>23.825625761885412</v>
      </c>
      <c r="F95" s="147">
        <f t="shared" si="14"/>
        <v>0.49731024201095086</v>
      </c>
      <c r="G95" s="393">
        <f t="shared" si="15"/>
        <v>0</v>
      </c>
      <c r="H95" s="393">
        <f t="shared" si="16"/>
        <v>0</v>
      </c>
      <c r="I95" s="393">
        <f t="shared" si="17"/>
        <v>0</v>
      </c>
      <c r="J95" s="393">
        <f t="shared" si="18"/>
        <v>0</v>
      </c>
      <c r="K95" s="393">
        <f t="shared" si="19"/>
        <v>0</v>
      </c>
      <c r="L95" s="395">
        <f t="shared" si="20"/>
        <v>0</v>
      </c>
      <c r="M95" s="250">
        <f>L95*D95*VPI!Q95</f>
        <v>0</v>
      </c>
    </row>
    <row r="96" spans="1:13" x14ac:dyDescent="0.25">
      <c r="A96" s="132">
        <f>Données!A96</f>
        <v>5559</v>
      </c>
      <c r="B96" s="27" t="str">
        <f>Données!B96</f>
        <v>Giez</v>
      </c>
      <c r="C96" s="291">
        <f>VPI!R96</f>
        <v>21009.564242424243</v>
      </c>
      <c r="D96" s="27">
        <f>Données!Z96</f>
        <v>450</v>
      </c>
      <c r="E96" s="88">
        <f t="shared" si="13"/>
        <v>46.68792053872054</v>
      </c>
      <c r="F96" s="147">
        <f t="shared" si="14"/>
        <v>0.97451295903599366</v>
      </c>
      <c r="G96" s="393">
        <f t="shared" si="15"/>
        <v>0</v>
      </c>
      <c r="H96" s="393">
        <f t="shared" si="16"/>
        <v>0</v>
      </c>
      <c r="I96" s="393">
        <f t="shared" si="17"/>
        <v>0</v>
      </c>
      <c r="J96" s="393">
        <f t="shared" si="18"/>
        <v>0</v>
      </c>
      <c r="K96" s="393">
        <f t="shared" si="19"/>
        <v>0</v>
      </c>
      <c r="L96" s="395">
        <f t="shared" si="20"/>
        <v>0</v>
      </c>
      <c r="M96" s="250">
        <f>L96*D96*VPI!Q96</f>
        <v>0</v>
      </c>
    </row>
    <row r="97" spans="1:13" x14ac:dyDescent="0.25">
      <c r="A97" s="132">
        <f>Données!A97</f>
        <v>5560</v>
      </c>
      <c r="B97" s="27" t="str">
        <f>Données!B97</f>
        <v>Grandevent</v>
      </c>
      <c r="C97" s="291">
        <f>VPI!R97</f>
        <v>8996.1019718309853</v>
      </c>
      <c r="D97" s="27">
        <f>Données!Z97</f>
        <v>237</v>
      </c>
      <c r="E97" s="88">
        <f t="shared" si="13"/>
        <v>37.95823616806323</v>
      </c>
      <c r="F97" s="147">
        <f t="shared" si="14"/>
        <v>0.79229900627611227</v>
      </c>
      <c r="G97" s="393">
        <f t="shared" si="15"/>
        <v>0</v>
      </c>
      <c r="H97" s="393">
        <f t="shared" si="16"/>
        <v>0</v>
      </c>
      <c r="I97" s="393">
        <f t="shared" si="17"/>
        <v>0</v>
      </c>
      <c r="J97" s="393">
        <f t="shared" si="18"/>
        <v>0</v>
      </c>
      <c r="K97" s="393">
        <f t="shared" si="19"/>
        <v>0</v>
      </c>
      <c r="L97" s="395">
        <f t="shared" si="20"/>
        <v>0</v>
      </c>
      <c r="M97" s="250">
        <f>L97*D97*VPI!Q97</f>
        <v>0</v>
      </c>
    </row>
    <row r="98" spans="1:13" x14ac:dyDescent="0.25">
      <c r="A98" s="132">
        <f>Données!A98</f>
        <v>5561</v>
      </c>
      <c r="B98" s="27" t="str">
        <f>Données!B98</f>
        <v>Grandson</v>
      </c>
      <c r="C98" s="291">
        <f>VPI!R98</f>
        <v>132373.10913043478</v>
      </c>
      <c r="D98" s="27">
        <f>Données!Z98</f>
        <v>3358</v>
      </c>
      <c r="E98" s="88">
        <f t="shared" si="13"/>
        <v>39.420223088277183</v>
      </c>
      <c r="F98" s="147">
        <f t="shared" si="14"/>
        <v>0.82281493380618986</v>
      </c>
      <c r="G98" s="393">
        <f t="shared" si="15"/>
        <v>0</v>
      </c>
      <c r="H98" s="393">
        <f t="shared" si="16"/>
        <v>0</v>
      </c>
      <c r="I98" s="393">
        <f t="shared" si="17"/>
        <v>0</v>
      </c>
      <c r="J98" s="393">
        <f t="shared" si="18"/>
        <v>0</v>
      </c>
      <c r="K98" s="393">
        <f t="shared" si="19"/>
        <v>0</v>
      </c>
      <c r="L98" s="395">
        <f t="shared" si="20"/>
        <v>0</v>
      </c>
      <c r="M98" s="250">
        <f>L98*D98*VPI!Q98</f>
        <v>0</v>
      </c>
    </row>
    <row r="99" spans="1:13" x14ac:dyDescent="0.25">
      <c r="A99" s="132">
        <f>Données!A99</f>
        <v>5562</v>
      </c>
      <c r="B99" s="27" t="str">
        <f>Données!B99</f>
        <v>Mauborget</v>
      </c>
      <c r="C99" s="291">
        <f>VPI!R99</f>
        <v>4559.8122619047608</v>
      </c>
      <c r="D99" s="27">
        <f>Données!Z99</f>
        <v>138</v>
      </c>
      <c r="E99" s="88">
        <f t="shared" si="13"/>
        <v>33.042117839889571</v>
      </c>
      <c r="F99" s="147">
        <f t="shared" si="14"/>
        <v>0.6896852902724977</v>
      </c>
      <c r="G99" s="393">
        <f t="shared" si="15"/>
        <v>0</v>
      </c>
      <c r="H99" s="393">
        <f t="shared" si="16"/>
        <v>0</v>
      </c>
      <c r="I99" s="393">
        <f t="shared" si="17"/>
        <v>0</v>
      </c>
      <c r="J99" s="393">
        <f t="shared" si="18"/>
        <v>0</v>
      </c>
      <c r="K99" s="393">
        <f t="shared" si="19"/>
        <v>0</v>
      </c>
      <c r="L99" s="395">
        <f t="shared" si="20"/>
        <v>0</v>
      </c>
      <c r="M99" s="250">
        <f>L99*D99*VPI!Q99</f>
        <v>0</v>
      </c>
    </row>
    <row r="100" spans="1:13" x14ac:dyDescent="0.25">
      <c r="A100" s="132">
        <f>Données!A100</f>
        <v>5563</v>
      </c>
      <c r="B100" s="27" t="str">
        <f>Données!B100</f>
        <v>Mutrux</v>
      </c>
      <c r="C100" s="291">
        <f>VPI!R100</f>
        <v>2282.0827499999996</v>
      </c>
      <c r="D100" s="27">
        <f>Données!Z100</f>
        <v>151</v>
      </c>
      <c r="E100" s="88">
        <f t="shared" si="13"/>
        <v>15.113130794701984</v>
      </c>
      <c r="F100" s="147">
        <f t="shared" si="14"/>
        <v>0.31545508219472829</v>
      </c>
      <c r="G100" s="393">
        <f t="shared" si="15"/>
        <v>0</v>
      </c>
      <c r="H100" s="393">
        <f t="shared" si="16"/>
        <v>0</v>
      </c>
      <c r="I100" s="393">
        <f t="shared" si="17"/>
        <v>0</v>
      </c>
      <c r="J100" s="393">
        <f t="shared" si="18"/>
        <v>0</v>
      </c>
      <c r="K100" s="393">
        <f t="shared" si="19"/>
        <v>0</v>
      </c>
      <c r="L100" s="395">
        <f t="shared" si="20"/>
        <v>0</v>
      </c>
      <c r="M100" s="250">
        <f>L100*D100*VPI!Q100</f>
        <v>0</v>
      </c>
    </row>
    <row r="101" spans="1:13" x14ac:dyDescent="0.25">
      <c r="A101" s="132">
        <f>Données!A101</f>
        <v>5564</v>
      </c>
      <c r="B101" s="27" t="str">
        <f>Données!B101</f>
        <v>Novalles</v>
      </c>
      <c r="C101" s="291">
        <f>VPI!R101</f>
        <v>2548.8721381578953</v>
      </c>
      <c r="D101" s="27">
        <f>Données!Z101</f>
        <v>99</v>
      </c>
      <c r="E101" s="88">
        <f t="shared" si="13"/>
        <v>25.746183213716115</v>
      </c>
      <c r="F101" s="147">
        <f t="shared" si="14"/>
        <v>0.53739787289675889</v>
      </c>
      <c r="G101" s="393">
        <f t="shared" si="15"/>
        <v>0</v>
      </c>
      <c r="H101" s="393">
        <f t="shared" si="16"/>
        <v>0</v>
      </c>
      <c r="I101" s="393">
        <f t="shared" si="17"/>
        <v>0</v>
      </c>
      <c r="J101" s="393">
        <f t="shared" si="18"/>
        <v>0</v>
      </c>
      <c r="K101" s="393">
        <f t="shared" si="19"/>
        <v>0</v>
      </c>
      <c r="L101" s="395">
        <f t="shared" si="20"/>
        <v>0</v>
      </c>
      <c r="M101" s="250">
        <f>L101*D101*VPI!Q101</f>
        <v>0</v>
      </c>
    </row>
    <row r="102" spans="1:13" x14ac:dyDescent="0.25">
      <c r="A102" s="132">
        <f>Données!A102</f>
        <v>5565</v>
      </c>
      <c r="B102" s="27" t="str">
        <f>Données!B102</f>
        <v>Onnens</v>
      </c>
      <c r="C102" s="291">
        <f>VPI!R102</f>
        <v>19043.042992125989</v>
      </c>
      <c r="D102" s="27">
        <f>Données!Z102</f>
        <v>496</v>
      </c>
      <c r="E102" s="88">
        <f t="shared" si="13"/>
        <v>38.393231838963686</v>
      </c>
      <c r="F102" s="147">
        <f t="shared" si="14"/>
        <v>0.80137863358710981</v>
      </c>
      <c r="G102" s="393">
        <f t="shared" si="15"/>
        <v>0</v>
      </c>
      <c r="H102" s="393">
        <f t="shared" si="16"/>
        <v>0</v>
      </c>
      <c r="I102" s="393">
        <f t="shared" si="17"/>
        <v>0</v>
      </c>
      <c r="J102" s="393">
        <f t="shared" si="18"/>
        <v>0</v>
      </c>
      <c r="K102" s="393">
        <f t="shared" si="19"/>
        <v>0</v>
      </c>
      <c r="L102" s="395">
        <f t="shared" si="20"/>
        <v>0</v>
      </c>
      <c r="M102" s="250">
        <f>L102*D102*VPI!Q102</f>
        <v>0</v>
      </c>
    </row>
    <row r="103" spans="1:13" x14ac:dyDescent="0.25">
      <c r="A103" s="132">
        <f>Données!A103</f>
        <v>5566</v>
      </c>
      <c r="B103" s="27" t="str">
        <f>Données!B103</f>
        <v>Provence</v>
      </c>
      <c r="C103" s="291">
        <f>VPI!R103</f>
        <v>8528.7641152263368</v>
      </c>
      <c r="D103" s="27">
        <f>Données!Z103</f>
        <v>403</v>
      </c>
      <c r="E103" s="88">
        <f t="shared" si="13"/>
        <v>21.163186390139792</v>
      </c>
      <c r="F103" s="147">
        <f t="shared" si="14"/>
        <v>0.44173737347288983</v>
      </c>
      <c r="G103" s="393">
        <f t="shared" si="15"/>
        <v>0</v>
      </c>
      <c r="H103" s="393">
        <f t="shared" si="16"/>
        <v>0</v>
      </c>
      <c r="I103" s="393">
        <f t="shared" si="17"/>
        <v>0</v>
      </c>
      <c r="J103" s="393">
        <f t="shared" si="18"/>
        <v>0</v>
      </c>
      <c r="K103" s="393">
        <f t="shared" si="19"/>
        <v>0</v>
      </c>
      <c r="L103" s="395">
        <f t="shared" si="20"/>
        <v>0</v>
      </c>
      <c r="M103" s="250">
        <f>L103*D103*VPI!Q103</f>
        <v>0</v>
      </c>
    </row>
    <row r="104" spans="1:13" x14ac:dyDescent="0.25">
      <c r="A104" s="132">
        <f>Données!A104</f>
        <v>5568</v>
      </c>
      <c r="B104" s="27" t="str">
        <f>Données!B104</f>
        <v>Sainte-Croix</v>
      </c>
      <c r="C104" s="291">
        <f>VPI!R104</f>
        <v>106003.06099999999</v>
      </c>
      <c r="D104" s="27">
        <f>Données!Z104</f>
        <v>4869</v>
      </c>
      <c r="E104" s="88">
        <f t="shared" si="13"/>
        <v>21.771012733620864</v>
      </c>
      <c r="F104" s="147">
        <f t="shared" si="14"/>
        <v>0.45442448058177287</v>
      </c>
      <c r="G104" s="393">
        <f t="shared" si="15"/>
        <v>0</v>
      </c>
      <c r="H104" s="393">
        <f t="shared" si="16"/>
        <v>0</v>
      </c>
      <c r="I104" s="393">
        <f t="shared" si="17"/>
        <v>0</v>
      </c>
      <c r="J104" s="393">
        <f t="shared" si="18"/>
        <v>0</v>
      </c>
      <c r="K104" s="393">
        <f t="shared" si="19"/>
        <v>0</v>
      </c>
      <c r="L104" s="395">
        <f t="shared" si="20"/>
        <v>0</v>
      </c>
      <c r="M104" s="250">
        <f>L104*D104*VPI!Q104</f>
        <v>0</v>
      </c>
    </row>
    <row r="105" spans="1:13" x14ac:dyDescent="0.25">
      <c r="A105" s="132">
        <f>Données!A105</f>
        <v>5571</v>
      </c>
      <c r="B105" s="27" t="str">
        <f>Données!B105</f>
        <v>Tévenon</v>
      </c>
      <c r="C105" s="291">
        <f>VPI!R105</f>
        <v>25906.923962703961</v>
      </c>
      <c r="D105" s="27">
        <f>Données!Z105</f>
        <v>867</v>
      </c>
      <c r="E105" s="88">
        <f t="shared" si="13"/>
        <v>29.88111183702879</v>
      </c>
      <c r="F105" s="147">
        <f t="shared" si="14"/>
        <v>0.62370588322600817</v>
      </c>
      <c r="G105" s="393">
        <f t="shared" si="15"/>
        <v>0</v>
      </c>
      <c r="H105" s="393">
        <f t="shared" si="16"/>
        <v>0</v>
      </c>
      <c r="I105" s="393">
        <f t="shared" si="17"/>
        <v>0</v>
      </c>
      <c r="J105" s="393">
        <f t="shared" si="18"/>
        <v>0</v>
      </c>
      <c r="K105" s="393">
        <f t="shared" si="19"/>
        <v>0</v>
      </c>
      <c r="L105" s="395">
        <f t="shared" si="20"/>
        <v>0</v>
      </c>
      <c r="M105" s="250">
        <f>L105*D105*VPI!Q105</f>
        <v>0</v>
      </c>
    </row>
    <row r="106" spans="1:13" x14ac:dyDescent="0.25">
      <c r="A106" s="132">
        <f>Données!A106</f>
        <v>5581</v>
      </c>
      <c r="B106" s="27" t="str">
        <f>Données!B106</f>
        <v>Belmont-sur-Lausanne</v>
      </c>
      <c r="C106" s="291">
        <f>VPI!R106</f>
        <v>233667.07055555552</v>
      </c>
      <c r="D106" s="27">
        <f>Données!Z106</f>
        <v>3835</v>
      </c>
      <c r="E106" s="88">
        <f t="shared" si="13"/>
        <v>60.930135738084878</v>
      </c>
      <c r="F106" s="147">
        <f t="shared" si="14"/>
        <v>1.2717894947439663</v>
      </c>
      <c r="G106" s="393">
        <f t="shared" si="15"/>
        <v>13.021157098226567</v>
      </c>
      <c r="H106" s="393">
        <f t="shared" si="16"/>
        <v>3.4393613702549075</v>
      </c>
      <c r="I106" s="393">
        <f t="shared" si="17"/>
        <v>0</v>
      </c>
      <c r="J106" s="393">
        <f t="shared" si="18"/>
        <v>0</v>
      </c>
      <c r="K106" s="393">
        <f t="shared" si="19"/>
        <v>0</v>
      </c>
      <c r="L106" s="395">
        <f t="shared" si="20"/>
        <v>2.9481675566708043</v>
      </c>
      <c r="M106" s="250">
        <f>L106*D106*VPI!Q106</f>
        <v>814048.02574794251</v>
      </c>
    </row>
    <row r="107" spans="1:13" x14ac:dyDescent="0.25">
      <c r="A107" s="132">
        <f>Données!A107</f>
        <v>5582</v>
      </c>
      <c r="B107" s="27" t="str">
        <f>Données!B107</f>
        <v>Cheseaux-sur-Lausanne</v>
      </c>
      <c r="C107" s="291">
        <f>VPI!R107</f>
        <v>170421.56630136984</v>
      </c>
      <c r="D107" s="27">
        <f>Données!Z107</f>
        <v>4525</v>
      </c>
      <c r="E107" s="88">
        <f t="shared" si="13"/>
        <v>37.662224596987812</v>
      </c>
      <c r="F107" s="147">
        <f t="shared" si="14"/>
        <v>0.78612038215430413</v>
      </c>
      <c r="G107" s="393">
        <f t="shared" si="15"/>
        <v>0</v>
      </c>
      <c r="H107" s="393">
        <f t="shared" si="16"/>
        <v>0</v>
      </c>
      <c r="I107" s="393">
        <f t="shared" si="17"/>
        <v>0</v>
      </c>
      <c r="J107" s="393">
        <f t="shared" si="18"/>
        <v>0</v>
      </c>
      <c r="K107" s="393">
        <f t="shared" si="19"/>
        <v>0</v>
      </c>
      <c r="L107" s="395">
        <f t="shared" si="20"/>
        <v>0</v>
      </c>
      <c r="M107" s="250">
        <f>L107*D107*VPI!Q107</f>
        <v>0</v>
      </c>
    </row>
    <row r="108" spans="1:13" x14ac:dyDescent="0.25">
      <c r="A108" s="132">
        <f>Données!A108</f>
        <v>5583</v>
      </c>
      <c r="B108" s="27" t="str">
        <f>Données!B108</f>
        <v>Crissier</v>
      </c>
      <c r="C108" s="291">
        <f>VPI!R108</f>
        <v>340450.32850393705</v>
      </c>
      <c r="D108" s="27">
        <f>Données!Z108</f>
        <v>9161</v>
      </c>
      <c r="E108" s="88">
        <f t="shared" si="13"/>
        <v>37.163009333472004</v>
      </c>
      <c r="F108" s="147">
        <f t="shared" si="14"/>
        <v>0.77570030479743723</v>
      </c>
      <c r="G108" s="393">
        <f t="shared" si="15"/>
        <v>0</v>
      </c>
      <c r="H108" s="393">
        <f t="shared" si="16"/>
        <v>0</v>
      </c>
      <c r="I108" s="393">
        <f t="shared" si="17"/>
        <v>0</v>
      </c>
      <c r="J108" s="393">
        <f t="shared" si="18"/>
        <v>0</v>
      </c>
      <c r="K108" s="393">
        <f t="shared" si="19"/>
        <v>0</v>
      </c>
      <c r="L108" s="395">
        <f t="shared" si="20"/>
        <v>0</v>
      </c>
      <c r="M108" s="250">
        <f>L108*D108*VPI!Q108</f>
        <v>0</v>
      </c>
    </row>
    <row r="109" spans="1:13" x14ac:dyDescent="0.25">
      <c r="A109" s="132">
        <f>Données!A109</f>
        <v>5584</v>
      </c>
      <c r="B109" s="27" t="str">
        <f>Données!B109</f>
        <v>Epalinges</v>
      </c>
      <c r="C109" s="291">
        <f>VPI!R109</f>
        <v>489743.06325581396</v>
      </c>
      <c r="D109" s="27">
        <f>Données!Z109</f>
        <v>9825</v>
      </c>
      <c r="E109" s="88">
        <f t="shared" si="13"/>
        <v>49.846622214332207</v>
      </c>
      <c r="F109" s="147">
        <f t="shared" si="14"/>
        <v>1.0404442680575505</v>
      </c>
      <c r="G109" s="393">
        <f t="shared" si="15"/>
        <v>1.9376435744738956</v>
      </c>
      <c r="H109" s="393">
        <f t="shared" si="16"/>
        <v>0</v>
      </c>
      <c r="I109" s="393">
        <f t="shared" si="17"/>
        <v>0</v>
      </c>
      <c r="J109" s="393">
        <f t="shared" si="18"/>
        <v>0</v>
      </c>
      <c r="K109" s="393">
        <f t="shared" si="19"/>
        <v>0</v>
      </c>
      <c r="L109" s="395">
        <f t="shared" si="20"/>
        <v>0.38752871489477914</v>
      </c>
      <c r="M109" s="250">
        <f>L109*D109*VPI!Q109</f>
        <v>245581.79073775772</v>
      </c>
    </row>
    <row r="110" spans="1:13" x14ac:dyDescent="0.25">
      <c r="A110" s="132">
        <f>Données!A110</f>
        <v>5585</v>
      </c>
      <c r="B110" s="27" t="str">
        <f>Données!B110</f>
        <v>Jouxtens-Mézery</v>
      </c>
      <c r="C110" s="291">
        <f>VPI!R110</f>
        <v>210572.62440677959</v>
      </c>
      <c r="D110" s="27">
        <f>Données!Z110</f>
        <v>1468</v>
      </c>
      <c r="E110" s="88">
        <f t="shared" si="13"/>
        <v>143.44184223895067</v>
      </c>
      <c r="F110" s="147">
        <f t="shared" si="14"/>
        <v>2.9940492640686962</v>
      </c>
      <c r="G110" s="393">
        <f t="shared" si="15"/>
        <v>95.532863599092366</v>
      </c>
      <c r="H110" s="393">
        <f t="shared" si="16"/>
        <v>85.951067871120699</v>
      </c>
      <c r="I110" s="393">
        <f t="shared" si="17"/>
        <v>71.578374279163199</v>
      </c>
      <c r="J110" s="393">
        <f t="shared" si="18"/>
        <v>47.623884959234047</v>
      </c>
      <c r="K110" s="393">
        <f t="shared" si="19"/>
        <v>0</v>
      </c>
      <c r="L110" s="395">
        <f t="shared" si="20"/>
        <v>39.621905430770269</v>
      </c>
      <c r="M110" s="250">
        <f>L110*D110*VPI!Q110</f>
        <v>3431732.4731698744</v>
      </c>
    </row>
    <row r="111" spans="1:13" x14ac:dyDescent="0.25">
      <c r="A111" s="132">
        <f>Données!A111</f>
        <v>5586</v>
      </c>
      <c r="B111" s="27" t="str">
        <f>Données!B111</f>
        <v>Lausanne</v>
      </c>
      <c r="C111" s="291">
        <f>VPI!R111</f>
        <v>6670835.0290021216</v>
      </c>
      <c r="D111" s="27">
        <f>Données!Z111</f>
        <v>141513</v>
      </c>
      <c r="E111" s="88">
        <f t="shared" si="13"/>
        <v>47.139379625915083</v>
      </c>
      <c r="F111" s="147">
        <f t="shared" si="14"/>
        <v>0.98393622582254436</v>
      </c>
      <c r="G111" s="393">
        <f t="shared" si="15"/>
        <v>0</v>
      </c>
      <c r="H111" s="393">
        <f t="shared" si="16"/>
        <v>0</v>
      </c>
      <c r="I111" s="393">
        <f t="shared" si="17"/>
        <v>0</v>
      </c>
      <c r="J111" s="393">
        <f t="shared" si="18"/>
        <v>0</v>
      </c>
      <c r="K111" s="393">
        <f t="shared" si="19"/>
        <v>0</v>
      </c>
      <c r="L111" s="395">
        <f t="shared" si="20"/>
        <v>0</v>
      </c>
      <c r="M111" s="250">
        <f>L111*D111*VPI!Q111</f>
        <v>0</v>
      </c>
    </row>
    <row r="112" spans="1:13" x14ac:dyDescent="0.25">
      <c r="A112" s="132">
        <f>Données!A112</f>
        <v>5587</v>
      </c>
      <c r="B112" s="27" t="str">
        <f>Données!B112</f>
        <v>Le Mont-sur-Lausanne</v>
      </c>
      <c r="C112" s="291">
        <f>VPI!R112</f>
        <v>484022.6825170067</v>
      </c>
      <c r="D112" s="27">
        <f>Données!Z112</f>
        <v>9297</v>
      </c>
      <c r="E112" s="88">
        <f t="shared" si="13"/>
        <v>52.062244005271239</v>
      </c>
      <c r="F112" s="147">
        <f t="shared" si="14"/>
        <v>1.0866907515736013</v>
      </c>
      <c r="G112" s="393">
        <f t="shared" si="15"/>
        <v>4.1532653654129277</v>
      </c>
      <c r="H112" s="393">
        <f t="shared" si="16"/>
        <v>0</v>
      </c>
      <c r="I112" s="393">
        <f t="shared" si="17"/>
        <v>0</v>
      </c>
      <c r="J112" s="393">
        <f t="shared" si="18"/>
        <v>0</v>
      </c>
      <c r="K112" s="393">
        <f t="shared" si="19"/>
        <v>0</v>
      </c>
      <c r="L112" s="395">
        <f t="shared" si="20"/>
        <v>0.83065307308258562</v>
      </c>
      <c r="M112" s="250">
        <f>L112*D112*VPI!Q112</f>
        <v>567609.74910298665</v>
      </c>
    </row>
    <row r="113" spans="1:13" x14ac:dyDescent="0.25">
      <c r="A113" s="132">
        <f>Données!A113</f>
        <v>5588</v>
      </c>
      <c r="B113" s="27" t="str">
        <f>Données!B113</f>
        <v>Paudex</v>
      </c>
      <c r="C113" s="291">
        <f>VPI!R113</f>
        <v>137544.82844253487</v>
      </c>
      <c r="D113" s="27">
        <f>Données!Z113</f>
        <v>1550</v>
      </c>
      <c r="E113" s="88">
        <f t="shared" si="13"/>
        <v>88.738598995183793</v>
      </c>
      <c r="F113" s="147">
        <f t="shared" si="14"/>
        <v>1.852233162018547</v>
      </c>
      <c r="G113" s="393">
        <f t="shared" si="15"/>
        <v>40.829620355325481</v>
      </c>
      <c r="H113" s="393">
        <f t="shared" si="16"/>
        <v>31.247824627353822</v>
      </c>
      <c r="I113" s="393">
        <f t="shared" si="17"/>
        <v>16.875131035396322</v>
      </c>
      <c r="J113" s="393">
        <f t="shared" si="18"/>
        <v>0</v>
      </c>
      <c r="K113" s="393">
        <f t="shared" si="19"/>
        <v>0</v>
      </c>
      <c r="L113" s="395">
        <f t="shared" si="20"/>
        <v>12.978219637340111</v>
      </c>
      <c r="M113" s="250">
        <f>L113*D113*VPI!Q113</f>
        <v>1337729.9891188319</v>
      </c>
    </row>
    <row r="114" spans="1:13" x14ac:dyDescent="0.25">
      <c r="A114" s="132">
        <f>Données!A114</f>
        <v>5589</v>
      </c>
      <c r="B114" s="27" t="str">
        <f>Données!B114</f>
        <v>Prilly</v>
      </c>
      <c r="C114" s="291">
        <f>VPI!R114</f>
        <v>404173.00015915121</v>
      </c>
      <c r="D114" s="27">
        <f>Données!Z114</f>
        <v>12318</v>
      </c>
      <c r="E114" s="88">
        <f t="shared" si="13"/>
        <v>32.811576567555711</v>
      </c>
      <c r="F114" s="147">
        <f t="shared" si="14"/>
        <v>0.684873222078206</v>
      </c>
      <c r="G114" s="393">
        <f t="shared" si="15"/>
        <v>0</v>
      </c>
      <c r="H114" s="393">
        <f t="shared" si="16"/>
        <v>0</v>
      </c>
      <c r="I114" s="393">
        <f t="shared" si="17"/>
        <v>0</v>
      </c>
      <c r="J114" s="393">
        <f t="shared" si="18"/>
        <v>0</v>
      </c>
      <c r="K114" s="393">
        <f t="shared" si="19"/>
        <v>0</v>
      </c>
      <c r="L114" s="395">
        <f t="shared" si="20"/>
        <v>0</v>
      </c>
      <c r="M114" s="250">
        <f>L114*D114*VPI!Q114</f>
        <v>0</v>
      </c>
    </row>
    <row r="115" spans="1:13" x14ac:dyDescent="0.25">
      <c r="A115" s="132">
        <f>Données!A115</f>
        <v>5590</v>
      </c>
      <c r="B115" s="27" t="str">
        <f>Données!B115</f>
        <v>Pully</v>
      </c>
      <c r="C115" s="291">
        <f>VPI!R115</f>
        <v>1396409.3683606556</v>
      </c>
      <c r="D115" s="27">
        <f>Données!Z115</f>
        <v>19005</v>
      </c>
      <c r="E115" s="88">
        <f t="shared" si="13"/>
        <v>73.475894152099741</v>
      </c>
      <c r="F115" s="147">
        <f t="shared" si="14"/>
        <v>1.5336560335471399</v>
      </c>
      <c r="G115" s="393">
        <f t="shared" si="15"/>
        <v>25.56691551224143</v>
      </c>
      <c r="H115" s="393">
        <f t="shared" si="16"/>
        <v>15.98511978426977</v>
      </c>
      <c r="I115" s="393">
        <f t="shared" si="17"/>
        <v>1.6124261923122702</v>
      </c>
      <c r="J115" s="393">
        <f t="shared" si="18"/>
        <v>0</v>
      </c>
      <c r="K115" s="393">
        <f t="shared" si="19"/>
        <v>0</v>
      </c>
      <c r="L115" s="395">
        <f t="shared" si="20"/>
        <v>6.8731377001064899</v>
      </c>
      <c r="M115" s="250">
        <f>L115*D115*VPI!Q115</f>
        <v>7968062.9014219539</v>
      </c>
    </row>
    <row r="116" spans="1:13" x14ac:dyDescent="0.25">
      <c r="A116" s="132">
        <f>Données!A116</f>
        <v>5591</v>
      </c>
      <c r="B116" s="27" t="str">
        <f>Données!B116</f>
        <v>Renens</v>
      </c>
      <c r="C116" s="291">
        <f>VPI!R116</f>
        <v>592837.71432282007</v>
      </c>
      <c r="D116" s="27">
        <f>Données!Z116</f>
        <v>21116</v>
      </c>
      <c r="E116" s="88">
        <f t="shared" si="13"/>
        <v>28.075284823016673</v>
      </c>
      <c r="F116" s="147">
        <f t="shared" si="14"/>
        <v>0.58601301092357627</v>
      </c>
      <c r="G116" s="393">
        <f t="shared" si="15"/>
        <v>0</v>
      </c>
      <c r="H116" s="393">
        <f t="shared" si="16"/>
        <v>0</v>
      </c>
      <c r="I116" s="393">
        <f t="shared" si="17"/>
        <v>0</v>
      </c>
      <c r="J116" s="393">
        <f t="shared" si="18"/>
        <v>0</v>
      </c>
      <c r="K116" s="393">
        <f t="shared" si="19"/>
        <v>0</v>
      </c>
      <c r="L116" s="395">
        <f t="shared" si="20"/>
        <v>0</v>
      </c>
      <c r="M116" s="250">
        <f>L116*D116*VPI!Q116</f>
        <v>0</v>
      </c>
    </row>
    <row r="117" spans="1:13" x14ac:dyDescent="0.25">
      <c r="A117" s="132">
        <f>Données!A117</f>
        <v>5592</v>
      </c>
      <c r="B117" s="27" t="str">
        <f>Données!B117</f>
        <v>Romanel-sur-Lausanne</v>
      </c>
      <c r="C117" s="291">
        <f>VPI!R117</f>
        <v>113600.3384397163</v>
      </c>
      <c r="D117" s="27">
        <f>Données!Z117</f>
        <v>3798</v>
      </c>
      <c r="E117" s="88">
        <f t="shared" si="13"/>
        <v>29.910568309561956</v>
      </c>
      <c r="F117" s="147">
        <f t="shared" si="14"/>
        <v>0.62432072564948371</v>
      </c>
      <c r="G117" s="393">
        <f t="shared" si="15"/>
        <v>0</v>
      </c>
      <c r="H117" s="393">
        <f t="shared" si="16"/>
        <v>0</v>
      </c>
      <c r="I117" s="393">
        <f t="shared" si="17"/>
        <v>0</v>
      </c>
      <c r="J117" s="393">
        <f t="shared" si="18"/>
        <v>0</v>
      </c>
      <c r="K117" s="393">
        <f t="shared" si="19"/>
        <v>0</v>
      </c>
      <c r="L117" s="395">
        <f t="shared" si="20"/>
        <v>0</v>
      </c>
      <c r="M117" s="250">
        <f>L117*D117*VPI!Q117</f>
        <v>0</v>
      </c>
    </row>
    <row r="118" spans="1:13" x14ac:dyDescent="0.25">
      <c r="A118" s="132">
        <f>Données!A118</f>
        <v>5601</v>
      </c>
      <c r="B118" s="27" t="str">
        <f>Données!B118</f>
        <v>Chexbres</v>
      </c>
      <c r="C118" s="291">
        <f>VPI!R118</f>
        <v>106014.1851851852</v>
      </c>
      <c r="D118" s="27">
        <f>Données!Z118</f>
        <v>2204</v>
      </c>
      <c r="E118" s="88">
        <f t="shared" si="13"/>
        <v>48.100809975129401</v>
      </c>
      <c r="F118" s="147">
        <f t="shared" si="14"/>
        <v>1.0040040789997451</v>
      </c>
      <c r="G118" s="393">
        <f t="shared" si="15"/>
        <v>0.19183133527108964</v>
      </c>
      <c r="H118" s="393">
        <f t="shared" si="16"/>
        <v>0</v>
      </c>
      <c r="I118" s="393">
        <f t="shared" si="17"/>
        <v>0</v>
      </c>
      <c r="J118" s="393">
        <f t="shared" si="18"/>
        <v>0</v>
      </c>
      <c r="K118" s="393">
        <f t="shared" si="19"/>
        <v>0</v>
      </c>
      <c r="L118" s="395">
        <f t="shared" si="20"/>
        <v>3.8366267054217931E-2</v>
      </c>
      <c r="M118" s="250">
        <f>L118*D118*VPI!Q118</f>
        <v>5707.7495496560014</v>
      </c>
    </row>
    <row r="119" spans="1:13" x14ac:dyDescent="0.25">
      <c r="A119" s="132">
        <f>Données!A119</f>
        <v>5604</v>
      </c>
      <c r="B119" s="27" t="str">
        <f>Données!B119</f>
        <v>Forel (Lavaux)</v>
      </c>
      <c r="C119" s="291">
        <f>VPI!R119</f>
        <v>70958.245217391304</v>
      </c>
      <c r="D119" s="27">
        <f>Données!Z119</f>
        <v>2067</v>
      </c>
      <c r="E119" s="88">
        <f t="shared" si="13"/>
        <v>34.329097831345578</v>
      </c>
      <c r="F119" s="147">
        <f t="shared" si="14"/>
        <v>0.71654831319624857</v>
      </c>
      <c r="G119" s="393">
        <f t="shared" si="15"/>
        <v>0</v>
      </c>
      <c r="H119" s="393">
        <f t="shared" si="16"/>
        <v>0</v>
      </c>
      <c r="I119" s="393">
        <f t="shared" si="17"/>
        <v>0</v>
      </c>
      <c r="J119" s="393">
        <f t="shared" si="18"/>
        <v>0</v>
      </c>
      <c r="K119" s="393">
        <f t="shared" si="19"/>
        <v>0</v>
      </c>
      <c r="L119" s="395">
        <f t="shared" si="20"/>
        <v>0</v>
      </c>
      <c r="M119" s="250">
        <f>L119*D119*VPI!Q119</f>
        <v>0</v>
      </c>
    </row>
    <row r="120" spans="1:13" x14ac:dyDescent="0.25">
      <c r="A120" s="132">
        <f>Données!A120</f>
        <v>5606</v>
      </c>
      <c r="B120" s="27" t="str">
        <f>Données!B120</f>
        <v>Lutry</v>
      </c>
      <c r="C120" s="291">
        <f>VPI!R120</f>
        <v>1017485.9645767196</v>
      </c>
      <c r="D120" s="27">
        <f>Données!Z120</f>
        <v>10713</v>
      </c>
      <c r="E120" s="88">
        <f t="shared" si="13"/>
        <v>94.976753904295677</v>
      </c>
      <c r="F120" s="147">
        <f t="shared" si="14"/>
        <v>1.9824416341299103</v>
      </c>
      <c r="G120" s="393">
        <f t="shared" si="15"/>
        <v>47.067775264437365</v>
      </c>
      <c r="H120" s="393">
        <f t="shared" si="16"/>
        <v>37.485979536465706</v>
      </c>
      <c r="I120" s="393">
        <f t="shared" si="17"/>
        <v>23.113285944508206</v>
      </c>
      <c r="J120" s="393">
        <f t="shared" si="18"/>
        <v>0</v>
      </c>
      <c r="K120" s="393">
        <f t="shared" si="19"/>
        <v>0</v>
      </c>
      <c r="L120" s="395">
        <f t="shared" si="20"/>
        <v>15.473481600984865</v>
      </c>
      <c r="M120" s="250">
        <f>L120*D120*VPI!Q120</f>
        <v>8951440.0531329457</v>
      </c>
    </row>
    <row r="121" spans="1:13" x14ac:dyDescent="0.25">
      <c r="A121" s="132">
        <f>Données!A121</f>
        <v>5607</v>
      </c>
      <c r="B121" s="27" t="str">
        <f>Données!B121</f>
        <v>Puidoux</v>
      </c>
      <c r="C121" s="291">
        <f>VPI!R121</f>
        <v>117488.86391621709</v>
      </c>
      <c r="D121" s="27">
        <f>Données!Z121</f>
        <v>2991</v>
      </c>
      <c r="E121" s="88">
        <f t="shared" si="13"/>
        <v>39.280797029828513</v>
      </c>
      <c r="F121" s="147">
        <f t="shared" si="14"/>
        <v>0.81990470565257456</v>
      </c>
      <c r="G121" s="393">
        <f t="shared" si="15"/>
        <v>0</v>
      </c>
      <c r="H121" s="393">
        <f t="shared" si="16"/>
        <v>0</v>
      </c>
      <c r="I121" s="393">
        <f t="shared" si="17"/>
        <v>0</v>
      </c>
      <c r="J121" s="393">
        <f t="shared" si="18"/>
        <v>0</v>
      </c>
      <c r="K121" s="393">
        <f t="shared" si="19"/>
        <v>0</v>
      </c>
      <c r="L121" s="395">
        <f t="shared" si="20"/>
        <v>0</v>
      </c>
      <c r="M121" s="250">
        <f>L121*D121*VPI!Q121</f>
        <v>0</v>
      </c>
    </row>
    <row r="122" spans="1:13" x14ac:dyDescent="0.25">
      <c r="A122" s="132">
        <f>Données!A122</f>
        <v>5609</v>
      </c>
      <c r="B122" s="27" t="str">
        <f>Données!B122</f>
        <v>Rivaz</v>
      </c>
      <c r="C122" s="291">
        <f>VPI!R122</f>
        <v>14930.074677419358</v>
      </c>
      <c r="D122" s="27">
        <f>Données!Z122</f>
        <v>332</v>
      </c>
      <c r="E122" s="88">
        <f t="shared" si="13"/>
        <v>44.970104450058308</v>
      </c>
      <c r="F122" s="147">
        <f t="shared" si="14"/>
        <v>0.9386571312260249</v>
      </c>
      <c r="G122" s="393">
        <f t="shared" si="15"/>
        <v>0</v>
      </c>
      <c r="H122" s="393">
        <f t="shared" si="16"/>
        <v>0</v>
      </c>
      <c r="I122" s="393">
        <f t="shared" si="17"/>
        <v>0</v>
      </c>
      <c r="J122" s="393">
        <f t="shared" si="18"/>
        <v>0</v>
      </c>
      <c r="K122" s="393">
        <f t="shared" si="19"/>
        <v>0</v>
      </c>
      <c r="L122" s="395">
        <f t="shared" si="20"/>
        <v>0</v>
      </c>
      <c r="M122" s="250">
        <f>L122*D122*VPI!Q122</f>
        <v>0</v>
      </c>
    </row>
    <row r="123" spans="1:13" x14ac:dyDescent="0.25">
      <c r="A123" s="132">
        <f>Données!A123</f>
        <v>5610</v>
      </c>
      <c r="B123" s="27" t="str">
        <f>Données!B123</f>
        <v>St-Saphorin (Lavaux)</v>
      </c>
      <c r="C123" s="291">
        <f>VPI!R123</f>
        <v>21326.365740740741</v>
      </c>
      <c r="D123" s="27">
        <f>Données!Z123</f>
        <v>402</v>
      </c>
      <c r="E123" s="88">
        <f t="shared" si="13"/>
        <v>53.050661046618757</v>
      </c>
      <c r="F123" s="147">
        <f t="shared" si="14"/>
        <v>1.1073218956599249</v>
      </c>
      <c r="G123" s="393">
        <f t="shared" si="15"/>
        <v>5.1416824067604452</v>
      </c>
      <c r="H123" s="393">
        <f t="shared" si="16"/>
        <v>0</v>
      </c>
      <c r="I123" s="393">
        <f t="shared" si="17"/>
        <v>0</v>
      </c>
      <c r="J123" s="393">
        <f t="shared" si="18"/>
        <v>0</v>
      </c>
      <c r="K123" s="393">
        <f t="shared" si="19"/>
        <v>0</v>
      </c>
      <c r="L123" s="395">
        <f t="shared" si="20"/>
        <v>1.028336481352089</v>
      </c>
      <c r="M123" s="250">
        <f>L123*D123*VPI!Q123</f>
        <v>29764.171116254864</v>
      </c>
    </row>
    <row r="124" spans="1:13" x14ac:dyDescent="0.25">
      <c r="A124" s="132">
        <f>Données!A124</f>
        <v>5611</v>
      </c>
      <c r="B124" s="27" t="str">
        <f>Données!B124</f>
        <v>Savigny</v>
      </c>
      <c r="C124" s="291">
        <f>VPI!R124</f>
        <v>139625.83456521737</v>
      </c>
      <c r="D124" s="27">
        <f>Données!Z124</f>
        <v>3421</v>
      </c>
      <c r="E124" s="88">
        <f t="shared" si="13"/>
        <v>40.814333401115867</v>
      </c>
      <c r="F124" s="147">
        <f t="shared" si="14"/>
        <v>0.85191407873512903</v>
      </c>
      <c r="G124" s="393">
        <f t="shared" si="15"/>
        <v>0</v>
      </c>
      <c r="H124" s="393">
        <f t="shared" si="16"/>
        <v>0</v>
      </c>
      <c r="I124" s="393">
        <f t="shared" si="17"/>
        <v>0</v>
      </c>
      <c r="J124" s="393">
        <f t="shared" si="18"/>
        <v>0</v>
      </c>
      <c r="K124" s="393">
        <f t="shared" si="19"/>
        <v>0</v>
      </c>
      <c r="L124" s="395">
        <f t="shared" si="20"/>
        <v>0</v>
      </c>
      <c r="M124" s="250">
        <f>L124*D124*VPI!Q124</f>
        <v>0</v>
      </c>
    </row>
    <row r="125" spans="1:13" x14ac:dyDescent="0.25">
      <c r="A125" s="132">
        <f>Données!A125</f>
        <v>5613</v>
      </c>
      <c r="B125" s="27" t="str">
        <f>Données!B125</f>
        <v>Bourg-en-Lavaux</v>
      </c>
      <c r="C125" s="291">
        <f>VPI!R125</f>
        <v>367203.96533333336</v>
      </c>
      <c r="D125" s="27">
        <f>Données!Z125</f>
        <v>5389</v>
      </c>
      <c r="E125" s="88">
        <f t="shared" si="13"/>
        <v>68.139537081709662</v>
      </c>
      <c r="F125" s="147">
        <f t="shared" si="14"/>
        <v>1.4222707103386327</v>
      </c>
      <c r="G125" s="393">
        <f t="shared" si="15"/>
        <v>20.23055844185135</v>
      </c>
      <c r="H125" s="393">
        <f t="shared" si="16"/>
        <v>10.648762713879691</v>
      </c>
      <c r="I125" s="393">
        <f t="shared" si="17"/>
        <v>0</v>
      </c>
      <c r="J125" s="393">
        <f t="shared" si="18"/>
        <v>0</v>
      </c>
      <c r="K125" s="393">
        <f t="shared" si="19"/>
        <v>0</v>
      </c>
      <c r="L125" s="395">
        <f t="shared" si="20"/>
        <v>5.1109879597582388</v>
      </c>
      <c r="M125" s="250">
        <f>L125*D125*VPI!Q125</f>
        <v>1721444.6321960718</v>
      </c>
    </row>
    <row r="126" spans="1:13" x14ac:dyDescent="0.25">
      <c r="A126" s="132">
        <f>Données!A126</f>
        <v>5621</v>
      </c>
      <c r="B126" s="27" t="str">
        <f>Données!B126</f>
        <v>Aclens</v>
      </c>
      <c r="C126" s="291">
        <f>VPI!R126</f>
        <v>39195.040043988265</v>
      </c>
      <c r="D126" s="27">
        <f>Données!Z126</f>
        <v>557</v>
      </c>
      <c r="E126" s="88">
        <f t="shared" si="13"/>
        <v>70.368114980230274</v>
      </c>
      <c r="F126" s="147">
        <f t="shared" si="14"/>
        <v>1.4687876255764485</v>
      </c>
      <c r="G126" s="393">
        <f t="shared" si="15"/>
        <v>22.459136340371963</v>
      </c>
      <c r="H126" s="393">
        <f t="shared" si="16"/>
        <v>12.877340612400303</v>
      </c>
      <c r="I126" s="393">
        <f t="shared" si="17"/>
        <v>0</v>
      </c>
      <c r="J126" s="393">
        <f t="shared" si="18"/>
        <v>0</v>
      </c>
      <c r="K126" s="393">
        <f t="shared" si="19"/>
        <v>0</v>
      </c>
      <c r="L126" s="395">
        <f t="shared" si="20"/>
        <v>5.779561329314423</v>
      </c>
      <c r="M126" s="250">
        <f>L126*D126*VPI!Q126</f>
        <v>199591.37094654428</v>
      </c>
    </row>
    <row r="127" spans="1:13" x14ac:dyDescent="0.25">
      <c r="A127" s="132">
        <f>Données!A127</f>
        <v>5622</v>
      </c>
      <c r="B127" s="27" t="str">
        <f>Données!B127</f>
        <v>Bremblens</v>
      </c>
      <c r="C127" s="291">
        <f>VPI!R127</f>
        <v>30851.898676470591</v>
      </c>
      <c r="D127" s="27">
        <f>Données!Z127</f>
        <v>604</v>
      </c>
      <c r="E127" s="88">
        <f t="shared" si="13"/>
        <v>51.079302444487737</v>
      </c>
      <c r="F127" s="147">
        <f t="shared" si="14"/>
        <v>1.0661738967232302</v>
      </c>
      <c r="G127" s="393">
        <f t="shared" si="15"/>
        <v>3.170323804629426</v>
      </c>
      <c r="H127" s="393">
        <f t="shared" si="16"/>
        <v>0</v>
      </c>
      <c r="I127" s="393">
        <f t="shared" si="17"/>
        <v>0</v>
      </c>
      <c r="J127" s="393">
        <f t="shared" si="18"/>
        <v>0</v>
      </c>
      <c r="K127" s="393">
        <f t="shared" si="19"/>
        <v>0</v>
      </c>
      <c r="L127" s="395">
        <f t="shared" si="20"/>
        <v>0.63406476092588526</v>
      </c>
      <c r="M127" s="250">
        <f>L127*D127*VPI!Q127</f>
        <v>26042.307860747958</v>
      </c>
    </row>
    <row r="128" spans="1:13" x14ac:dyDescent="0.25">
      <c r="A128" s="132">
        <f>Données!A128</f>
        <v>5623</v>
      </c>
      <c r="B128" s="27" t="str">
        <f>Données!B128</f>
        <v>Buchillon</v>
      </c>
      <c r="C128" s="291">
        <f>VPI!R128</f>
        <v>88400.607692307691</v>
      </c>
      <c r="D128" s="27">
        <f>Données!Z128</f>
        <v>670</v>
      </c>
      <c r="E128" s="88">
        <f t="shared" si="13"/>
        <v>131.941205510907</v>
      </c>
      <c r="F128" s="147">
        <f t="shared" si="14"/>
        <v>2.7539974605331556</v>
      </c>
      <c r="G128" s="393">
        <f t="shared" si="15"/>
        <v>84.032226871048692</v>
      </c>
      <c r="H128" s="393">
        <f t="shared" si="16"/>
        <v>74.450431143077026</v>
      </c>
      <c r="I128" s="393">
        <f t="shared" si="17"/>
        <v>60.077737551119526</v>
      </c>
      <c r="J128" s="393">
        <f t="shared" si="18"/>
        <v>36.123248231190374</v>
      </c>
      <c r="K128" s="393">
        <f t="shared" si="19"/>
        <v>0</v>
      </c>
      <c r="L128" s="395">
        <f t="shared" si="20"/>
        <v>33.871587066748432</v>
      </c>
      <c r="M128" s="250">
        <f>L128*D128*VPI!Q128</f>
        <v>1180086.0934055154</v>
      </c>
    </row>
    <row r="129" spans="1:13" x14ac:dyDescent="0.25">
      <c r="A129" s="132">
        <f>Données!A129</f>
        <v>5624</v>
      </c>
      <c r="B129" s="27" t="str">
        <f>Données!B129</f>
        <v>Bussigny</v>
      </c>
      <c r="C129" s="291">
        <f>VPI!R129</f>
        <v>394274.86895999993</v>
      </c>
      <c r="D129" s="27">
        <f>Données!Z129</f>
        <v>10392</v>
      </c>
      <c r="E129" s="88">
        <f t="shared" si="13"/>
        <v>37.940229884526552</v>
      </c>
      <c r="F129" s="147">
        <f t="shared" si="14"/>
        <v>0.79192316266500062</v>
      </c>
      <c r="G129" s="393">
        <f t="shared" si="15"/>
        <v>0</v>
      </c>
      <c r="H129" s="393">
        <f t="shared" si="16"/>
        <v>0</v>
      </c>
      <c r="I129" s="393">
        <f t="shared" si="17"/>
        <v>0</v>
      </c>
      <c r="J129" s="393">
        <f t="shared" si="18"/>
        <v>0</v>
      </c>
      <c r="K129" s="393">
        <f t="shared" si="19"/>
        <v>0</v>
      </c>
      <c r="L129" s="395">
        <f t="shared" si="20"/>
        <v>0</v>
      </c>
      <c r="M129" s="250">
        <f>L129*D129*VPI!Q129</f>
        <v>0</v>
      </c>
    </row>
    <row r="130" spans="1:13" x14ac:dyDescent="0.25">
      <c r="A130" s="132">
        <f>Données!A130</f>
        <v>5627</v>
      </c>
      <c r="B130" s="27" t="str">
        <f>Données!B130</f>
        <v>Chavannes-près-Renens</v>
      </c>
      <c r="C130" s="291">
        <f>VPI!R130</f>
        <v>188678.11200000002</v>
      </c>
      <c r="D130" s="27">
        <f>Données!Z130</f>
        <v>8725</v>
      </c>
      <c r="E130" s="88">
        <f t="shared" si="13"/>
        <v>21.624998510028657</v>
      </c>
      <c r="F130" s="147">
        <f t="shared" si="14"/>
        <v>0.451376738222458</v>
      </c>
      <c r="G130" s="393">
        <f t="shared" si="15"/>
        <v>0</v>
      </c>
      <c r="H130" s="393">
        <f t="shared" si="16"/>
        <v>0</v>
      </c>
      <c r="I130" s="393">
        <f t="shared" si="17"/>
        <v>0</v>
      </c>
      <c r="J130" s="393">
        <f t="shared" si="18"/>
        <v>0</v>
      </c>
      <c r="K130" s="393">
        <f t="shared" si="19"/>
        <v>0</v>
      </c>
      <c r="L130" s="395">
        <f t="shared" si="20"/>
        <v>0</v>
      </c>
      <c r="M130" s="250">
        <f>L130*D130*VPI!Q130</f>
        <v>0</v>
      </c>
    </row>
    <row r="131" spans="1:13" x14ac:dyDescent="0.25">
      <c r="A131" s="132">
        <f>Données!A131</f>
        <v>5628</v>
      </c>
      <c r="B131" s="27" t="str">
        <f>Données!B131</f>
        <v>Chigny</v>
      </c>
      <c r="C131" s="291">
        <f>VPI!R131</f>
        <v>27627.246129032257</v>
      </c>
      <c r="D131" s="27">
        <f>Données!Z131</f>
        <v>419</v>
      </c>
      <c r="E131" s="88">
        <f t="shared" si="13"/>
        <v>65.936148279313258</v>
      </c>
      <c r="F131" s="147">
        <f t="shared" si="14"/>
        <v>1.3762795649426991</v>
      </c>
      <c r="G131" s="393">
        <f t="shared" si="15"/>
        <v>18.027169639454947</v>
      </c>
      <c r="H131" s="393">
        <f t="shared" si="16"/>
        <v>8.4453739114832871</v>
      </c>
      <c r="I131" s="393">
        <f t="shared" si="17"/>
        <v>0</v>
      </c>
      <c r="J131" s="393">
        <f t="shared" si="18"/>
        <v>0</v>
      </c>
      <c r="K131" s="393">
        <f t="shared" si="19"/>
        <v>0</v>
      </c>
      <c r="L131" s="395">
        <f t="shared" si="20"/>
        <v>4.4499713190393182</v>
      </c>
      <c r="M131" s="250">
        <f>L131*D131*VPI!Q131</f>
        <v>115601.35492600341</v>
      </c>
    </row>
    <row r="132" spans="1:13" x14ac:dyDescent="0.25">
      <c r="A132" s="132">
        <f>Données!A132</f>
        <v>5629</v>
      </c>
      <c r="B132" s="27" t="str">
        <f>Données!B132</f>
        <v>Clarmont</v>
      </c>
      <c r="C132" s="291">
        <f>VPI!R132</f>
        <v>9964.5079166666674</v>
      </c>
      <c r="D132" s="27">
        <f>Données!Z132</f>
        <v>213</v>
      </c>
      <c r="E132" s="88">
        <f t="shared" si="13"/>
        <v>46.781727308294215</v>
      </c>
      <c r="F132" s="147">
        <f t="shared" si="14"/>
        <v>0.97647097968758889</v>
      </c>
      <c r="G132" s="393">
        <f t="shared" si="15"/>
        <v>0</v>
      </c>
      <c r="H132" s="393">
        <f t="shared" si="16"/>
        <v>0</v>
      </c>
      <c r="I132" s="393">
        <f t="shared" si="17"/>
        <v>0</v>
      </c>
      <c r="J132" s="393">
        <f t="shared" si="18"/>
        <v>0</v>
      </c>
      <c r="K132" s="393">
        <f t="shared" si="19"/>
        <v>0</v>
      </c>
      <c r="L132" s="395">
        <f t="shared" si="20"/>
        <v>0</v>
      </c>
      <c r="M132" s="250">
        <f>L132*D132*VPI!Q132</f>
        <v>0</v>
      </c>
    </row>
    <row r="133" spans="1:13" x14ac:dyDescent="0.25">
      <c r="A133" s="132">
        <f>Données!A133</f>
        <v>5631</v>
      </c>
      <c r="B133" s="27" t="str">
        <f>Données!B133</f>
        <v>Denens</v>
      </c>
      <c r="C133" s="291">
        <f>VPI!R133</f>
        <v>41714.033529411769</v>
      </c>
      <c r="D133" s="27">
        <f>Données!Z133</f>
        <v>715</v>
      </c>
      <c r="E133" s="88">
        <f t="shared" si="13"/>
        <v>58.341305635540934</v>
      </c>
      <c r="F133" s="147">
        <f t="shared" si="14"/>
        <v>1.217753066165417</v>
      </c>
      <c r="G133" s="393">
        <f t="shared" si="15"/>
        <v>10.432326995682622</v>
      </c>
      <c r="H133" s="393">
        <f t="shared" si="16"/>
        <v>0.85053126771096288</v>
      </c>
      <c r="I133" s="393">
        <f t="shared" si="17"/>
        <v>0</v>
      </c>
      <c r="J133" s="393">
        <f t="shared" si="18"/>
        <v>0</v>
      </c>
      <c r="K133" s="393">
        <f t="shared" si="19"/>
        <v>0</v>
      </c>
      <c r="L133" s="395">
        <f t="shared" si="20"/>
        <v>2.1715185259076208</v>
      </c>
      <c r="M133" s="250">
        <f>L133*D133*VPI!Q133</f>
        <v>105579.23072962853</v>
      </c>
    </row>
    <row r="134" spans="1:13" x14ac:dyDescent="0.25">
      <c r="A134" s="132">
        <f>Données!A134</f>
        <v>5632</v>
      </c>
      <c r="B134" s="27" t="str">
        <f>Données!B134</f>
        <v>Denges</v>
      </c>
      <c r="C134" s="291">
        <f>VPI!R134</f>
        <v>81638.998870967742</v>
      </c>
      <c r="D134" s="27">
        <f>Données!Z134</f>
        <v>1778</v>
      </c>
      <c r="E134" s="88">
        <f t="shared" si="13"/>
        <v>45.91619734025182</v>
      </c>
      <c r="F134" s="147">
        <f t="shared" si="14"/>
        <v>0.95840484693721739</v>
      </c>
      <c r="G134" s="393">
        <f t="shared" si="15"/>
        <v>0</v>
      </c>
      <c r="H134" s="393">
        <f t="shared" si="16"/>
        <v>0</v>
      </c>
      <c r="I134" s="393">
        <f t="shared" si="17"/>
        <v>0</v>
      </c>
      <c r="J134" s="393">
        <f t="shared" si="18"/>
        <v>0</v>
      </c>
      <c r="K134" s="393">
        <f t="shared" si="19"/>
        <v>0</v>
      </c>
      <c r="L134" s="395">
        <f t="shared" si="20"/>
        <v>0</v>
      </c>
      <c r="M134" s="250">
        <f>L134*D134*VPI!Q134</f>
        <v>0</v>
      </c>
    </row>
    <row r="135" spans="1:13" x14ac:dyDescent="0.25">
      <c r="A135" s="132">
        <f>Données!A135</f>
        <v>5633</v>
      </c>
      <c r="B135" s="27" t="str">
        <f>Données!B135</f>
        <v>Echandens</v>
      </c>
      <c r="C135" s="291">
        <f>VPI!R135</f>
        <v>149828.14198347108</v>
      </c>
      <c r="D135" s="27">
        <f>Données!Z135</f>
        <v>2891</v>
      </c>
      <c r="E135" s="88">
        <f t="shared" ref="E135:E198" si="21">C135/D135</f>
        <v>51.825714971799059</v>
      </c>
      <c r="F135" s="147">
        <f t="shared" ref="F135:F198" si="22">E135/$E$306</f>
        <v>1.0817537013548892</v>
      </c>
      <c r="G135" s="393">
        <f t="shared" ref="G135:G198" si="23">IF(E135-$G$3&lt;0,0,E135-$G$3)</f>
        <v>3.9167363319407471</v>
      </c>
      <c r="H135" s="393">
        <f t="shared" ref="H135:H198" si="24">IF(E135-$H$3&lt;0,0,E135-$H$3)</f>
        <v>0</v>
      </c>
      <c r="I135" s="393">
        <f t="shared" ref="I135:I198" si="25">IF(E135-$I$3&lt;0,0,E135-$I$3)</f>
        <v>0</v>
      </c>
      <c r="J135" s="393">
        <f t="shared" ref="J135:J198" si="26">IF(E135-$J$3&lt;0,0,E135-$J$3)</f>
        <v>0</v>
      </c>
      <c r="K135" s="393">
        <f t="shared" ref="K135:K198" si="27">IF(E135-$K$3&lt;0,0,E135-$K$3)</f>
        <v>0</v>
      </c>
      <c r="L135" s="395">
        <f t="shared" ref="L135:L198" si="28">(G135-H135)*$G$4+(H135-I135)*$H$4+(I135-J135)*$I$4+(J135-K135)*$J$4+(K135*$K$4)</f>
        <v>0.78334726638814944</v>
      </c>
      <c r="M135" s="250">
        <f>L135*D135*VPI!Q135</f>
        <v>137011.74530125246</v>
      </c>
    </row>
    <row r="136" spans="1:13" x14ac:dyDescent="0.25">
      <c r="A136" s="132">
        <f>Données!A136</f>
        <v>5634</v>
      </c>
      <c r="B136" s="27" t="str">
        <f>Données!B136</f>
        <v>Echichens</v>
      </c>
      <c r="C136" s="291">
        <f>VPI!R136</f>
        <v>183136.60893939398</v>
      </c>
      <c r="D136" s="27">
        <f>Données!Z136</f>
        <v>3211</v>
      </c>
      <c r="E136" s="88">
        <f t="shared" si="21"/>
        <v>57.034135452941129</v>
      </c>
      <c r="F136" s="147">
        <f t="shared" si="22"/>
        <v>1.1904686151144759</v>
      </c>
      <c r="G136" s="393">
        <f t="shared" si="23"/>
        <v>9.1251568130828176</v>
      </c>
      <c r="H136" s="393">
        <f t="shared" si="24"/>
        <v>0</v>
      </c>
      <c r="I136" s="393">
        <f t="shared" si="25"/>
        <v>0</v>
      </c>
      <c r="J136" s="393">
        <f t="shared" si="26"/>
        <v>0</v>
      </c>
      <c r="K136" s="393">
        <f t="shared" si="27"/>
        <v>0</v>
      </c>
      <c r="L136" s="395">
        <f t="shared" si="28"/>
        <v>1.8250313626165635</v>
      </c>
      <c r="M136" s="250">
        <f>L136*D136*VPI!Q136</f>
        <v>386771.59655387787</v>
      </c>
    </row>
    <row r="137" spans="1:13" x14ac:dyDescent="0.25">
      <c r="A137" s="132">
        <f>Données!A137</f>
        <v>5635</v>
      </c>
      <c r="B137" s="27" t="str">
        <f>Données!B137</f>
        <v>Ecublens</v>
      </c>
      <c r="C137" s="291">
        <f>VPI!R137</f>
        <v>516098.45949333342</v>
      </c>
      <c r="D137" s="27">
        <f>Données!Z137</f>
        <v>13129</v>
      </c>
      <c r="E137" s="88">
        <f t="shared" si="21"/>
        <v>39.309807258232418</v>
      </c>
      <c r="F137" s="147">
        <f t="shared" si="22"/>
        <v>0.82051023366063303</v>
      </c>
      <c r="G137" s="393">
        <f t="shared" si="23"/>
        <v>0</v>
      </c>
      <c r="H137" s="393">
        <f t="shared" si="24"/>
        <v>0</v>
      </c>
      <c r="I137" s="393">
        <f t="shared" si="25"/>
        <v>0</v>
      </c>
      <c r="J137" s="393">
        <f t="shared" si="26"/>
        <v>0</v>
      </c>
      <c r="K137" s="393">
        <f t="shared" si="27"/>
        <v>0</v>
      </c>
      <c r="L137" s="395">
        <f t="shared" si="28"/>
        <v>0</v>
      </c>
      <c r="M137" s="250">
        <f>L137*D137*VPI!Q137</f>
        <v>0</v>
      </c>
    </row>
    <row r="138" spans="1:13" x14ac:dyDescent="0.25">
      <c r="A138" s="132">
        <f>Données!A138</f>
        <v>5636</v>
      </c>
      <c r="B138" s="27" t="str">
        <f>Données!B138</f>
        <v>Etoy</v>
      </c>
      <c r="C138" s="291">
        <f>VPI!R138</f>
        <v>189426.47833333336</v>
      </c>
      <c r="D138" s="27">
        <f>Données!Z138</f>
        <v>2938</v>
      </c>
      <c r="E138" s="88">
        <f t="shared" si="21"/>
        <v>64.474635239391887</v>
      </c>
      <c r="F138" s="147">
        <f t="shared" si="22"/>
        <v>1.3457735286753041</v>
      </c>
      <c r="G138" s="393">
        <f t="shared" si="23"/>
        <v>16.565656599533575</v>
      </c>
      <c r="H138" s="393">
        <f t="shared" si="24"/>
        <v>6.9838608715619159</v>
      </c>
      <c r="I138" s="393">
        <f t="shared" si="25"/>
        <v>0</v>
      </c>
      <c r="J138" s="393">
        <f t="shared" si="26"/>
        <v>0</v>
      </c>
      <c r="K138" s="393">
        <f t="shared" si="27"/>
        <v>0</v>
      </c>
      <c r="L138" s="395">
        <f t="shared" si="28"/>
        <v>4.0115174070629074</v>
      </c>
      <c r="M138" s="250">
        <f>L138*D138*VPI!Q138</f>
        <v>707150.28851704928</v>
      </c>
    </row>
    <row r="139" spans="1:13" x14ac:dyDescent="0.25">
      <c r="A139" s="132">
        <f>Données!A139</f>
        <v>5637</v>
      </c>
      <c r="B139" s="27" t="str">
        <f>Données!B139</f>
        <v>Lavigny</v>
      </c>
      <c r="C139" s="291">
        <f>VPI!R139</f>
        <v>36293.251369863014</v>
      </c>
      <c r="D139" s="27">
        <f>Données!Z139</f>
        <v>1038</v>
      </c>
      <c r="E139" s="88">
        <f t="shared" si="21"/>
        <v>34.964596695436427</v>
      </c>
      <c r="F139" s="147">
        <f t="shared" si="22"/>
        <v>0.72981302645319412</v>
      </c>
      <c r="G139" s="393">
        <f t="shared" si="23"/>
        <v>0</v>
      </c>
      <c r="H139" s="393">
        <f t="shared" si="24"/>
        <v>0</v>
      </c>
      <c r="I139" s="393">
        <f t="shared" si="25"/>
        <v>0</v>
      </c>
      <c r="J139" s="393">
        <f t="shared" si="26"/>
        <v>0</v>
      </c>
      <c r="K139" s="393">
        <f t="shared" si="27"/>
        <v>0</v>
      </c>
      <c r="L139" s="395">
        <f t="shared" si="28"/>
        <v>0</v>
      </c>
      <c r="M139" s="250">
        <f>L139*D139*VPI!Q139</f>
        <v>0</v>
      </c>
    </row>
    <row r="140" spans="1:13" x14ac:dyDescent="0.25">
      <c r="A140" s="132">
        <f>Données!A140</f>
        <v>5638</v>
      </c>
      <c r="B140" s="27" t="str">
        <f>Données!B140</f>
        <v>Lonay</v>
      </c>
      <c r="C140" s="291">
        <f>VPI!R140</f>
        <v>153885.49272727271</v>
      </c>
      <c r="D140" s="27">
        <f>Données!Z140</f>
        <v>2675</v>
      </c>
      <c r="E140" s="88">
        <f t="shared" si="21"/>
        <v>57.527287000849611</v>
      </c>
      <c r="F140" s="147">
        <f t="shared" si="22"/>
        <v>1.2007621250558087</v>
      </c>
      <c r="G140" s="393">
        <f t="shared" si="23"/>
        <v>9.6183083609912998</v>
      </c>
      <c r="H140" s="393">
        <f t="shared" si="24"/>
        <v>3.6512633019640361E-2</v>
      </c>
      <c r="I140" s="393">
        <f t="shared" si="25"/>
        <v>0</v>
      </c>
      <c r="J140" s="393">
        <f t="shared" si="26"/>
        <v>0</v>
      </c>
      <c r="K140" s="393">
        <f t="shared" si="27"/>
        <v>0</v>
      </c>
      <c r="L140" s="395">
        <f t="shared" si="28"/>
        <v>1.9273129355002241</v>
      </c>
      <c r="M140" s="250">
        <f>L140*D140*VPI!Q140</f>
        <v>283555.91563547048</v>
      </c>
    </row>
    <row r="141" spans="1:13" x14ac:dyDescent="0.25">
      <c r="A141" s="132">
        <f>Données!A141</f>
        <v>5639</v>
      </c>
      <c r="B141" s="27" t="str">
        <f>Données!B141</f>
        <v>Lully</v>
      </c>
      <c r="C141" s="291">
        <f>VPI!R141</f>
        <v>52241.230983606554</v>
      </c>
      <c r="D141" s="27">
        <f>Données!Z141</f>
        <v>825</v>
      </c>
      <c r="E141" s="88">
        <f t="shared" si="21"/>
        <v>63.322704222553398</v>
      </c>
      <c r="F141" s="147">
        <f t="shared" si="22"/>
        <v>1.3217293714099656</v>
      </c>
      <c r="G141" s="393">
        <f t="shared" si="23"/>
        <v>15.413725582695086</v>
      </c>
      <c r="H141" s="393">
        <f t="shared" si="24"/>
        <v>5.8319298547234268</v>
      </c>
      <c r="I141" s="393">
        <f t="shared" si="25"/>
        <v>0</v>
      </c>
      <c r="J141" s="393">
        <f t="shared" si="26"/>
        <v>0</v>
      </c>
      <c r="K141" s="393">
        <f t="shared" si="27"/>
        <v>0</v>
      </c>
      <c r="L141" s="395">
        <f t="shared" si="28"/>
        <v>3.6659381020113599</v>
      </c>
      <c r="M141" s="250">
        <f>L141*D141*VPI!Q141</f>
        <v>184488.3349837217</v>
      </c>
    </row>
    <row r="142" spans="1:13" x14ac:dyDescent="0.25">
      <c r="A142" s="132">
        <f>Données!A142</f>
        <v>5640</v>
      </c>
      <c r="B142" s="27" t="str">
        <f>Données!B142</f>
        <v>Lussy-sur-Morges</v>
      </c>
      <c r="C142" s="291">
        <f>VPI!R142</f>
        <v>57770.543875968993</v>
      </c>
      <c r="D142" s="27">
        <f>Données!Z142</f>
        <v>730</v>
      </c>
      <c r="E142" s="88">
        <f t="shared" si="21"/>
        <v>79.13773133694383</v>
      </c>
      <c r="F142" s="147">
        <f t="shared" si="22"/>
        <v>1.6518350752546511</v>
      </c>
      <c r="G142" s="393">
        <f t="shared" si="23"/>
        <v>31.228752697085518</v>
      </c>
      <c r="H142" s="393">
        <f t="shared" si="24"/>
        <v>21.646956969113859</v>
      </c>
      <c r="I142" s="393">
        <f t="shared" si="25"/>
        <v>7.274263377156359</v>
      </c>
      <c r="J142" s="393">
        <f t="shared" si="26"/>
        <v>0</v>
      </c>
      <c r="K142" s="393">
        <f t="shared" si="27"/>
        <v>0</v>
      </c>
      <c r="L142" s="395">
        <f t="shared" si="28"/>
        <v>9.1378725740441258</v>
      </c>
      <c r="M142" s="250">
        <f>L142*D142*VPI!Q142</f>
        <v>430256.73014886765</v>
      </c>
    </row>
    <row r="143" spans="1:13" x14ac:dyDescent="0.25">
      <c r="A143" s="132">
        <f>Données!A143</f>
        <v>5642</v>
      </c>
      <c r="B143" s="27" t="str">
        <f>Données!B143</f>
        <v>Morges</v>
      </c>
      <c r="C143" s="291">
        <f>VPI!R143</f>
        <v>920688.7619402986</v>
      </c>
      <c r="D143" s="27">
        <f>Données!Z143</f>
        <v>17530</v>
      </c>
      <c r="E143" s="88">
        <f t="shared" si="21"/>
        <v>52.520750823747782</v>
      </c>
      <c r="F143" s="147">
        <f t="shared" si="22"/>
        <v>1.0962611250504235</v>
      </c>
      <c r="G143" s="393">
        <f t="shared" si="23"/>
        <v>4.611772183889471</v>
      </c>
      <c r="H143" s="393">
        <f t="shared" si="24"/>
        <v>0</v>
      </c>
      <c r="I143" s="393">
        <f t="shared" si="25"/>
        <v>0</v>
      </c>
      <c r="J143" s="393">
        <f t="shared" si="26"/>
        <v>0</v>
      </c>
      <c r="K143" s="393">
        <f t="shared" si="27"/>
        <v>0</v>
      </c>
      <c r="L143" s="395">
        <f t="shared" si="28"/>
        <v>0.92235443677789419</v>
      </c>
      <c r="M143" s="250">
        <f>L143*D143*VPI!Q143</f>
        <v>1083314.5095400044</v>
      </c>
    </row>
    <row r="144" spans="1:13" x14ac:dyDescent="0.25">
      <c r="A144" s="132">
        <f>Données!A144</f>
        <v>5643</v>
      </c>
      <c r="B144" s="27" t="str">
        <f>Données!B144</f>
        <v>Préverenges</v>
      </c>
      <c r="C144" s="291">
        <f>VPI!R144</f>
        <v>252718.14639999994</v>
      </c>
      <c r="D144" s="27">
        <f>Données!Z144</f>
        <v>5209</v>
      </c>
      <c r="E144" s="88">
        <f t="shared" si="21"/>
        <v>48.515674102514865</v>
      </c>
      <c r="F144" s="147">
        <f t="shared" si="22"/>
        <v>1.0126635023304755</v>
      </c>
      <c r="G144" s="393">
        <f t="shared" si="23"/>
        <v>0.60669546265655327</v>
      </c>
      <c r="H144" s="393">
        <f t="shared" si="24"/>
        <v>0</v>
      </c>
      <c r="I144" s="393">
        <f t="shared" si="25"/>
        <v>0</v>
      </c>
      <c r="J144" s="393">
        <f t="shared" si="26"/>
        <v>0</v>
      </c>
      <c r="K144" s="393">
        <f t="shared" si="27"/>
        <v>0</v>
      </c>
      <c r="L144" s="395">
        <f t="shared" si="28"/>
        <v>0.12133909253131066</v>
      </c>
      <c r="M144" s="250">
        <f>L144*D144*VPI!Q144</f>
        <v>39503.45831222483</v>
      </c>
    </row>
    <row r="145" spans="1:13" x14ac:dyDescent="0.25">
      <c r="A145" s="132">
        <f>Données!A145</f>
        <v>5645</v>
      </c>
      <c r="B145" s="27" t="str">
        <f>Données!B145</f>
        <v>Romanel-sur-Morges</v>
      </c>
      <c r="C145" s="291">
        <f>VPI!R145</f>
        <v>23767.8325</v>
      </c>
      <c r="D145" s="27">
        <f>Données!Z145</f>
        <v>458</v>
      </c>
      <c r="E145" s="88">
        <f t="shared" si="21"/>
        <v>51.894830786026205</v>
      </c>
      <c r="F145" s="147">
        <f t="shared" si="22"/>
        <v>1.0831963498143087</v>
      </c>
      <c r="G145" s="393">
        <f t="shared" si="23"/>
        <v>3.9858521461678933</v>
      </c>
      <c r="H145" s="393">
        <f t="shared" si="24"/>
        <v>0</v>
      </c>
      <c r="I145" s="393">
        <f t="shared" si="25"/>
        <v>0</v>
      </c>
      <c r="J145" s="393">
        <f t="shared" si="26"/>
        <v>0</v>
      </c>
      <c r="K145" s="393">
        <f t="shared" si="27"/>
        <v>0</v>
      </c>
      <c r="L145" s="395">
        <f t="shared" si="28"/>
        <v>0.79717042923357873</v>
      </c>
      <c r="M145" s="250">
        <f>L145*D145*VPI!Q145</f>
        <v>20445.827168982829</v>
      </c>
    </row>
    <row r="146" spans="1:13" x14ac:dyDescent="0.25">
      <c r="A146" s="132">
        <f>Données!A146</f>
        <v>5646</v>
      </c>
      <c r="B146" s="27" t="str">
        <f>Données!B146</f>
        <v>Saint-Prex</v>
      </c>
      <c r="C146" s="291">
        <f>VPI!R146</f>
        <v>515439.56415254233</v>
      </c>
      <c r="D146" s="27">
        <f>Données!Z146</f>
        <v>5876</v>
      </c>
      <c r="E146" s="88">
        <f t="shared" si="21"/>
        <v>87.719462925892159</v>
      </c>
      <c r="F146" s="147">
        <f t="shared" si="22"/>
        <v>1.8309608222979972</v>
      </c>
      <c r="G146" s="393">
        <f t="shared" si="23"/>
        <v>39.810484286033848</v>
      </c>
      <c r="H146" s="393">
        <f t="shared" si="24"/>
        <v>30.228688558062188</v>
      </c>
      <c r="I146" s="393">
        <f t="shared" si="25"/>
        <v>15.855994966104689</v>
      </c>
      <c r="J146" s="393">
        <f t="shared" si="26"/>
        <v>0</v>
      </c>
      <c r="K146" s="393">
        <f t="shared" si="27"/>
        <v>0</v>
      </c>
      <c r="L146" s="395">
        <f t="shared" si="28"/>
        <v>12.570565209623457</v>
      </c>
      <c r="M146" s="250">
        <f>L146*D146*VPI!Q146</f>
        <v>4358013.829133098</v>
      </c>
    </row>
    <row r="147" spans="1:13" x14ac:dyDescent="0.25">
      <c r="A147" s="132">
        <f>Données!A147</f>
        <v>5648</v>
      </c>
      <c r="B147" s="27" t="str">
        <f>Données!B147</f>
        <v>Saint-Sulpice</v>
      </c>
      <c r="C147" s="291">
        <f>VPI!R147</f>
        <v>417026.83077272732</v>
      </c>
      <c r="D147" s="27">
        <f>Données!Z147</f>
        <v>5036</v>
      </c>
      <c r="E147" s="88">
        <f t="shared" si="21"/>
        <v>82.809140344068169</v>
      </c>
      <c r="F147" s="147">
        <f t="shared" si="22"/>
        <v>1.7284680804105965</v>
      </c>
      <c r="G147" s="393">
        <f t="shared" si="23"/>
        <v>34.900161704209857</v>
      </c>
      <c r="H147" s="393">
        <f t="shared" si="24"/>
        <v>25.318365976238198</v>
      </c>
      <c r="I147" s="393">
        <f t="shared" si="25"/>
        <v>10.945672384280698</v>
      </c>
      <c r="J147" s="393">
        <f t="shared" si="26"/>
        <v>0</v>
      </c>
      <c r="K147" s="393">
        <f t="shared" si="27"/>
        <v>0</v>
      </c>
      <c r="L147" s="395">
        <f t="shared" si="28"/>
        <v>10.606436176893862</v>
      </c>
      <c r="M147" s="250">
        <f>L147*D147*VPI!Q147</f>
        <v>2937770.692276062</v>
      </c>
    </row>
    <row r="148" spans="1:13" x14ac:dyDescent="0.25">
      <c r="A148" s="132">
        <f>Données!A148</f>
        <v>5649</v>
      </c>
      <c r="B148" s="27" t="str">
        <f>Données!B148</f>
        <v>Tolochenaz</v>
      </c>
      <c r="C148" s="291">
        <f>VPI!R148</f>
        <v>329645.65999999997</v>
      </c>
      <c r="D148" s="27">
        <f>Données!Z148</f>
        <v>1890</v>
      </c>
      <c r="E148" s="88">
        <f t="shared" si="21"/>
        <v>174.4156931216931</v>
      </c>
      <c r="F148" s="147">
        <f t="shared" si="22"/>
        <v>3.6405637956261163</v>
      </c>
      <c r="G148" s="393">
        <f t="shared" si="23"/>
        <v>126.50671448183479</v>
      </c>
      <c r="H148" s="393">
        <f t="shared" si="24"/>
        <v>116.92491875386312</v>
      </c>
      <c r="I148" s="393">
        <f t="shared" si="25"/>
        <v>102.55222516190562</v>
      </c>
      <c r="J148" s="393">
        <f t="shared" si="26"/>
        <v>78.597735841976473</v>
      </c>
      <c r="K148" s="393">
        <f t="shared" si="27"/>
        <v>30.688757202118154</v>
      </c>
      <c r="L148" s="395">
        <f t="shared" si="28"/>
        <v>58.177706592353296</v>
      </c>
      <c r="M148" s="250">
        <f>L148*D148*VPI!Q148</f>
        <v>7037175.3894110546</v>
      </c>
    </row>
    <row r="149" spans="1:13" x14ac:dyDescent="0.25">
      <c r="A149" s="132">
        <f>Données!A149</f>
        <v>5650</v>
      </c>
      <c r="B149" s="27" t="str">
        <f>Données!B149</f>
        <v>Vaux-sur-Morges</v>
      </c>
      <c r="C149" s="291">
        <f>VPI!R149</f>
        <v>90407.731785714292</v>
      </c>
      <c r="D149" s="27">
        <f>Données!Z149</f>
        <v>185</v>
      </c>
      <c r="E149" s="88">
        <f t="shared" si="21"/>
        <v>488.69044208494211</v>
      </c>
      <c r="F149" s="147">
        <f t="shared" si="22"/>
        <v>10.200393662293013</v>
      </c>
      <c r="G149" s="393">
        <f t="shared" si="23"/>
        <v>440.78146344508377</v>
      </c>
      <c r="H149" s="393">
        <f t="shared" si="24"/>
        <v>431.19966771711211</v>
      </c>
      <c r="I149" s="393">
        <f t="shared" si="25"/>
        <v>416.82697412515461</v>
      </c>
      <c r="J149" s="393">
        <f t="shared" si="26"/>
        <v>392.8724848052255</v>
      </c>
      <c r="K149" s="393">
        <f t="shared" si="27"/>
        <v>344.96350616536716</v>
      </c>
      <c r="L149" s="395">
        <f t="shared" si="28"/>
        <v>246.7425559703027</v>
      </c>
      <c r="M149" s="250">
        <f>L149*D149*VPI!Q149</f>
        <v>2556252.8798523359</v>
      </c>
    </row>
    <row r="150" spans="1:13" x14ac:dyDescent="0.25">
      <c r="A150" s="132">
        <f>Données!A150</f>
        <v>5651</v>
      </c>
      <c r="B150" s="27" t="str">
        <f>Données!B150</f>
        <v>Villars-Sainte-Croix</v>
      </c>
      <c r="C150" s="291">
        <f>VPI!R150</f>
        <v>55772.548264462814</v>
      </c>
      <c r="D150" s="27">
        <f>Données!Z150</f>
        <v>978</v>
      </c>
      <c r="E150" s="88">
        <f t="shared" si="21"/>
        <v>57.027145464685901</v>
      </c>
      <c r="F150" s="147">
        <f t="shared" si="22"/>
        <v>1.1903227136894472</v>
      </c>
      <c r="G150" s="393">
        <f t="shared" si="23"/>
        <v>9.1181668248275898</v>
      </c>
      <c r="H150" s="393">
        <f t="shared" si="24"/>
        <v>0</v>
      </c>
      <c r="I150" s="393">
        <f t="shared" si="25"/>
        <v>0</v>
      </c>
      <c r="J150" s="393">
        <f t="shared" si="26"/>
        <v>0</v>
      </c>
      <c r="K150" s="393">
        <f t="shared" si="27"/>
        <v>0</v>
      </c>
      <c r="L150" s="395">
        <f t="shared" si="28"/>
        <v>1.8236333649655181</v>
      </c>
      <c r="M150" s="250">
        <f>L150*D150*VPI!Q150</f>
        <v>107902.56257164474</v>
      </c>
    </row>
    <row r="151" spans="1:13" x14ac:dyDescent="0.25">
      <c r="A151" s="132">
        <f>Données!A151</f>
        <v>5652</v>
      </c>
      <c r="B151" s="27" t="str">
        <f>Données!B151</f>
        <v>Villars-sous-Yens</v>
      </c>
      <c r="C151" s="291">
        <f>VPI!R151</f>
        <v>25957.116337719301</v>
      </c>
      <c r="D151" s="27">
        <f>Données!Z151</f>
        <v>615</v>
      </c>
      <c r="E151" s="88">
        <f t="shared" si="21"/>
        <v>42.206693232063905</v>
      </c>
      <c r="F151" s="147">
        <f t="shared" si="22"/>
        <v>0.88097668600577639</v>
      </c>
      <c r="G151" s="393">
        <f t="shared" si="23"/>
        <v>0</v>
      </c>
      <c r="H151" s="393">
        <f t="shared" si="24"/>
        <v>0</v>
      </c>
      <c r="I151" s="393">
        <f t="shared" si="25"/>
        <v>0</v>
      </c>
      <c r="J151" s="393">
        <f t="shared" si="26"/>
        <v>0</v>
      </c>
      <c r="K151" s="393">
        <f t="shared" si="27"/>
        <v>0</v>
      </c>
      <c r="L151" s="395">
        <f t="shared" si="28"/>
        <v>0</v>
      </c>
      <c r="M151" s="250">
        <f>L151*D151*VPI!Q151</f>
        <v>0</v>
      </c>
    </row>
    <row r="152" spans="1:13" x14ac:dyDescent="0.25">
      <c r="A152" s="132">
        <f>Données!A152</f>
        <v>5653</v>
      </c>
      <c r="B152" s="27" t="str">
        <f>Données!B152</f>
        <v>Vufflens-le-Château</v>
      </c>
      <c r="C152" s="291">
        <f>VPI!R152</f>
        <v>71346.485811965817</v>
      </c>
      <c r="D152" s="27">
        <f>Données!Z152</f>
        <v>884</v>
      </c>
      <c r="E152" s="88">
        <f t="shared" si="21"/>
        <v>80.70869435742739</v>
      </c>
      <c r="F152" s="147">
        <f t="shared" si="22"/>
        <v>1.6846256515742344</v>
      </c>
      <c r="G152" s="393">
        <f t="shared" si="23"/>
        <v>32.799715717569079</v>
      </c>
      <c r="H152" s="393">
        <f t="shared" si="24"/>
        <v>23.217919989597419</v>
      </c>
      <c r="I152" s="393">
        <f t="shared" si="25"/>
        <v>8.8452263976399195</v>
      </c>
      <c r="J152" s="393">
        <f t="shared" si="26"/>
        <v>0</v>
      </c>
      <c r="K152" s="393">
        <f t="shared" si="27"/>
        <v>0</v>
      </c>
      <c r="L152" s="395">
        <f t="shared" si="28"/>
        <v>9.7662577822375489</v>
      </c>
      <c r="M152" s="250">
        <f>L152*D152*VPI!Q152</f>
        <v>505052.25495063263</v>
      </c>
    </row>
    <row r="153" spans="1:13" x14ac:dyDescent="0.25">
      <c r="A153" s="132">
        <f>Données!A153</f>
        <v>5654</v>
      </c>
      <c r="B153" s="27" t="str">
        <f>Données!B153</f>
        <v>Vullierens</v>
      </c>
      <c r="C153" s="291">
        <f>VPI!R153</f>
        <v>20741.139078947366</v>
      </c>
      <c r="D153" s="27">
        <f>Données!Z153</f>
        <v>562</v>
      </c>
      <c r="E153" s="88">
        <f t="shared" si="21"/>
        <v>36.905941421614529</v>
      </c>
      <c r="F153" s="147">
        <f t="shared" si="22"/>
        <v>0.77033454833266457</v>
      </c>
      <c r="G153" s="393">
        <f t="shared" si="23"/>
        <v>0</v>
      </c>
      <c r="H153" s="393">
        <f t="shared" si="24"/>
        <v>0</v>
      </c>
      <c r="I153" s="393">
        <f t="shared" si="25"/>
        <v>0</v>
      </c>
      <c r="J153" s="393">
        <f t="shared" si="26"/>
        <v>0</v>
      </c>
      <c r="K153" s="393">
        <f t="shared" si="27"/>
        <v>0</v>
      </c>
      <c r="L153" s="395">
        <f t="shared" si="28"/>
        <v>0</v>
      </c>
      <c r="M153" s="250">
        <f>L153*D153*VPI!Q153</f>
        <v>0</v>
      </c>
    </row>
    <row r="154" spans="1:13" x14ac:dyDescent="0.25">
      <c r="A154" s="132">
        <f>Données!A154</f>
        <v>5655</v>
      </c>
      <c r="B154" s="27" t="str">
        <f>Données!B154</f>
        <v>Yens</v>
      </c>
      <c r="C154" s="291">
        <f>VPI!R154</f>
        <v>81487.913146853141</v>
      </c>
      <c r="D154" s="27">
        <f>Données!Z154</f>
        <v>1513</v>
      </c>
      <c r="E154" s="88">
        <f t="shared" si="21"/>
        <v>53.858501749407232</v>
      </c>
      <c r="F154" s="147">
        <f t="shared" si="22"/>
        <v>1.124183885327064</v>
      </c>
      <c r="G154" s="393">
        <f t="shared" si="23"/>
        <v>5.9495231095489203</v>
      </c>
      <c r="H154" s="393">
        <f t="shared" si="24"/>
        <v>0</v>
      </c>
      <c r="I154" s="393">
        <f t="shared" si="25"/>
        <v>0</v>
      </c>
      <c r="J154" s="393">
        <f t="shared" si="26"/>
        <v>0</v>
      </c>
      <c r="K154" s="393">
        <f t="shared" si="27"/>
        <v>0</v>
      </c>
      <c r="L154" s="395">
        <f t="shared" si="28"/>
        <v>1.1899046219097842</v>
      </c>
      <c r="M154" s="250">
        <f>L154*D154*VPI!Q154</f>
        <v>128723.2870458895</v>
      </c>
    </row>
    <row r="155" spans="1:13" x14ac:dyDescent="0.25">
      <c r="A155" s="132">
        <f>Données!A155</f>
        <v>5656</v>
      </c>
      <c r="B155" s="27" t="str">
        <f>Données!B155</f>
        <v>Hautemorges</v>
      </c>
      <c r="C155" s="291">
        <f>VPI!R155</f>
        <v>168931.37668965515</v>
      </c>
      <c r="D155" s="27">
        <f>Données!Z155</f>
        <v>4257</v>
      </c>
      <c r="E155" s="88">
        <f t="shared" si="21"/>
        <v>39.683198658598812</v>
      </c>
      <c r="F155" s="147">
        <f t="shared" si="22"/>
        <v>0.82830400031913876</v>
      </c>
      <c r="G155" s="393">
        <f t="shared" si="23"/>
        <v>0</v>
      </c>
      <c r="H155" s="393">
        <f t="shared" si="24"/>
        <v>0</v>
      </c>
      <c r="I155" s="393">
        <f t="shared" si="25"/>
        <v>0</v>
      </c>
      <c r="J155" s="393">
        <f t="shared" si="26"/>
        <v>0</v>
      </c>
      <c r="K155" s="393">
        <f t="shared" si="27"/>
        <v>0</v>
      </c>
      <c r="L155" s="395">
        <f t="shared" si="28"/>
        <v>0</v>
      </c>
      <c r="M155" s="250">
        <f>L155*D155*VPI!Q155</f>
        <v>0</v>
      </c>
    </row>
    <row r="156" spans="1:13" x14ac:dyDescent="0.25">
      <c r="A156" s="132">
        <f>Données!A156</f>
        <v>5661</v>
      </c>
      <c r="B156" s="27" t="str">
        <f>Données!B156</f>
        <v>Boulens</v>
      </c>
      <c r="C156" s="291">
        <f>VPI!R156</f>
        <v>11008.663776223777</v>
      </c>
      <c r="D156" s="27">
        <f>Données!Z156</f>
        <v>383</v>
      </c>
      <c r="E156" s="88">
        <f t="shared" si="21"/>
        <v>28.743247457503333</v>
      </c>
      <c r="F156" s="147">
        <f t="shared" si="22"/>
        <v>0.59995533767422304</v>
      </c>
      <c r="G156" s="393">
        <f t="shared" si="23"/>
        <v>0</v>
      </c>
      <c r="H156" s="393">
        <f t="shared" si="24"/>
        <v>0</v>
      </c>
      <c r="I156" s="393">
        <f t="shared" si="25"/>
        <v>0</v>
      </c>
      <c r="J156" s="393">
        <f t="shared" si="26"/>
        <v>0</v>
      </c>
      <c r="K156" s="393">
        <f t="shared" si="27"/>
        <v>0</v>
      </c>
      <c r="L156" s="395">
        <f t="shared" si="28"/>
        <v>0</v>
      </c>
      <c r="M156" s="250">
        <f>L156*D156*VPI!Q156</f>
        <v>0</v>
      </c>
    </row>
    <row r="157" spans="1:13" x14ac:dyDescent="0.25">
      <c r="A157" s="132">
        <f>Données!A157</f>
        <v>5663</v>
      </c>
      <c r="B157" s="27" t="str">
        <f>Données!B157</f>
        <v>Bussy-sur-Moudon</v>
      </c>
      <c r="C157" s="291">
        <f>VPI!R157</f>
        <v>6463.7352866242045</v>
      </c>
      <c r="D157" s="27">
        <f>Données!Z157</f>
        <v>246</v>
      </c>
      <c r="E157" s="88">
        <f t="shared" si="21"/>
        <v>26.275346693594326</v>
      </c>
      <c r="F157" s="147">
        <f t="shared" si="22"/>
        <v>0.54844305680385164</v>
      </c>
      <c r="G157" s="393">
        <f t="shared" si="23"/>
        <v>0</v>
      </c>
      <c r="H157" s="393">
        <f t="shared" si="24"/>
        <v>0</v>
      </c>
      <c r="I157" s="393">
        <f t="shared" si="25"/>
        <v>0</v>
      </c>
      <c r="J157" s="393">
        <f t="shared" si="26"/>
        <v>0</v>
      </c>
      <c r="K157" s="393">
        <f t="shared" si="27"/>
        <v>0</v>
      </c>
      <c r="L157" s="395">
        <f t="shared" si="28"/>
        <v>0</v>
      </c>
      <c r="M157" s="250">
        <f>L157*D157*VPI!Q157</f>
        <v>0</v>
      </c>
    </row>
    <row r="158" spans="1:13" x14ac:dyDescent="0.25">
      <c r="A158" s="132">
        <f>Données!A158</f>
        <v>5665</v>
      </c>
      <c r="B158" s="27" t="str">
        <f>Données!B158</f>
        <v>Chavannes-sur-Moudon</v>
      </c>
      <c r="C158" s="291">
        <f>VPI!R158</f>
        <v>5786.518857142858</v>
      </c>
      <c r="D158" s="27">
        <f>Données!Z158</f>
        <v>218</v>
      </c>
      <c r="E158" s="88">
        <f t="shared" si="21"/>
        <v>26.543664482306689</v>
      </c>
      <c r="F158" s="147">
        <f t="shared" si="22"/>
        <v>0.55404363098284559</v>
      </c>
      <c r="G158" s="393">
        <f t="shared" si="23"/>
        <v>0</v>
      </c>
      <c r="H158" s="393">
        <f t="shared" si="24"/>
        <v>0</v>
      </c>
      <c r="I158" s="393">
        <f t="shared" si="25"/>
        <v>0</v>
      </c>
      <c r="J158" s="393">
        <f t="shared" si="26"/>
        <v>0</v>
      </c>
      <c r="K158" s="393">
        <f t="shared" si="27"/>
        <v>0</v>
      </c>
      <c r="L158" s="395">
        <f t="shared" si="28"/>
        <v>0</v>
      </c>
      <c r="M158" s="250">
        <f>L158*D158*VPI!Q158</f>
        <v>0</v>
      </c>
    </row>
    <row r="159" spans="1:13" x14ac:dyDescent="0.25">
      <c r="A159" s="132">
        <f>Données!A159</f>
        <v>5669</v>
      </c>
      <c r="B159" s="27" t="str">
        <f>Données!B159</f>
        <v>Curtilles</v>
      </c>
      <c r="C159" s="291">
        <f>VPI!R159</f>
        <v>8428.0239726027376</v>
      </c>
      <c r="D159" s="27">
        <f>Données!Z159</f>
        <v>294</v>
      </c>
      <c r="E159" s="88">
        <f t="shared" si="21"/>
        <v>28.666748206131761</v>
      </c>
      <c r="F159" s="147">
        <f t="shared" si="22"/>
        <v>0.59835857536487325</v>
      </c>
      <c r="G159" s="393">
        <f t="shared" si="23"/>
        <v>0</v>
      </c>
      <c r="H159" s="393">
        <f t="shared" si="24"/>
        <v>0</v>
      </c>
      <c r="I159" s="393">
        <f t="shared" si="25"/>
        <v>0</v>
      </c>
      <c r="J159" s="393">
        <f t="shared" si="26"/>
        <v>0</v>
      </c>
      <c r="K159" s="393">
        <f t="shared" si="27"/>
        <v>0</v>
      </c>
      <c r="L159" s="395">
        <f t="shared" si="28"/>
        <v>0</v>
      </c>
      <c r="M159" s="250">
        <f>L159*D159*VPI!Q159</f>
        <v>0</v>
      </c>
    </row>
    <row r="160" spans="1:13" x14ac:dyDescent="0.25">
      <c r="A160" s="132">
        <f>Données!A160</f>
        <v>5671</v>
      </c>
      <c r="B160" s="27" t="str">
        <f>Données!B160</f>
        <v>Dompierre</v>
      </c>
      <c r="C160" s="291">
        <f>VPI!R160</f>
        <v>6751.3058974358974</v>
      </c>
      <c r="D160" s="27">
        <f>Données!Z160</f>
        <v>248</v>
      </c>
      <c r="E160" s="88">
        <f t="shared" si="21"/>
        <v>27.2230076509512</v>
      </c>
      <c r="F160" s="147">
        <f t="shared" si="22"/>
        <v>0.56822350264638644</v>
      </c>
      <c r="G160" s="393">
        <f t="shared" si="23"/>
        <v>0</v>
      </c>
      <c r="H160" s="393">
        <f t="shared" si="24"/>
        <v>0</v>
      </c>
      <c r="I160" s="393">
        <f t="shared" si="25"/>
        <v>0</v>
      </c>
      <c r="J160" s="393">
        <f t="shared" si="26"/>
        <v>0</v>
      </c>
      <c r="K160" s="393">
        <f t="shared" si="27"/>
        <v>0</v>
      </c>
      <c r="L160" s="395">
        <f t="shared" si="28"/>
        <v>0</v>
      </c>
      <c r="M160" s="250">
        <f>L160*D160*VPI!Q160</f>
        <v>0</v>
      </c>
    </row>
    <row r="161" spans="1:13" x14ac:dyDescent="0.25">
      <c r="A161" s="132">
        <f>Données!A161</f>
        <v>5673</v>
      </c>
      <c r="B161" s="27" t="str">
        <f>Données!B161</f>
        <v>Hermenches</v>
      </c>
      <c r="C161" s="291">
        <f>VPI!R161</f>
        <v>9674.9504761904736</v>
      </c>
      <c r="D161" s="27">
        <f>Données!Z161</f>
        <v>374</v>
      </c>
      <c r="E161" s="88">
        <f t="shared" si="21"/>
        <v>25.868851540616241</v>
      </c>
      <c r="F161" s="147">
        <f t="shared" si="22"/>
        <v>0.53995831835777053</v>
      </c>
      <c r="G161" s="393">
        <f t="shared" si="23"/>
        <v>0</v>
      </c>
      <c r="H161" s="393">
        <f t="shared" si="24"/>
        <v>0</v>
      </c>
      <c r="I161" s="393">
        <f t="shared" si="25"/>
        <v>0</v>
      </c>
      <c r="J161" s="393">
        <f t="shared" si="26"/>
        <v>0</v>
      </c>
      <c r="K161" s="393">
        <f t="shared" si="27"/>
        <v>0</v>
      </c>
      <c r="L161" s="395">
        <f t="shared" si="28"/>
        <v>0</v>
      </c>
      <c r="M161" s="250">
        <f>L161*D161*VPI!Q161</f>
        <v>0</v>
      </c>
    </row>
    <row r="162" spans="1:13" x14ac:dyDescent="0.25">
      <c r="A162" s="132">
        <f>Données!A162</f>
        <v>5674</v>
      </c>
      <c r="B162" s="27" t="str">
        <f>Données!B162</f>
        <v>Lovatens</v>
      </c>
      <c r="C162" s="291">
        <f>VPI!R162</f>
        <v>3538.9423999999999</v>
      </c>
      <c r="D162" s="27">
        <f>Données!Z162</f>
        <v>143</v>
      </c>
      <c r="E162" s="88">
        <f t="shared" si="21"/>
        <v>24.747848951048951</v>
      </c>
      <c r="F162" s="147">
        <f t="shared" si="22"/>
        <v>0.51655972750084367</v>
      </c>
      <c r="G162" s="393">
        <f t="shared" si="23"/>
        <v>0</v>
      </c>
      <c r="H162" s="393">
        <f t="shared" si="24"/>
        <v>0</v>
      </c>
      <c r="I162" s="393">
        <f t="shared" si="25"/>
        <v>0</v>
      </c>
      <c r="J162" s="393">
        <f t="shared" si="26"/>
        <v>0</v>
      </c>
      <c r="K162" s="393">
        <f t="shared" si="27"/>
        <v>0</v>
      </c>
      <c r="L162" s="395">
        <f t="shared" si="28"/>
        <v>0</v>
      </c>
      <c r="M162" s="250">
        <f>L162*D162*VPI!Q162</f>
        <v>0</v>
      </c>
    </row>
    <row r="163" spans="1:13" x14ac:dyDescent="0.25">
      <c r="A163" s="132">
        <f>Données!A163</f>
        <v>5675</v>
      </c>
      <c r="B163" s="27" t="str">
        <f>Données!B163</f>
        <v>Lucens</v>
      </c>
      <c r="C163" s="291">
        <f>VPI!R163</f>
        <v>92799.568476128188</v>
      </c>
      <c r="D163" s="27">
        <f>Données!Z163</f>
        <v>4420</v>
      </c>
      <c r="E163" s="88">
        <f t="shared" si="21"/>
        <v>20.995377483286919</v>
      </c>
      <c r="F163" s="147">
        <f t="shared" si="22"/>
        <v>0.43823471256011337</v>
      </c>
      <c r="G163" s="393">
        <f t="shared" si="23"/>
        <v>0</v>
      </c>
      <c r="H163" s="393">
        <f t="shared" si="24"/>
        <v>0</v>
      </c>
      <c r="I163" s="393">
        <f t="shared" si="25"/>
        <v>0</v>
      </c>
      <c r="J163" s="393">
        <f t="shared" si="26"/>
        <v>0</v>
      </c>
      <c r="K163" s="393">
        <f t="shared" si="27"/>
        <v>0</v>
      </c>
      <c r="L163" s="395">
        <f t="shared" si="28"/>
        <v>0</v>
      </c>
      <c r="M163" s="250">
        <f>L163*D163*VPI!Q163</f>
        <v>0</v>
      </c>
    </row>
    <row r="164" spans="1:13" x14ac:dyDescent="0.25">
      <c r="A164" s="132">
        <f>Données!A164</f>
        <v>5678</v>
      </c>
      <c r="B164" s="27" t="str">
        <f>Données!B164</f>
        <v>Moudon</v>
      </c>
      <c r="C164" s="291">
        <f>VPI!R164</f>
        <v>130665.93158620689</v>
      </c>
      <c r="D164" s="27">
        <f>Données!Z164</f>
        <v>6132</v>
      </c>
      <c r="E164" s="88">
        <f t="shared" si="21"/>
        <v>21.308860336954808</v>
      </c>
      <c r="F164" s="147">
        <f t="shared" si="22"/>
        <v>0.44477801326423411</v>
      </c>
      <c r="G164" s="393">
        <f t="shared" si="23"/>
        <v>0</v>
      </c>
      <c r="H164" s="393">
        <f t="shared" si="24"/>
        <v>0</v>
      </c>
      <c r="I164" s="393">
        <f t="shared" si="25"/>
        <v>0</v>
      </c>
      <c r="J164" s="393">
        <f t="shared" si="26"/>
        <v>0</v>
      </c>
      <c r="K164" s="393">
        <f t="shared" si="27"/>
        <v>0</v>
      </c>
      <c r="L164" s="395">
        <f t="shared" si="28"/>
        <v>0</v>
      </c>
      <c r="M164" s="250">
        <f>L164*D164*VPI!Q164</f>
        <v>0</v>
      </c>
    </row>
    <row r="165" spans="1:13" x14ac:dyDescent="0.25">
      <c r="A165" s="132">
        <f>Données!A165</f>
        <v>5680</v>
      </c>
      <c r="B165" s="27" t="str">
        <f>Données!B165</f>
        <v>Ogens</v>
      </c>
      <c r="C165" s="291">
        <f>VPI!R165</f>
        <v>10095.699401709404</v>
      </c>
      <c r="D165" s="27">
        <f>Données!Z165</f>
        <v>324</v>
      </c>
      <c r="E165" s="88">
        <f t="shared" si="21"/>
        <v>31.159566054658654</v>
      </c>
      <c r="F165" s="147">
        <f t="shared" si="22"/>
        <v>0.65039094840429701</v>
      </c>
      <c r="G165" s="393">
        <f t="shared" si="23"/>
        <v>0</v>
      </c>
      <c r="H165" s="393">
        <f t="shared" si="24"/>
        <v>0</v>
      </c>
      <c r="I165" s="393">
        <f t="shared" si="25"/>
        <v>0</v>
      </c>
      <c r="J165" s="393">
        <f t="shared" si="26"/>
        <v>0</v>
      </c>
      <c r="K165" s="393">
        <f t="shared" si="27"/>
        <v>0</v>
      </c>
      <c r="L165" s="395">
        <f t="shared" si="28"/>
        <v>0</v>
      </c>
      <c r="M165" s="250">
        <f>L165*D165*VPI!Q165</f>
        <v>0</v>
      </c>
    </row>
    <row r="166" spans="1:13" x14ac:dyDescent="0.25">
      <c r="A166" s="132">
        <f>Données!A166</f>
        <v>5683</v>
      </c>
      <c r="B166" s="27" t="str">
        <f>Données!B166</f>
        <v>Prévonloup</v>
      </c>
      <c r="C166" s="291">
        <f>VPI!R166</f>
        <v>5181.5288275862076</v>
      </c>
      <c r="D166" s="27">
        <f>Données!Z166</f>
        <v>220</v>
      </c>
      <c r="E166" s="88">
        <f t="shared" si="21"/>
        <v>23.552403761755489</v>
      </c>
      <c r="F166" s="147">
        <f t="shared" si="22"/>
        <v>0.49160730264787678</v>
      </c>
      <c r="G166" s="393">
        <f t="shared" si="23"/>
        <v>0</v>
      </c>
      <c r="H166" s="393">
        <f t="shared" si="24"/>
        <v>0</v>
      </c>
      <c r="I166" s="393">
        <f t="shared" si="25"/>
        <v>0</v>
      </c>
      <c r="J166" s="393">
        <f t="shared" si="26"/>
        <v>0</v>
      </c>
      <c r="K166" s="393">
        <f t="shared" si="27"/>
        <v>0</v>
      </c>
      <c r="L166" s="395">
        <f t="shared" si="28"/>
        <v>0</v>
      </c>
      <c r="M166" s="250">
        <f>L166*D166*VPI!Q166</f>
        <v>0</v>
      </c>
    </row>
    <row r="167" spans="1:13" x14ac:dyDescent="0.25">
      <c r="A167" s="132">
        <f>Données!A167</f>
        <v>5684</v>
      </c>
      <c r="B167" s="27" t="str">
        <f>Données!B167</f>
        <v>Rossenges</v>
      </c>
      <c r="C167" s="291">
        <f>VPI!R167</f>
        <v>3699.9676666666669</v>
      </c>
      <c r="D167" s="27">
        <f>Données!Z167</f>
        <v>93</v>
      </c>
      <c r="E167" s="88">
        <f t="shared" si="21"/>
        <v>39.784598566308247</v>
      </c>
      <c r="F167" s="147">
        <f t="shared" si="22"/>
        <v>0.83042051189146182</v>
      </c>
      <c r="G167" s="393">
        <f t="shared" si="23"/>
        <v>0</v>
      </c>
      <c r="H167" s="393">
        <f t="shared" si="24"/>
        <v>0</v>
      </c>
      <c r="I167" s="393">
        <f t="shared" si="25"/>
        <v>0</v>
      </c>
      <c r="J167" s="393">
        <f t="shared" si="26"/>
        <v>0</v>
      </c>
      <c r="K167" s="393">
        <f t="shared" si="27"/>
        <v>0</v>
      </c>
      <c r="L167" s="395">
        <f t="shared" si="28"/>
        <v>0</v>
      </c>
      <c r="M167" s="250">
        <f>L167*D167*VPI!Q167</f>
        <v>0</v>
      </c>
    </row>
    <row r="168" spans="1:13" x14ac:dyDescent="0.25">
      <c r="A168" s="132">
        <f>Données!A168</f>
        <v>5688</v>
      </c>
      <c r="B168" s="27" t="str">
        <f>Données!B168</f>
        <v>Syens</v>
      </c>
      <c r="C168" s="291">
        <f>VPI!R168</f>
        <v>5276.9227692307695</v>
      </c>
      <c r="D168" s="27">
        <f>Données!Z168</f>
        <v>164</v>
      </c>
      <c r="E168" s="88">
        <f t="shared" si="21"/>
        <v>32.176358348968108</v>
      </c>
      <c r="F168" s="147">
        <f t="shared" si="22"/>
        <v>0.67161436671076713</v>
      </c>
      <c r="G168" s="393">
        <f t="shared" si="23"/>
        <v>0</v>
      </c>
      <c r="H168" s="393">
        <f t="shared" si="24"/>
        <v>0</v>
      </c>
      <c r="I168" s="393">
        <f t="shared" si="25"/>
        <v>0</v>
      </c>
      <c r="J168" s="393">
        <f t="shared" si="26"/>
        <v>0</v>
      </c>
      <c r="K168" s="393">
        <f t="shared" si="27"/>
        <v>0</v>
      </c>
      <c r="L168" s="395">
        <f t="shared" si="28"/>
        <v>0</v>
      </c>
      <c r="M168" s="250">
        <f>L168*D168*VPI!Q168</f>
        <v>0</v>
      </c>
    </row>
    <row r="169" spans="1:13" x14ac:dyDescent="0.25">
      <c r="A169" s="132">
        <f>Données!A169</f>
        <v>5690</v>
      </c>
      <c r="B169" s="27" t="str">
        <f>Données!B169</f>
        <v>Villars-le-Comte</v>
      </c>
      <c r="C169" s="291">
        <f>VPI!R169</f>
        <v>4331.3648095238095</v>
      </c>
      <c r="D169" s="27">
        <f>Données!Z169</f>
        <v>138</v>
      </c>
      <c r="E169" s="88">
        <f t="shared" si="21"/>
        <v>31.386701518288476</v>
      </c>
      <c r="F169" s="147">
        <f t="shared" si="22"/>
        <v>0.65513192744576743</v>
      </c>
      <c r="G169" s="393">
        <f t="shared" si="23"/>
        <v>0</v>
      </c>
      <c r="H169" s="393">
        <f t="shared" si="24"/>
        <v>0</v>
      </c>
      <c r="I169" s="393">
        <f t="shared" si="25"/>
        <v>0</v>
      </c>
      <c r="J169" s="393">
        <f t="shared" si="26"/>
        <v>0</v>
      </c>
      <c r="K169" s="393">
        <f t="shared" si="27"/>
        <v>0</v>
      </c>
      <c r="L169" s="395">
        <f t="shared" si="28"/>
        <v>0</v>
      </c>
      <c r="M169" s="250">
        <f>L169*D169*VPI!Q169</f>
        <v>0</v>
      </c>
    </row>
    <row r="170" spans="1:13" x14ac:dyDescent="0.25">
      <c r="A170" s="132">
        <f>Données!A170</f>
        <v>5692</v>
      </c>
      <c r="B170" s="27" t="str">
        <f>Données!B170</f>
        <v>Vucherens</v>
      </c>
      <c r="C170" s="291">
        <f>VPI!R170</f>
        <v>18948.19272727273</v>
      </c>
      <c r="D170" s="27">
        <f>Données!Z170</f>
        <v>637</v>
      </c>
      <c r="E170" s="88">
        <f t="shared" si="21"/>
        <v>29.745985443128305</v>
      </c>
      <c r="F170" s="147">
        <f t="shared" si="22"/>
        <v>0.62088540160154571</v>
      </c>
      <c r="G170" s="393">
        <f t="shared" si="23"/>
        <v>0</v>
      </c>
      <c r="H170" s="393">
        <f t="shared" si="24"/>
        <v>0</v>
      </c>
      <c r="I170" s="393">
        <f t="shared" si="25"/>
        <v>0</v>
      </c>
      <c r="J170" s="393">
        <f t="shared" si="26"/>
        <v>0</v>
      </c>
      <c r="K170" s="393">
        <f t="shared" si="27"/>
        <v>0</v>
      </c>
      <c r="L170" s="395">
        <f t="shared" si="28"/>
        <v>0</v>
      </c>
      <c r="M170" s="250">
        <f>L170*D170*VPI!Q170</f>
        <v>0</v>
      </c>
    </row>
    <row r="171" spans="1:13" x14ac:dyDescent="0.25">
      <c r="A171" s="132">
        <f>Données!A171</f>
        <v>5693</v>
      </c>
      <c r="B171" s="27" t="str">
        <f>Données!B171</f>
        <v>Montanaire</v>
      </c>
      <c r="C171" s="291">
        <f>VPI!R171</f>
        <v>80076.194857142837</v>
      </c>
      <c r="D171" s="27">
        <f>Données!Z171</f>
        <v>2820</v>
      </c>
      <c r="E171" s="88">
        <f t="shared" si="21"/>
        <v>28.395813779128666</v>
      </c>
      <c r="F171" s="147">
        <f t="shared" si="22"/>
        <v>0.59270338431937497</v>
      </c>
      <c r="G171" s="393">
        <f t="shared" si="23"/>
        <v>0</v>
      </c>
      <c r="H171" s="393">
        <f t="shared" si="24"/>
        <v>0</v>
      </c>
      <c r="I171" s="393">
        <f t="shared" si="25"/>
        <v>0</v>
      </c>
      <c r="J171" s="393">
        <f t="shared" si="26"/>
        <v>0</v>
      </c>
      <c r="K171" s="393">
        <f t="shared" si="27"/>
        <v>0</v>
      </c>
      <c r="L171" s="395">
        <f t="shared" si="28"/>
        <v>0</v>
      </c>
      <c r="M171" s="250">
        <f>L171*D171*VPI!Q171</f>
        <v>0</v>
      </c>
    </row>
    <row r="172" spans="1:13" x14ac:dyDescent="0.25">
      <c r="A172" s="132">
        <f>Données!A172</f>
        <v>5701</v>
      </c>
      <c r="B172" s="27" t="str">
        <f>Données!B172</f>
        <v>Arnex-sur-Nyon</v>
      </c>
      <c r="C172" s="291">
        <f>VPI!R172</f>
        <v>12996.777571428571</v>
      </c>
      <c r="D172" s="27">
        <f>Données!Z172</f>
        <v>240</v>
      </c>
      <c r="E172" s="88">
        <f t="shared" si="21"/>
        <v>54.153239880952377</v>
      </c>
      <c r="F172" s="147">
        <f t="shared" si="22"/>
        <v>1.1303359290548327</v>
      </c>
      <c r="G172" s="393">
        <f t="shared" si="23"/>
        <v>6.2442612410940654</v>
      </c>
      <c r="H172" s="393">
        <f t="shared" si="24"/>
        <v>0</v>
      </c>
      <c r="I172" s="393">
        <f t="shared" si="25"/>
        <v>0</v>
      </c>
      <c r="J172" s="393">
        <f t="shared" si="26"/>
        <v>0</v>
      </c>
      <c r="K172" s="393">
        <f t="shared" si="27"/>
        <v>0</v>
      </c>
      <c r="L172" s="395">
        <f t="shared" si="28"/>
        <v>1.2488522482188131</v>
      </c>
      <c r="M172" s="250">
        <f>L172*D172*VPI!Q172</f>
        <v>20980.717770076059</v>
      </c>
    </row>
    <row r="173" spans="1:13" x14ac:dyDescent="0.25">
      <c r="A173" s="132">
        <f>Données!A173</f>
        <v>5702</v>
      </c>
      <c r="B173" s="27" t="str">
        <f>Données!B173</f>
        <v>Arzier-Le Muids</v>
      </c>
      <c r="C173" s="291">
        <f>VPI!R173</f>
        <v>187982.65953125001</v>
      </c>
      <c r="D173" s="27">
        <f>Données!Z173</f>
        <v>2954</v>
      </c>
      <c r="E173" s="88">
        <f t="shared" si="21"/>
        <v>63.636648453368316</v>
      </c>
      <c r="F173" s="147">
        <f t="shared" si="22"/>
        <v>1.3282823023996848</v>
      </c>
      <c r="G173" s="393">
        <f t="shared" si="23"/>
        <v>15.727669813510005</v>
      </c>
      <c r="H173" s="393">
        <f t="shared" si="24"/>
        <v>6.1458740855383454</v>
      </c>
      <c r="I173" s="393">
        <f t="shared" si="25"/>
        <v>0</v>
      </c>
      <c r="J173" s="393">
        <f t="shared" si="26"/>
        <v>0</v>
      </c>
      <c r="K173" s="393">
        <f t="shared" si="27"/>
        <v>0</v>
      </c>
      <c r="L173" s="395">
        <f t="shared" si="28"/>
        <v>3.7601213712558357</v>
      </c>
      <c r="M173" s="250">
        <f>L173*D173*VPI!Q173</f>
        <v>710873.50596414332</v>
      </c>
    </row>
    <row r="174" spans="1:13" x14ac:dyDescent="0.25">
      <c r="A174" s="132">
        <f>Données!A174</f>
        <v>5703</v>
      </c>
      <c r="B174" s="27" t="str">
        <f>Données!B174</f>
        <v>Bassins</v>
      </c>
      <c r="C174" s="291">
        <f>VPI!R174</f>
        <v>65440.672492610829</v>
      </c>
      <c r="D174" s="27">
        <f>Données!Z174</f>
        <v>1478</v>
      </c>
      <c r="E174" s="88">
        <f t="shared" si="21"/>
        <v>44.276503716245486</v>
      </c>
      <c r="F174" s="147">
        <f t="shared" si="22"/>
        <v>0.92417966262819151</v>
      </c>
      <c r="G174" s="393">
        <f t="shared" si="23"/>
        <v>0</v>
      </c>
      <c r="H174" s="393">
        <f t="shared" si="24"/>
        <v>0</v>
      </c>
      <c r="I174" s="393">
        <f t="shared" si="25"/>
        <v>0</v>
      </c>
      <c r="J174" s="393">
        <f t="shared" si="26"/>
        <v>0</v>
      </c>
      <c r="K174" s="393">
        <f t="shared" si="27"/>
        <v>0</v>
      </c>
      <c r="L174" s="395">
        <f t="shared" si="28"/>
        <v>0</v>
      </c>
      <c r="M174" s="250">
        <f>L174*D174*VPI!Q174</f>
        <v>0</v>
      </c>
    </row>
    <row r="175" spans="1:13" x14ac:dyDescent="0.25">
      <c r="A175" s="132">
        <f>Données!A175</f>
        <v>5704</v>
      </c>
      <c r="B175" s="27" t="str">
        <f>Données!B175</f>
        <v>Begnins</v>
      </c>
      <c r="C175" s="291">
        <f>VPI!R175</f>
        <v>129766.74997333332</v>
      </c>
      <c r="D175" s="27">
        <f>Données!Z175</f>
        <v>1938</v>
      </c>
      <c r="E175" s="88">
        <f t="shared" si="21"/>
        <v>66.959107313381494</v>
      </c>
      <c r="F175" s="147">
        <f t="shared" si="22"/>
        <v>1.3976317010789758</v>
      </c>
      <c r="G175" s="393">
        <f t="shared" si="23"/>
        <v>19.050128673523183</v>
      </c>
      <c r="H175" s="393">
        <f t="shared" si="24"/>
        <v>9.4683329455515235</v>
      </c>
      <c r="I175" s="393">
        <f t="shared" si="25"/>
        <v>0</v>
      </c>
      <c r="J175" s="393">
        <f t="shared" si="26"/>
        <v>0</v>
      </c>
      <c r="K175" s="393">
        <f t="shared" si="27"/>
        <v>0</v>
      </c>
      <c r="L175" s="395">
        <f t="shared" si="28"/>
        <v>4.7568590292597897</v>
      </c>
      <c r="M175" s="250">
        <f>L175*D175*VPI!Q175</f>
        <v>576174.54991909198</v>
      </c>
    </row>
    <row r="176" spans="1:13" x14ac:dyDescent="0.25">
      <c r="A176" s="132">
        <f>Données!A176</f>
        <v>5705</v>
      </c>
      <c r="B176" s="27" t="str">
        <f>Données!B176</f>
        <v>Bogis-Bossey</v>
      </c>
      <c r="C176" s="291">
        <f>VPI!R176</f>
        <v>51043.487651006704</v>
      </c>
      <c r="D176" s="27">
        <f>Données!Z176</f>
        <v>923</v>
      </c>
      <c r="E176" s="88">
        <f t="shared" si="21"/>
        <v>55.301720098598814</v>
      </c>
      <c r="F176" s="147">
        <f t="shared" si="22"/>
        <v>1.1543080580847542</v>
      </c>
      <c r="G176" s="393">
        <f t="shared" si="23"/>
        <v>7.3927414587405025</v>
      </c>
      <c r="H176" s="393">
        <f t="shared" si="24"/>
        <v>0</v>
      </c>
      <c r="I176" s="393">
        <f t="shared" si="25"/>
        <v>0</v>
      </c>
      <c r="J176" s="393">
        <f t="shared" si="26"/>
        <v>0</v>
      </c>
      <c r="K176" s="393">
        <f t="shared" si="27"/>
        <v>0</v>
      </c>
      <c r="L176" s="395">
        <f t="shared" si="28"/>
        <v>1.4785482917481005</v>
      </c>
      <c r="M176" s="250">
        <f>L176*D176*VPI!Q176</f>
        <v>101670.15545962051</v>
      </c>
    </row>
    <row r="177" spans="1:13" x14ac:dyDescent="0.25">
      <c r="A177" s="132">
        <f>Données!A177</f>
        <v>5706</v>
      </c>
      <c r="B177" s="27" t="str">
        <f>Données!B177</f>
        <v>Borex</v>
      </c>
      <c r="C177" s="291">
        <f>VPI!R177</f>
        <v>69138.234561403515</v>
      </c>
      <c r="D177" s="27">
        <f>Données!Z177</f>
        <v>1131</v>
      </c>
      <c r="E177" s="88">
        <f t="shared" si="21"/>
        <v>61.130180867730779</v>
      </c>
      <c r="F177" s="147">
        <f t="shared" si="22"/>
        <v>1.2759650195688574</v>
      </c>
      <c r="G177" s="393">
        <f t="shared" si="23"/>
        <v>13.221202227872467</v>
      </c>
      <c r="H177" s="393">
        <f t="shared" si="24"/>
        <v>3.639406499900808</v>
      </c>
      <c r="I177" s="393">
        <f t="shared" si="25"/>
        <v>0</v>
      </c>
      <c r="J177" s="393">
        <f t="shared" si="26"/>
        <v>0</v>
      </c>
      <c r="K177" s="393">
        <f t="shared" si="27"/>
        <v>0</v>
      </c>
      <c r="L177" s="395">
        <f t="shared" si="28"/>
        <v>3.0081810955645745</v>
      </c>
      <c r="M177" s="250">
        <f>L177*D177*VPI!Q177</f>
        <v>193928.41068776141</v>
      </c>
    </row>
    <row r="178" spans="1:13" x14ac:dyDescent="0.25">
      <c r="A178" s="132">
        <f>Données!A178</f>
        <v>5707</v>
      </c>
      <c r="B178" s="27" t="str">
        <f>Données!B178</f>
        <v>Chavannes-de-Bogis</v>
      </c>
      <c r="C178" s="291">
        <f>VPI!R178</f>
        <v>86795.072643678155</v>
      </c>
      <c r="D178" s="27">
        <f>Données!Z178</f>
        <v>1314</v>
      </c>
      <c r="E178" s="88">
        <f t="shared" si="21"/>
        <v>66.054088769922487</v>
      </c>
      <c r="F178" s="147">
        <f t="shared" si="22"/>
        <v>1.3787413266825144</v>
      </c>
      <c r="G178" s="393">
        <f t="shared" si="23"/>
        <v>18.145110130064175</v>
      </c>
      <c r="H178" s="393">
        <f t="shared" si="24"/>
        <v>8.5633144020925158</v>
      </c>
      <c r="I178" s="393">
        <f t="shared" si="25"/>
        <v>0</v>
      </c>
      <c r="J178" s="393">
        <f t="shared" si="26"/>
        <v>0</v>
      </c>
      <c r="K178" s="393">
        <f t="shared" si="27"/>
        <v>0</v>
      </c>
      <c r="L178" s="395">
        <f t="shared" si="28"/>
        <v>4.4853534662220866</v>
      </c>
      <c r="M178" s="250">
        <f>L178*D178*VPI!Q178</f>
        <v>341837.75836771767</v>
      </c>
    </row>
    <row r="179" spans="1:13" x14ac:dyDescent="0.25">
      <c r="A179" s="132">
        <f>Données!A179</f>
        <v>5708</v>
      </c>
      <c r="B179" s="27" t="str">
        <f>Données!B179</f>
        <v>Chavannes-des-Bois</v>
      </c>
      <c r="C179" s="291">
        <f>VPI!R179</f>
        <v>68805.474411764691</v>
      </c>
      <c r="D179" s="27">
        <f>Données!Z179</f>
        <v>1019</v>
      </c>
      <c r="E179" s="88">
        <f t="shared" si="21"/>
        <v>67.522546037060536</v>
      </c>
      <c r="F179" s="147">
        <f t="shared" si="22"/>
        <v>1.4093923092087073</v>
      </c>
      <c r="G179" s="393">
        <f t="shared" si="23"/>
        <v>19.613567397202225</v>
      </c>
      <c r="H179" s="393">
        <f t="shared" si="24"/>
        <v>10.031771669230565</v>
      </c>
      <c r="I179" s="393">
        <f t="shared" si="25"/>
        <v>0</v>
      </c>
      <c r="J179" s="393">
        <f t="shared" si="26"/>
        <v>0</v>
      </c>
      <c r="K179" s="393">
        <f t="shared" si="27"/>
        <v>0</v>
      </c>
      <c r="L179" s="395">
        <f t="shared" si="28"/>
        <v>4.9258906463635022</v>
      </c>
      <c r="M179" s="250">
        <f>L179*D179*VPI!Q179</f>
        <v>341324.81466781977</v>
      </c>
    </row>
    <row r="180" spans="1:13" x14ac:dyDescent="0.25">
      <c r="A180" s="132">
        <f>Données!A180</f>
        <v>5709</v>
      </c>
      <c r="B180" s="27" t="str">
        <f>Données!B180</f>
        <v>Chéserex</v>
      </c>
      <c r="C180" s="291">
        <f>VPI!R180</f>
        <v>90983.181403508803</v>
      </c>
      <c r="D180" s="27">
        <f>Données!Z180</f>
        <v>1251</v>
      </c>
      <c r="E180" s="88">
        <f t="shared" si="21"/>
        <v>72.728362432860749</v>
      </c>
      <c r="F180" s="147">
        <f t="shared" si="22"/>
        <v>1.5180528681184142</v>
      </c>
      <c r="G180" s="393">
        <f t="shared" si="23"/>
        <v>24.819383793002437</v>
      </c>
      <c r="H180" s="393">
        <f t="shared" si="24"/>
        <v>15.237588065030778</v>
      </c>
      <c r="I180" s="393">
        <f t="shared" si="25"/>
        <v>0.86489447307327794</v>
      </c>
      <c r="J180" s="393">
        <f t="shared" si="26"/>
        <v>0</v>
      </c>
      <c r="K180" s="393">
        <f t="shared" si="27"/>
        <v>0</v>
      </c>
      <c r="L180" s="395">
        <f t="shared" si="28"/>
        <v>6.5741250124108932</v>
      </c>
      <c r="M180" s="250">
        <f>L180*D180*VPI!Q180</f>
        <v>468781.13225998351</v>
      </c>
    </row>
    <row r="181" spans="1:13" x14ac:dyDescent="0.25">
      <c r="A181" s="132">
        <f>Données!A181</f>
        <v>5710</v>
      </c>
      <c r="B181" s="27" t="str">
        <f>Données!B181</f>
        <v>Coinsins</v>
      </c>
      <c r="C181" s="291">
        <f>VPI!R181</f>
        <v>33546.798235294118</v>
      </c>
      <c r="D181" s="27">
        <f>Données!Z181</f>
        <v>499</v>
      </c>
      <c r="E181" s="88">
        <f t="shared" si="21"/>
        <v>67.22805257573971</v>
      </c>
      <c r="F181" s="147">
        <f t="shared" si="22"/>
        <v>1.4032453724615352</v>
      </c>
      <c r="G181" s="393">
        <f t="shared" si="23"/>
        <v>19.319073935881399</v>
      </c>
      <c r="H181" s="393">
        <f t="shared" si="24"/>
        <v>9.7372782079097391</v>
      </c>
      <c r="I181" s="393">
        <f t="shared" si="25"/>
        <v>0</v>
      </c>
      <c r="J181" s="393">
        <f t="shared" si="26"/>
        <v>0</v>
      </c>
      <c r="K181" s="393">
        <f t="shared" si="27"/>
        <v>0</v>
      </c>
      <c r="L181" s="395">
        <f t="shared" si="28"/>
        <v>4.8375426079672543</v>
      </c>
      <c r="M181" s="250">
        <f>L181*D181*VPI!Q181</f>
        <v>123110.62183015865</v>
      </c>
    </row>
    <row r="182" spans="1:13" x14ac:dyDescent="0.25">
      <c r="A182" s="132">
        <f>Données!A182</f>
        <v>5711</v>
      </c>
      <c r="B182" s="27" t="str">
        <f>Données!B182</f>
        <v>Commugny</v>
      </c>
      <c r="C182" s="291">
        <f>VPI!R182</f>
        <v>305460.14325236168</v>
      </c>
      <c r="D182" s="27">
        <f>Données!Z182</f>
        <v>2983</v>
      </c>
      <c r="E182" s="88">
        <f t="shared" si="21"/>
        <v>102.40031620930664</v>
      </c>
      <c r="F182" s="147">
        <f t="shared" si="22"/>
        <v>2.137393013094079</v>
      </c>
      <c r="G182" s="393">
        <f t="shared" si="23"/>
        <v>54.491337569448326</v>
      </c>
      <c r="H182" s="393">
        <f t="shared" si="24"/>
        <v>44.909541841476667</v>
      </c>
      <c r="I182" s="393">
        <f t="shared" si="25"/>
        <v>30.536848249519167</v>
      </c>
      <c r="J182" s="393">
        <f t="shared" si="26"/>
        <v>6.5823589295900149</v>
      </c>
      <c r="K182" s="393">
        <f t="shared" si="27"/>
        <v>0</v>
      </c>
      <c r="L182" s="395">
        <f t="shared" si="28"/>
        <v>19.101142415948249</v>
      </c>
      <c r="M182" s="250">
        <f>L182*D182*VPI!Q182</f>
        <v>3247786.3461260968</v>
      </c>
    </row>
    <row r="183" spans="1:13" x14ac:dyDescent="0.25">
      <c r="A183" s="132">
        <f>Données!A183</f>
        <v>5712</v>
      </c>
      <c r="B183" s="27" t="str">
        <f>Données!B183</f>
        <v>Coppet</v>
      </c>
      <c r="C183" s="291">
        <f>VPI!R183</f>
        <v>422775.96742138366</v>
      </c>
      <c r="D183" s="27">
        <f>Données!Z183</f>
        <v>3184</v>
      </c>
      <c r="E183" s="88">
        <f t="shared" si="21"/>
        <v>132.78139680319839</v>
      </c>
      <c r="F183" s="147">
        <f t="shared" si="22"/>
        <v>2.7715347012789309</v>
      </c>
      <c r="G183" s="393">
        <f t="shared" si="23"/>
        <v>84.872418163340086</v>
      </c>
      <c r="H183" s="393">
        <f t="shared" si="24"/>
        <v>75.290622435368419</v>
      </c>
      <c r="I183" s="393">
        <f t="shared" si="25"/>
        <v>60.91792884341092</v>
      </c>
      <c r="J183" s="393">
        <f t="shared" si="26"/>
        <v>36.963439523481767</v>
      </c>
      <c r="K183" s="393">
        <f t="shared" si="27"/>
        <v>0</v>
      </c>
      <c r="L183" s="395">
        <f t="shared" si="28"/>
        <v>34.291682712894129</v>
      </c>
      <c r="M183" s="250">
        <f>L183*D183*VPI!Q183</f>
        <v>5786790.0411663102</v>
      </c>
    </row>
    <row r="184" spans="1:13" x14ac:dyDescent="0.25">
      <c r="A184" s="132">
        <f>Données!A184</f>
        <v>5713</v>
      </c>
      <c r="B184" s="27" t="str">
        <f>Données!B184</f>
        <v>Crans</v>
      </c>
      <c r="C184" s="291">
        <f>VPI!R184</f>
        <v>284268.21966101695</v>
      </c>
      <c r="D184" s="27">
        <f>Données!Z184</f>
        <v>2357</v>
      </c>
      <c r="E184" s="88">
        <f t="shared" si="21"/>
        <v>120.60594809546753</v>
      </c>
      <c r="F184" s="147">
        <f t="shared" si="22"/>
        <v>2.5173976051981271</v>
      </c>
      <c r="G184" s="393">
        <f t="shared" si="23"/>
        <v>72.696969455609207</v>
      </c>
      <c r="H184" s="393">
        <f t="shared" si="24"/>
        <v>63.115173727637554</v>
      </c>
      <c r="I184" s="393">
        <f t="shared" si="25"/>
        <v>48.742480135680054</v>
      </c>
      <c r="J184" s="393">
        <f t="shared" si="26"/>
        <v>24.787990815750902</v>
      </c>
      <c r="K184" s="393">
        <f t="shared" si="27"/>
        <v>0</v>
      </c>
      <c r="L184" s="395">
        <f t="shared" si="28"/>
        <v>28.203958359028693</v>
      </c>
      <c r="M184" s="250">
        <f>L184*D184*VPI!Q184</f>
        <v>3922127.0612816066</v>
      </c>
    </row>
    <row r="185" spans="1:13" x14ac:dyDescent="0.25">
      <c r="A185" s="132">
        <f>Données!A185</f>
        <v>5714</v>
      </c>
      <c r="B185" s="27" t="str">
        <f>Données!B185</f>
        <v>Crassier</v>
      </c>
      <c r="C185" s="291">
        <f>VPI!R185</f>
        <v>62524.177894736851</v>
      </c>
      <c r="D185" s="27">
        <f>Données!Z185</f>
        <v>1233</v>
      </c>
      <c r="E185" s="88">
        <f t="shared" si="21"/>
        <v>50.708984505058275</v>
      </c>
      <c r="F185" s="147">
        <f t="shared" si="22"/>
        <v>1.0584442821511222</v>
      </c>
      <c r="G185" s="393">
        <f t="shared" si="23"/>
        <v>2.8000058651999638</v>
      </c>
      <c r="H185" s="393">
        <f t="shared" si="24"/>
        <v>0</v>
      </c>
      <c r="I185" s="393">
        <f t="shared" si="25"/>
        <v>0</v>
      </c>
      <c r="J185" s="393">
        <f t="shared" si="26"/>
        <v>0</v>
      </c>
      <c r="K185" s="393">
        <f t="shared" si="27"/>
        <v>0</v>
      </c>
      <c r="L185" s="395">
        <f t="shared" si="28"/>
        <v>0.56000117303999275</v>
      </c>
      <c r="M185" s="250">
        <f>L185*D185*VPI!Q185</f>
        <v>45917.016182827683</v>
      </c>
    </row>
    <row r="186" spans="1:13" x14ac:dyDescent="0.25">
      <c r="A186" s="132">
        <f>Données!A186</f>
        <v>5715</v>
      </c>
      <c r="B186" s="27" t="str">
        <f>Données!B186</f>
        <v>Duillier</v>
      </c>
      <c r="C186" s="291">
        <f>VPI!R186</f>
        <v>60549.503181818189</v>
      </c>
      <c r="D186" s="27">
        <f>Données!Z186</f>
        <v>1116</v>
      </c>
      <c r="E186" s="88">
        <f t="shared" si="21"/>
        <v>54.255827223851426</v>
      </c>
      <c r="F186" s="147">
        <f t="shared" si="22"/>
        <v>1.1324772258599727</v>
      </c>
      <c r="G186" s="393">
        <f t="shared" si="23"/>
        <v>6.3468485839931148</v>
      </c>
      <c r="H186" s="393">
        <f t="shared" si="24"/>
        <v>0</v>
      </c>
      <c r="I186" s="393">
        <f t="shared" si="25"/>
        <v>0</v>
      </c>
      <c r="J186" s="393">
        <f t="shared" si="26"/>
        <v>0</v>
      </c>
      <c r="K186" s="393">
        <f t="shared" si="27"/>
        <v>0</v>
      </c>
      <c r="L186" s="395">
        <f t="shared" si="28"/>
        <v>1.2693697167986231</v>
      </c>
      <c r="M186" s="250">
        <f>L186*D186*VPI!Q186</f>
        <v>93496.695860519394</v>
      </c>
    </row>
    <row r="187" spans="1:13" x14ac:dyDescent="0.25">
      <c r="A187" s="132">
        <f>Données!A187</f>
        <v>5716</v>
      </c>
      <c r="B187" s="27" t="str">
        <f>Données!B187</f>
        <v>Eysins</v>
      </c>
      <c r="C187" s="291">
        <f>VPI!R187</f>
        <v>232449.31983193275</v>
      </c>
      <c r="D187" s="27">
        <f>Données!Z187</f>
        <v>1768</v>
      </c>
      <c r="E187" s="88">
        <f t="shared" si="21"/>
        <v>131.47585963344613</v>
      </c>
      <c r="F187" s="147">
        <f t="shared" si="22"/>
        <v>2.7442843359650251</v>
      </c>
      <c r="G187" s="393">
        <f t="shared" si="23"/>
        <v>83.56688099358783</v>
      </c>
      <c r="H187" s="393">
        <f t="shared" si="24"/>
        <v>73.985085265616163</v>
      </c>
      <c r="I187" s="393">
        <f t="shared" si="25"/>
        <v>59.612391673658664</v>
      </c>
      <c r="J187" s="393">
        <f t="shared" si="26"/>
        <v>35.657902353729511</v>
      </c>
      <c r="K187" s="393">
        <f t="shared" si="27"/>
        <v>0</v>
      </c>
      <c r="L187" s="395">
        <f t="shared" si="28"/>
        <v>33.638914128018001</v>
      </c>
      <c r="M187" s="250">
        <f>L187*D187*VPI!Q187</f>
        <v>3538679.210610982</v>
      </c>
    </row>
    <row r="188" spans="1:13" x14ac:dyDescent="0.25">
      <c r="A188" s="132">
        <f>Données!A188</f>
        <v>5717</v>
      </c>
      <c r="B188" s="27" t="str">
        <f>Données!B188</f>
        <v>Founex</v>
      </c>
      <c r="C188" s="291">
        <f>VPI!R188</f>
        <v>361580.60666666663</v>
      </c>
      <c r="D188" s="27">
        <f>Données!Z188</f>
        <v>3763</v>
      </c>
      <c r="E188" s="88">
        <f t="shared" si="21"/>
        <v>96.08838869696163</v>
      </c>
      <c r="F188" s="147">
        <f t="shared" si="22"/>
        <v>2.005644691765982</v>
      </c>
      <c r="G188" s="393">
        <f t="shared" si="23"/>
        <v>48.179410057103318</v>
      </c>
      <c r="H188" s="393">
        <f t="shared" si="24"/>
        <v>38.597614329131659</v>
      </c>
      <c r="I188" s="393">
        <f t="shared" si="25"/>
        <v>24.224920737174159</v>
      </c>
      <c r="J188" s="393">
        <f t="shared" si="26"/>
        <v>0.27043141724500686</v>
      </c>
      <c r="K188" s="393">
        <f t="shared" si="27"/>
        <v>0</v>
      </c>
      <c r="L188" s="395">
        <f t="shared" si="28"/>
        <v>15.945178659775745</v>
      </c>
      <c r="M188" s="250">
        <f>L188*D188*VPI!Q188</f>
        <v>3420097.3159139594</v>
      </c>
    </row>
    <row r="189" spans="1:13" x14ac:dyDescent="0.25">
      <c r="A189" s="132">
        <f>Données!A189</f>
        <v>5718</v>
      </c>
      <c r="B189" s="27" t="str">
        <f>Données!B189</f>
        <v>Genolier</v>
      </c>
      <c r="C189" s="291">
        <f>VPI!R189</f>
        <v>212690.22036363633</v>
      </c>
      <c r="D189" s="27">
        <f>Données!Z189</f>
        <v>2026</v>
      </c>
      <c r="E189" s="88">
        <f t="shared" si="21"/>
        <v>104.98036543121241</v>
      </c>
      <c r="F189" s="147">
        <f t="shared" si="22"/>
        <v>2.19124615910457</v>
      </c>
      <c r="G189" s="393">
        <f t="shared" si="23"/>
        <v>57.071386791354094</v>
      </c>
      <c r="H189" s="393">
        <f t="shared" si="24"/>
        <v>47.489591063382434</v>
      </c>
      <c r="I189" s="393">
        <f t="shared" si="25"/>
        <v>33.116897471424934</v>
      </c>
      <c r="J189" s="393">
        <f t="shared" si="26"/>
        <v>9.1624081514957822</v>
      </c>
      <c r="K189" s="393">
        <f t="shared" si="27"/>
        <v>0</v>
      </c>
      <c r="L189" s="395">
        <f t="shared" si="28"/>
        <v>20.391167026901133</v>
      </c>
      <c r="M189" s="250">
        <f>L189*D189*VPI!Q189</f>
        <v>2272187.741807593</v>
      </c>
    </row>
    <row r="190" spans="1:13" x14ac:dyDescent="0.25">
      <c r="A190" s="132">
        <f>Données!A190</f>
        <v>5719</v>
      </c>
      <c r="B190" s="27" t="str">
        <f>Données!B190</f>
        <v>Gingins</v>
      </c>
      <c r="C190" s="291">
        <f>VPI!R190</f>
        <v>119942.45777777776</v>
      </c>
      <c r="D190" s="27">
        <f>Données!Z190</f>
        <v>1270</v>
      </c>
      <c r="E190" s="88">
        <f t="shared" si="21"/>
        <v>94.442880139982492</v>
      </c>
      <c r="F190" s="147">
        <f t="shared" si="22"/>
        <v>1.9712981328600037</v>
      </c>
      <c r="G190" s="393">
        <f t="shared" si="23"/>
        <v>46.53390150012418</v>
      </c>
      <c r="H190" s="393">
        <f t="shared" si="24"/>
        <v>36.952105772152521</v>
      </c>
      <c r="I190" s="393">
        <f t="shared" si="25"/>
        <v>22.579412180195021</v>
      </c>
      <c r="J190" s="393">
        <f t="shared" si="26"/>
        <v>0</v>
      </c>
      <c r="K190" s="393">
        <f t="shared" si="27"/>
        <v>0</v>
      </c>
      <c r="L190" s="395">
        <f t="shared" si="28"/>
        <v>15.25993209525959</v>
      </c>
      <c r="M190" s="250">
        <f>L190*D190*VPI!Q190</f>
        <v>1162806.8256587808</v>
      </c>
    </row>
    <row r="191" spans="1:13" x14ac:dyDescent="0.25">
      <c r="A191" s="132">
        <f>Données!A191</f>
        <v>5720</v>
      </c>
      <c r="B191" s="27" t="str">
        <f>Données!B191</f>
        <v>Givrins</v>
      </c>
      <c r="C191" s="291">
        <f>VPI!R191</f>
        <v>84867.165124378109</v>
      </c>
      <c r="D191" s="27">
        <f>Données!Z191</f>
        <v>1024</v>
      </c>
      <c r="E191" s="88">
        <f t="shared" si="21"/>
        <v>82.878090941775497</v>
      </c>
      <c r="F191" s="147">
        <f t="shared" si="22"/>
        <v>1.7299072803197753</v>
      </c>
      <c r="G191" s="393">
        <f t="shared" si="23"/>
        <v>34.969112301917185</v>
      </c>
      <c r="H191" s="393">
        <f t="shared" si="24"/>
        <v>25.387316573945526</v>
      </c>
      <c r="I191" s="393">
        <f t="shared" si="25"/>
        <v>11.014622981988026</v>
      </c>
      <c r="J191" s="393">
        <f t="shared" si="26"/>
        <v>0</v>
      </c>
      <c r="K191" s="393">
        <f t="shared" si="27"/>
        <v>0</v>
      </c>
      <c r="L191" s="395">
        <f t="shared" si="28"/>
        <v>10.634016415976792</v>
      </c>
      <c r="M191" s="250">
        <f>L191*D191*VPI!Q191</f>
        <v>729578.59826733568</v>
      </c>
    </row>
    <row r="192" spans="1:13" x14ac:dyDescent="0.25">
      <c r="A192" s="132">
        <f>Données!A192</f>
        <v>5721</v>
      </c>
      <c r="B192" s="27" t="str">
        <f>Données!B192</f>
        <v>Gland</v>
      </c>
      <c r="C192" s="291">
        <f>VPI!R192</f>
        <v>688905.14770491805</v>
      </c>
      <c r="D192" s="27">
        <f>Données!Z192</f>
        <v>13686</v>
      </c>
      <c r="E192" s="88">
        <f t="shared" si="21"/>
        <v>50.336486022571826</v>
      </c>
      <c r="F192" s="147">
        <f t="shared" si="22"/>
        <v>1.0506691532909016</v>
      </c>
      <c r="G192" s="393">
        <f t="shared" si="23"/>
        <v>2.4275073827135145</v>
      </c>
      <c r="H192" s="393">
        <f t="shared" si="24"/>
        <v>0</v>
      </c>
      <c r="I192" s="393">
        <f t="shared" si="25"/>
        <v>0</v>
      </c>
      <c r="J192" s="393">
        <f t="shared" si="26"/>
        <v>0</v>
      </c>
      <c r="K192" s="393">
        <f t="shared" si="27"/>
        <v>0</v>
      </c>
      <c r="L192" s="395">
        <f t="shared" si="28"/>
        <v>0.48550147654270293</v>
      </c>
      <c r="M192" s="250">
        <f>L192*D192*VPI!Q192</f>
        <v>405318.96568576939</v>
      </c>
    </row>
    <row r="193" spans="1:13" x14ac:dyDescent="0.25">
      <c r="A193" s="132">
        <f>Données!A193</f>
        <v>5722</v>
      </c>
      <c r="B193" s="27" t="str">
        <f>Données!B193</f>
        <v>Grens</v>
      </c>
      <c r="C193" s="291">
        <f>VPI!R193</f>
        <v>20912.601129032257</v>
      </c>
      <c r="D193" s="27">
        <f>Données!Z193</f>
        <v>400</v>
      </c>
      <c r="E193" s="88">
        <f t="shared" si="21"/>
        <v>52.281502822580642</v>
      </c>
      <c r="F193" s="147">
        <f t="shared" si="22"/>
        <v>1.0912673220523339</v>
      </c>
      <c r="G193" s="393">
        <f t="shared" si="23"/>
        <v>4.37252418272233</v>
      </c>
      <c r="H193" s="393">
        <f t="shared" si="24"/>
        <v>0</v>
      </c>
      <c r="I193" s="393">
        <f t="shared" si="25"/>
        <v>0</v>
      </c>
      <c r="J193" s="393">
        <f t="shared" si="26"/>
        <v>0</v>
      </c>
      <c r="K193" s="393">
        <f t="shared" si="27"/>
        <v>0</v>
      </c>
      <c r="L193" s="395">
        <f t="shared" si="28"/>
        <v>0.87450483654446609</v>
      </c>
      <c r="M193" s="250">
        <f>L193*D193*VPI!Q193</f>
        <v>21687.719946302761</v>
      </c>
    </row>
    <row r="194" spans="1:13" x14ac:dyDescent="0.25">
      <c r="A194" s="132">
        <f>Données!A194</f>
        <v>5723</v>
      </c>
      <c r="B194" s="27" t="str">
        <f>Données!B194</f>
        <v>Mies</v>
      </c>
      <c r="C194" s="291">
        <f>VPI!R194</f>
        <v>253768.06750000003</v>
      </c>
      <c r="D194" s="27">
        <f>Données!Z194</f>
        <v>2226</v>
      </c>
      <c r="E194" s="88">
        <f t="shared" si="21"/>
        <v>114.00182726864332</v>
      </c>
      <c r="F194" s="147">
        <f t="shared" si="22"/>
        <v>2.3795503578905035</v>
      </c>
      <c r="G194" s="393">
        <f t="shared" si="23"/>
        <v>66.092848628785021</v>
      </c>
      <c r="H194" s="393">
        <f t="shared" si="24"/>
        <v>56.511052900813354</v>
      </c>
      <c r="I194" s="393">
        <f t="shared" si="25"/>
        <v>42.138359308855854</v>
      </c>
      <c r="J194" s="393">
        <f t="shared" si="26"/>
        <v>18.183869988926702</v>
      </c>
      <c r="K194" s="393">
        <f t="shared" si="27"/>
        <v>0</v>
      </c>
      <c r="L194" s="395">
        <f t="shared" si="28"/>
        <v>24.901897945616597</v>
      </c>
      <c r="M194" s="250">
        <f>L194*D194*VPI!Q194</f>
        <v>2882444.4910010123</v>
      </c>
    </row>
    <row r="195" spans="1:13" x14ac:dyDescent="0.25">
      <c r="A195" s="132">
        <f>Données!A195</f>
        <v>5724</v>
      </c>
      <c r="B195" s="27" t="str">
        <f>Données!B195</f>
        <v>Nyon</v>
      </c>
      <c r="C195" s="291">
        <f>VPI!R195</f>
        <v>1519986.9332786887</v>
      </c>
      <c r="D195" s="27">
        <f>Données!Z195</f>
        <v>22461</v>
      </c>
      <c r="E195" s="88">
        <f t="shared" si="21"/>
        <v>67.672273419646885</v>
      </c>
      <c r="F195" s="147">
        <f t="shared" si="22"/>
        <v>1.4125175560170744</v>
      </c>
      <c r="G195" s="393">
        <f t="shared" si="23"/>
        <v>19.763294779788573</v>
      </c>
      <c r="H195" s="393">
        <f t="shared" si="24"/>
        <v>10.181499051816914</v>
      </c>
      <c r="I195" s="393">
        <f t="shared" si="25"/>
        <v>0</v>
      </c>
      <c r="J195" s="393">
        <f t="shared" si="26"/>
        <v>0</v>
      </c>
      <c r="K195" s="393">
        <f t="shared" si="27"/>
        <v>0</v>
      </c>
      <c r="L195" s="395">
        <f t="shared" si="28"/>
        <v>4.9708088611394068</v>
      </c>
      <c r="M195" s="250">
        <f>L195*D195*VPI!Q195</f>
        <v>6810609.6076331856</v>
      </c>
    </row>
    <row r="196" spans="1:13" x14ac:dyDescent="0.25">
      <c r="A196" s="132">
        <f>Données!A196</f>
        <v>5725</v>
      </c>
      <c r="B196" s="27" t="str">
        <f>Données!B196</f>
        <v>Prangins</v>
      </c>
      <c r="C196" s="291">
        <f>VPI!R196</f>
        <v>388906.70535064931</v>
      </c>
      <c r="D196" s="27">
        <f>Données!Z196</f>
        <v>4277</v>
      </c>
      <c r="E196" s="88">
        <f t="shared" si="21"/>
        <v>90.929788485071157</v>
      </c>
      <c r="F196" s="147">
        <f t="shared" si="22"/>
        <v>1.8979696722113231</v>
      </c>
      <c r="G196" s="393">
        <f t="shared" si="23"/>
        <v>43.020809845212845</v>
      </c>
      <c r="H196" s="393">
        <f t="shared" si="24"/>
        <v>33.439014117241186</v>
      </c>
      <c r="I196" s="393">
        <f t="shared" si="25"/>
        <v>19.066320525283686</v>
      </c>
      <c r="J196" s="393">
        <f t="shared" si="26"/>
        <v>0</v>
      </c>
      <c r="K196" s="393">
        <f t="shared" si="27"/>
        <v>0</v>
      </c>
      <c r="L196" s="395">
        <f t="shared" si="28"/>
        <v>13.854695433295056</v>
      </c>
      <c r="M196" s="250">
        <f>L196*D196*VPI!Q196</f>
        <v>3259109.2802511626</v>
      </c>
    </row>
    <row r="197" spans="1:13" x14ac:dyDescent="0.25">
      <c r="A197" s="132">
        <f>Données!A197</f>
        <v>5726</v>
      </c>
      <c r="B197" s="27" t="str">
        <f>Données!B197</f>
        <v>La Rippe</v>
      </c>
      <c r="C197" s="291">
        <f>VPI!R197</f>
        <v>69785.14234375002</v>
      </c>
      <c r="D197" s="27">
        <f>Données!Z197</f>
        <v>1197</v>
      </c>
      <c r="E197" s="88">
        <f t="shared" si="21"/>
        <v>58.300035374895586</v>
      </c>
      <c r="F197" s="147">
        <f t="shared" si="22"/>
        <v>1.216891635556437</v>
      </c>
      <c r="G197" s="393">
        <f t="shared" si="23"/>
        <v>10.391056735037274</v>
      </c>
      <c r="H197" s="393">
        <f t="shared" si="24"/>
        <v>0.80926100706561499</v>
      </c>
      <c r="I197" s="393">
        <f t="shared" si="25"/>
        <v>0</v>
      </c>
      <c r="J197" s="393">
        <f t="shared" si="26"/>
        <v>0</v>
      </c>
      <c r="K197" s="393">
        <f t="shared" si="27"/>
        <v>0</v>
      </c>
      <c r="L197" s="395">
        <f t="shared" si="28"/>
        <v>2.1591374477140164</v>
      </c>
      <c r="M197" s="250">
        <f>L197*D197*VPI!Q197</f>
        <v>165407.20159447537</v>
      </c>
    </row>
    <row r="198" spans="1:13" x14ac:dyDescent="0.25">
      <c r="A198" s="132">
        <f>Données!A198</f>
        <v>5727</v>
      </c>
      <c r="B198" s="27" t="str">
        <f>Données!B198</f>
        <v>Saint-Cergue</v>
      </c>
      <c r="C198" s="291">
        <f>VPI!R198</f>
        <v>107047.00984848487</v>
      </c>
      <c r="D198" s="27">
        <f>Données!Z198</f>
        <v>2786</v>
      </c>
      <c r="E198" s="88">
        <f t="shared" si="21"/>
        <v>38.4231909003894</v>
      </c>
      <c r="F198" s="147">
        <f t="shared" si="22"/>
        <v>0.8020039665054115</v>
      </c>
      <c r="G198" s="393">
        <f t="shared" si="23"/>
        <v>0</v>
      </c>
      <c r="H198" s="393">
        <f t="shared" si="24"/>
        <v>0</v>
      </c>
      <c r="I198" s="393">
        <f t="shared" si="25"/>
        <v>0</v>
      </c>
      <c r="J198" s="393">
        <f t="shared" si="26"/>
        <v>0</v>
      </c>
      <c r="K198" s="393">
        <f t="shared" si="27"/>
        <v>0</v>
      </c>
      <c r="L198" s="395">
        <f t="shared" si="28"/>
        <v>0</v>
      </c>
      <c r="M198" s="250">
        <f>L198*D198*VPI!Q198</f>
        <v>0</v>
      </c>
    </row>
    <row r="199" spans="1:13" x14ac:dyDescent="0.25">
      <c r="A199" s="132">
        <f>Données!A199</f>
        <v>5728</v>
      </c>
      <c r="B199" s="27" t="str">
        <f>Données!B199</f>
        <v>Signy-Avenex</v>
      </c>
      <c r="C199" s="291">
        <f>VPI!R199</f>
        <v>65974.816379310345</v>
      </c>
      <c r="D199" s="27">
        <f>Données!Z199</f>
        <v>583</v>
      </c>
      <c r="E199" s="88">
        <f t="shared" ref="E199:E262" si="29">C199/D199</f>
        <v>113.1643505648548</v>
      </c>
      <c r="F199" s="147">
        <f t="shared" ref="F199:F262" si="30">E199/$E$306</f>
        <v>2.362069778517605</v>
      </c>
      <c r="G199" s="393">
        <f t="shared" ref="G199:G262" si="31">IF(E199-$G$3&lt;0,0,E199-$G$3)</f>
        <v>65.255371924996496</v>
      </c>
      <c r="H199" s="393">
        <f t="shared" ref="H199:H262" si="32">IF(E199-$H$3&lt;0,0,E199-$H$3)</f>
        <v>55.673576197024829</v>
      </c>
      <c r="I199" s="393">
        <f t="shared" ref="I199:I262" si="33">IF(E199-$I$3&lt;0,0,E199-$I$3)</f>
        <v>41.300882605067329</v>
      </c>
      <c r="J199" s="393">
        <f t="shared" ref="J199:J262" si="34">IF(E199-$J$3&lt;0,0,E199-$J$3)</f>
        <v>17.346393285138177</v>
      </c>
      <c r="K199" s="393">
        <f t="shared" ref="K199:K262" si="35">IF(E199-$K$3&lt;0,0,E199-$K$3)</f>
        <v>0</v>
      </c>
      <c r="L199" s="395">
        <f t="shared" ref="L199:L262" si="36">(G199-H199)*$G$4+(H199-I199)*$H$4+(I199-J199)*$I$4+(J199-K199)*$J$4+(K199*$K$4)</f>
        <v>24.483159593722334</v>
      </c>
      <c r="M199" s="250">
        <f>L199*D199*VPI!Q199</f>
        <v>827873.55850212707</v>
      </c>
    </row>
    <row r="200" spans="1:13" x14ac:dyDescent="0.25">
      <c r="A200" s="132">
        <f>Données!A200</f>
        <v>5729</v>
      </c>
      <c r="B200" s="27" t="str">
        <f>Données!B200</f>
        <v>Tannay</v>
      </c>
      <c r="C200" s="291">
        <f>VPI!R200</f>
        <v>189083.86110192843</v>
      </c>
      <c r="D200" s="27">
        <f>Données!Z200</f>
        <v>1720</v>
      </c>
      <c r="E200" s="88">
        <f t="shared" si="29"/>
        <v>109.93247738484212</v>
      </c>
      <c r="F200" s="147">
        <f t="shared" si="30"/>
        <v>2.2946111669636555</v>
      </c>
      <c r="G200" s="393">
        <f t="shared" si="31"/>
        <v>62.023498744983804</v>
      </c>
      <c r="H200" s="393">
        <f t="shared" si="32"/>
        <v>52.441703017012145</v>
      </c>
      <c r="I200" s="393">
        <f t="shared" si="33"/>
        <v>38.069009425054645</v>
      </c>
      <c r="J200" s="393">
        <f t="shared" si="34"/>
        <v>14.114520105125493</v>
      </c>
      <c r="K200" s="393">
        <f t="shared" si="35"/>
        <v>0</v>
      </c>
      <c r="L200" s="395">
        <f t="shared" si="36"/>
        <v>22.867223003715988</v>
      </c>
      <c r="M200" s="250">
        <f>L200*D200*VPI!Q200</f>
        <v>2379563.2257666858</v>
      </c>
    </row>
    <row r="201" spans="1:13" x14ac:dyDescent="0.25">
      <c r="A201" s="132">
        <f>Données!A201</f>
        <v>5730</v>
      </c>
      <c r="B201" s="27" t="str">
        <f>Données!B201</f>
        <v>Trélex</v>
      </c>
      <c r="C201" s="291">
        <f>VPI!R201</f>
        <v>121413.58176176177</v>
      </c>
      <c r="D201" s="27">
        <f>Données!Z201</f>
        <v>1427</v>
      </c>
      <c r="E201" s="88">
        <f t="shared" si="29"/>
        <v>85.083098641739156</v>
      </c>
      <c r="F201" s="147">
        <f t="shared" si="30"/>
        <v>1.7759322168257099</v>
      </c>
      <c r="G201" s="393">
        <f t="shared" si="31"/>
        <v>37.174120001880844</v>
      </c>
      <c r="H201" s="393">
        <f t="shared" si="32"/>
        <v>27.592324273909185</v>
      </c>
      <c r="I201" s="393">
        <f t="shared" si="33"/>
        <v>13.219630681951685</v>
      </c>
      <c r="J201" s="393">
        <f t="shared" si="34"/>
        <v>0</v>
      </c>
      <c r="K201" s="393">
        <f t="shared" si="35"/>
        <v>0</v>
      </c>
      <c r="L201" s="395">
        <f t="shared" si="36"/>
        <v>11.516019495962256</v>
      </c>
      <c r="M201" s="250">
        <f>L201*D201*VPI!Q201</f>
        <v>912051.47005096683</v>
      </c>
    </row>
    <row r="202" spans="1:13" x14ac:dyDescent="0.25">
      <c r="A202" s="132">
        <f>Données!A202</f>
        <v>5731</v>
      </c>
      <c r="B202" s="27" t="str">
        <f>Données!B202</f>
        <v>Le Vaud</v>
      </c>
      <c r="C202" s="291">
        <f>VPI!R202</f>
        <v>69610.281891891893</v>
      </c>
      <c r="D202" s="27">
        <f>Données!Z202</f>
        <v>1411</v>
      </c>
      <c r="E202" s="88">
        <f t="shared" si="29"/>
        <v>49.334005593119699</v>
      </c>
      <c r="F202" s="147">
        <f t="shared" si="30"/>
        <v>1.0297444653114733</v>
      </c>
      <c r="G202" s="393">
        <f t="shared" si="31"/>
        <v>1.4250269532613871</v>
      </c>
      <c r="H202" s="393">
        <f t="shared" si="32"/>
        <v>0</v>
      </c>
      <c r="I202" s="393">
        <f t="shared" si="33"/>
        <v>0</v>
      </c>
      <c r="J202" s="393">
        <f t="shared" si="34"/>
        <v>0</v>
      </c>
      <c r="K202" s="393">
        <f t="shared" si="35"/>
        <v>0</v>
      </c>
      <c r="L202" s="395">
        <f t="shared" si="36"/>
        <v>0.28500539065227742</v>
      </c>
      <c r="M202" s="250">
        <f>L202*D202*VPI!Q202</f>
        <v>29758.552859566895</v>
      </c>
    </row>
    <row r="203" spans="1:13" x14ac:dyDescent="0.25">
      <c r="A203" s="132">
        <f>Données!A203</f>
        <v>5732</v>
      </c>
      <c r="B203" s="27" t="str">
        <f>Données!B203</f>
        <v>Vich</v>
      </c>
      <c r="C203" s="291">
        <f>VPI!R203</f>
        <v>79859.716666666689</v>
      </c>
      <c r="D203" s="27">
        <f>Données!Z203</f>
        <v>1160</v>
      </c>
      <c r="E203" s="88">
        <f t="shared" si="29"/>
        <v>68.844583333333347</v>
      </c>
      <c r="F203" s="147">
        <f t="shared" si="30"/>
        <v>1.4369870802475733</v>
      </c>
      <c r="G203" s="393">
        <f t="shared" si="31"/>
        <v>20.935604693475035</v>
      </c>
      <c r="H203" s="393">
        <f t="shared" si="32"/>
        <v>11.353808965503376</v>
      </c>
      <c r="I203" s="393">
        <f t="shared" si="33"/>
        <v>0</v>
      </c>
      <c r="J203" s="393">
        <f t="shared" si="34"/>
        <v>0</v>
      </c>
      <c r="K203" s="393">
        <f t="shared" si="35"/>
        <v>0</v>
      </c>
      <c r="L203" s="395">
        <f t="shared" si="36"/>
        <v>5.3225018352453448</v>
      </c>
      <c r="M203" s="250">
        <f>L203*D203*VPI!Q203</f>
        <v>388968.43411972979</v>
      </c>
    </row>
    <row r="204" spans="1:13" x14ac:dyDescent="0.25">
      <c r="A204" s="132">
        <f>Données!A204</f>
        <v>5741</v>
      </c>
      <c r="B204" s="27" t="str">
        <f>Données!B204</f>
        <v>L'Abergement</v>
      </c>
      <c r="C204" s="291">
        <f>VPI!R204</f>
        <v>10833.767520833331</v>
      </c>
      <c r="D204" s="27">
        <f>Données!Z204</f>
        <v>260</v>
      </c>
      <c r="E204" s="88">
        <f t="shared" si="29"/>
        <v>41.668336618589734</v>
      </c>
      <c r="F204" s="147">
        <f t="shared" si="30"/>
        <v>0.86973961461001348</v>
      </c>
      <c r="G204" s="393">
        <f t="shared" si="31"/>
        <v>0</v>
      </c>
      <c r="H204" s="393">
        <f t="shared" si="32"/>
        <v>0</v>
      </c>
      <c r="I204" s="393">
        <f t="shared" si="33"/>
        <v>0</v>
      </c>
      <c r="J204" s="393">
        <f t="shared" si="34"/>
        <v>0</v>
      </c>
      <c r="K204" s="393">
        <f t="shared" si="35"/>
        <v>0</v>
      </c>
      <c r="L204" s="395">
        <f t="shared" si="36"/>
        <v>0</v>
      </c>
      <c r="M204" s="250">
        <f>L204*D204*VPI!Q204</f>
        <v>0</v>
      </c>
    </row>
    <row r="205" spans="1:13" x14ac:dyDescent="0.25">
      <c r="A205" s="132">
        <f>Données!A205</f>
        <v>5742</v>
      </c>
      <c r="B205" s="27" t="str">
        <f>Données!B205</f>
        <v>Agiez</v>
      </c>
      <c r="C205" s="291">
        <f>VPI!R205</f>
        <v>9049.0200000000023</v>
      </c>
      <c r="D205" s="27">
        <f>Données!Z205</f>
        <v>381</v>
      </c>
      <c r="E205" s="88">
        <f t="shared" si="29"/>
        <v>23.750708661417328</v>
      </c>
      <c r="F205" s="147">
        <f t="shared" si="30"/>
        <v>0.49574650380164248</v>
      </c>
      <c r="G205" s="393">
        <f t="shared" si="31"/>
        <v>0</v>
      </c>
      <c r="H205" s="393">
        <f t="shared" si="32"/>
        <v>0</v>
      </c>
      <c r="I205" s="393">
        <f t="shared" si="33"/>
        <v>0</v>
      </c>
      <c r="J205" s="393">
        <f t="shared" si="34"/>
        <v>0</v>
      </c>
      <c r="K205" s="393">
        <f t="shared" si="35"/>
        <v>0</v>
      </c>
      <c r="L205" s="395">
        <f t="shared" si="36"/>
        <v>0</v>
      </c>
      <c r="M205" s="250">
        <f>L205*D205*VPI!Q205</f>
        <v>0</v>
      </c>
    </row>
    <row r="206" spans="1:13" x14ac:dyDescent="0.25">
      <c r="A206" s="132">
        <f>Données!A206</f>
        <v>5743</v>
      </c>
      <c r="B206" s="27" t="str">
        <f>Données!B206</f>
        <v>Arnex-sur-Orbe</v>
      </c>
      <c r="C206" s="291">
        <f>VPI!R206</f>
        <v>19423.434366197183</v>
      </c>
      <c r="D206" s="27">
        <f>Données!Z206</f>
        <v>692</v>
      </c>
      <c r="E206" s="88">
        <f t="shared" si="29"/>
        <v>28.068546771961248</v>
      </c>
      <c r="F206" s="147">
        <f t="shared" si="30"/>
        <v>0.58587236816209987</v>
      </c>
      <c r="G206" s="393">
        <f t="shared" si="31"/>
        <v>0</v>
      </c>
      <c r="H206" s="393">
        <f t="shared" si="32"/>
        <v>0</v>
      </c>
      <c r="I206" s="393">
        <f t="shared" si="33"/>
        <v>0</v>
      </c>
      <c r="J206" s="393">
        <f t="shared" si="34"/>
        <v>0</v>
      </c>
      <c r="K206" s="393">
        <f t="shared" si="35"/>
        <v>0</v>
      </c>
      <c r="L206" s="395">
        <f t="shared" si="36"/>
        <v>0</v>
      </c>
      <c r="M206" s="250">
        <f>L206*D206*VPI!Q206</f>
        <v>0</v>
      </c>
    </row>
    <row r="207" spans="1:13" x14ac:dyDescent="0.25">
      <c r="A207" s="132">
        <f>Données!A207</f>
        <v>5744</v>
      </c>
      <c r="B207" s="27" t="str">
        <f>Données!B207</f>
        <v>Ballaigues</v>
      </c>
      <c r="C207" s="291">
        <f>VPI!R207</f>
        <v>54083.704307692322</v>
      </c>
      <c r="D207" s="27">
        <f>Données!Z207</f>
        <v>1152</v>
      </c>
      <c r="E207" s="88">
        <f t="shared" si="29"/>
        <v>46.94765998931625</v>
      </c>
      <c r="F207" s="147">
        <f t="shared" si="30"/>
        <v>0.97993447829960034</v>
      </c>
      <c r="G207" s="393">
        <f t="shared" si="31"/>
        <v>0</v>
      </c>
      <c r="H207" s="393">
        <f t="shared" si="32"/>
        <v>0</v>
      </c>
      <c r="I207" s="393">
        <f t="shared" si="33"/>
        <v>0</v>
      </c>
      <c r="J207" s="393">
        <f t="shared" si="34"/>
        <v>0</v>
      </c>
      <c r="K207" s="393">
        <f t="shared" si="35"/>
        <v>0</v>
      </c>
      <c r="L207" s="395">
        <f t="shared" si="36"/>
        <v>0</v>
      </c>
      <c r="M207" s="250">
        <f>L207*D207*VPI!Q207</f>
        <v>0</v>
      </c>
    </row>
    <row r="208" spans="1:13" x14ac:dyDescent="0.25">
      <c r="A208" s="132">
        <f>Données!A208</f>
        <v>5745</v>
      </c>
      <c r="B208" s="27" t="str">
        <f>Données!B208</f>
        <v>Baulmes</v>
      </c>
      <c r="C208" s="291">
        <f>VPI!R208</f>
        <v>27704.620130718955</v>
      </c>
      <c r="D208" s="27">
        <f>Données!Z208</f>
        <v>1132</v>
      </c>
      <c r="E208" s="88">
        <f t="shared" si="29"/>
        <v>24.47404605187187</v>
      </c>
      <c r="F208" s="147">
        <f t="shared" si="30"/>
        <v>0.51084466308180621</v>
      </c>
      <c r="G208" s="393">
        <f t="shared" si="31"/>
        <v>0</v>
      </c>
      <c r="H208" s="393">
        <f t="shared" si="32"/>
        <v>0</v>
      </c>
      <c r="I208" s="393">
        <f t="shared" si="33"/>
        <v>0</v>
      </c>
      <c r="J208" s="393">
        <f t="shared" si="34"/>
        <v>0</v>
      </c>
      <c r="K208" s="393">
        <f t="shared" si="35"/>
        <v>0</v>
      </c>
      <c r="L208" s="395">
        <f t="shared" si="36"/>
        <v>0</v>
      </c>
      <c r="M208" s="250">
        <f>L208*D208*VPI!Q208</f>
        <v>0</v>
      </c>
    </row>
    <row r="209" spans="1:13" x14ac:dyDescent="0.25">
      <c r="A209" s="132">
        <f>Données!A209</f>
        <v>5746</v>
      </c>
      <c r="B209" s="27" t="str">
        <f>Données!B209</f>
        <v>Bavois</v>
      </c>
      <c r="C209" s="291">
        <f>VPI!R209</f>
        <v>29513.069143518514</v>
      </c>
      <c r="D209" s="27">
        <f>Données!Z209</f>
        <v>1009</v>
      </c>
      <c r="E209" s="88">
        <f t="shared" si="29"/>
        <v>29.249820756708143</v>
      </c>
      <c r="F209" s="147">
        <f t="shared" si="30"/>
        <v>0.61052899867862109</v>
      </c>
      <c r="G209" s="393">
        <f t="shared" si="31"/>
        <v>0</v>
      </c>
      <c r="H209" s="393">
        <f t="shared" si="32"/>
        <v>0</v>
      </c>
      <c r="I209" s="393">
        <f t="shared" si="33"/>
        <v>0</v>
      </c>
      <c r="J209" s="393">
        <f t="shared" si="34"/>
        <v>0</v>
      </c>
      <c r="K209" s="393">
        <f t="shared" si="35"/>
        <v>0</v>
      </c>
      <c r="L209" s="395">
        <f t="shared" si="36"/>
        <v>0</v>
      </c>
      <c r="M209" s="250">
        <f>L209*D209*VPI!Q209</f>
        <v>0</v>
      </c>
    </row>
    <row r="210" spans="1:13" x14ac:dyDescent="0.25">
      <c r="A210" s="132">
        <f>Données!A210</f>
        <v>5747</v>
      </c>
      <c r="B210" s="27" t="str">
        <f>Données!B210</f>
        <v>Bofflens</v>
      </c>
      <c r="C210" s="291">
        <f>VPI!R210</f>
        <v>5777.9618840579697</v>
      </c>
      <c r="D210" s="27">
        <f>Données!Z210</f>
        <v>204</v>
      </c>
      <c r="E210" s="88">
        <f t="shared" si="29"/>
        <v>28.323342568911617</v>
      </c>
      <c r="F210" s="147">
        <f t="shared" si="30"/>
        <v>0.59119069896739052</v>
      </c>
      <c r="G210" s="393">
        <f t="shared" si="31"/>
        <v>0</v>
      </c>
      <c r="H210" s="393">
        <f t="shared" si="32"/>
        <v>0</v>
      </c>
      <c r="I210" s="393">
        <f t="shared" si="33"/>
        <v>0</v>
      </c>
      <c r="J210" s="393">
        <f t="shared" si="34"/>
        <v>0</v>
      </c>
      <c r="K210" s="393">
        <f t="shared" si="35"/>
        <v>0</v>
      </c>
      <c r="L210" s="395">
        <f t="shared" si="36"/>
        <v>0</v>
      </c>
      <c r="M210" s="250">
        <f>L210*D210*VPI!Q210</f>
        <v>0</v>
      </c>
    </row>
    <row r="211" spans="1:13" x14ac:dyDescent="0.25">
      <c r="A211" s="132">
        <f>Données!A211</f>
        <v>5748</v>
      </c>
      <c r="B211" s="27" t="str">
        <f>Données!B211</f>
        <v>Bretonnières</v>
      </c>
      <c r="C211" s="291">
        <f>VPI!R211</f>
        <v>6762.44146572104</v>
      </c>
      <c r="D211" s="27">
        <f>Données!Z211</f>
        <v>264</v>
      </c>
      <c r="E211" s="88">
        <f t="shared" si="29"/>
        <v>25.615308582276668</v>
      </c>
      <c r="F211" s="147">
        <f t="shared" si="30"/>
        <v>0.53466613794529483</v>
      </c>
      <c r="G211" s="393">
        <f t="shared" si="31"/>
        <v>0</v>
      </c>
      <c r="H211" s="393">
        <f t="shared" si="32"/>
        <v>0</v>
      </c>
      <c r="I211" s="393">
        <f t="shared" si="33"/>
        <v>0</v>
      </c>
      <c r="J211" s="393">
        <f t="shared" si="34"/>
        <v>0</v>
      </c>
      <c r="K211" s="393">
        <f t="shared" si="35"/>
        <v>0</v>
      </c>
      <c r="L211" s="395">
        <f t="shared" si="36"/>
        <v>0</v>
      </c>
      <c r="M211" s="250">
        <f>L211*D211*VPI!Q211</f>
        <v>0</v>
      </c>
    </row>
    <row r="212" spans="1:13" x14ac:dyDescent="0.25">
      <c r="A212" s="132">
        <f>Données!A212</f>
        <v>5749</v>
      </c>
      <c r="B212" s="27" t="str">
        <f>Données!B212</f>
        <v>Chavornay</v>
      </c>
      <c r="C212" s="291">
        <f>VPI!R212</f>
        <v>144688.12992907799</v>
      </c>
      <c r="D212" s="27">
        <f>Données!Z212</f>
        <v>5405</v>
      </c>
      <c r="E212" s="88">
        <f t="shared" si="29"/>
        <v>26.769311735259571</v>
      </c>
      <c r="F212" s="147">
        <f t="shared" si="30"/>
        <v>0.5587535467305621</v>
      </c>
      <c r="G212" s="393">
        <f t="shared" si="31"/>
        <v>0</v>
      </c>
      <c r="H212" s="393">
        <f t="shared" si="32"/>
        <v>0</v>
      </c>
      <c r="I212" s="393">
        <f t="shared" si="33"/>
        <v>0</v>
      </c>
      <c r="J212" s="393">
        <f t="shared" si="34"/>
        <v>0</v>
      </c>
      <c r="K212" s="393">
        <f t="shared" si="35"/>
        <v>0</v>
      </c>
      <c r="L212" s="395">
        <f t="shared" si="36"/>
        <v>0</v>
      </c>
      <c r="M212" s="250">
        <f>L212*D212*VPI!Q212</f>
        <v>0</v>
      </c>
    </row>
    <row r="213" spans="1:13" x14ac:dyDescent="0.25">
      <c r="A213" s="132">
        <f>Données!A213</f>
        <v>5750</v>
      </c>
      <c r="B213" s="27" t="str">
        <f>Données!B213</f>
        <v>Les Clées</v>
      </c>
      <c r="C213" s="291">
        <f>VPI!R213</f>
        <v>5460.4397083333333</v>
      </c>
      <c r="D213" s="27">
        <f>Données!Z213</f>
        <v>186</v>
      </c>
      <c r="E213" s="88">
        <f t="shared" si="29"/>
        <v>29.357202732974912</v>
      </c>
      <c r="F213" s="147">
        <f t="shared" si="30"/>
        <v>0.61277037345461005</v>
      </c>
      <c r="G213" s="393">
        <f t="shared" si="31"/>
        <v>0</v>
      </c>
      <c r="H213" s="393">
        <f t="shared" si="32"/>
        <v>0</v>
      </c>
      <c r="I213" s="393">
        <f t="shared" si="33"/>
        <v>0</v>
      </c>
      <c r="J213" s="393">
        <f t="shared" si="34"/>
        <v>0</v>
      </c>
      <c r="K213" s="393">
        <f t="shared" si="35"/>
        <v>0</v>
      </c>
      <c r="L213" s="395">
        <f t="shared" si="36"/>
        <v>0</v>
      </c>
      <c r="M213" s="250">
        <f>L213*D213*VPI!Q213</f>
        <v>0</v>
      </c>
    </row>
    <row r="214" spans="1:13" x14ac:dyDescent="0.25">
      <c r="A214" s="132">
        <f>Données!A214</f>
        <v>5752</v>
      </c>
      <c r="B214" s="27" t="str">
        <f>Données!B214</f>
        <v>Croy</v>
      </c>
      <c r="C214" s="291">
        <f>VPI!R214</f>
        <v>10204.205250965251</v>
      </c>
      <c r="D214" s="27">
        <f>Données!Z214</f>
        <v>386</v>
      </c>
      <c r="E214" s="88">
        <f t="shared" si="29"/>
        <v>26.435764898873707</v>
      </c>
      <c r="F214" s="147">
        <f t="shared" si="30"/>
        <v>0.55179145223689308</v>
      </c>
      <c r="G214" s="393">
        <f t="shared" si="31"/>
        <v>0</v>
      </c>
      <c r="H214" s="393">
        <f t="shared" si="32"/>
        <v>0</v>
      </c>
      <c r="I214" s="393">
        <f t="shared" si="33"/>
        <v>0</v>
      </c>
      <c r="J214" s="393">
        <f t="shared" si="34"/>
        <v>0</v>
      </c>
      <c r="K214" s="393">
        <f t="shared" si="35"/>
        <v>0</v>
      </c>
      <c r="L214" s="395">
        <f t="shared" si="36"/>
        <v>0</v>
      </c>
      <c r="M214" s="250">
        <f>L214*D214*VPI!Q214</f>
        <v>0</v>
      </c>
    </row>
    <row r="215" spans="1:13" x14ac:dyDescent="0.25">
      <c r="A215" s="132">
        <f>Données!A215</f>
        <v>5754</v>
      </c>
      <c r="B215" s="27" t="str">
        <f>Données!B215</f>
        <v>Juriens</v>
      </c>
      <c r="C215" s="291">
        <f>VPI!R215</f>
        <v>8633.221645569618</v>
      </c>
      <c r="D215" s="27">
        <f>Données!Z215</f>
        <v>346</v>
      </c>
      <c r="E215" s="88">
        <f t="shared" si="29"/>
        <v>24.951507646154965</v>
      </c>
      <c r="F215" s="147">
        <f t="shared" si="30"/>
        <v>0.52081067796749758</v>
      </c>
      <c r="G215" s="393">
        <f t="shared" si="31"/>
        <v>0</v>
      </c>
      <c r="H215" s="393">
        <f t="shared" si="32"/>
        <v>0</v>
      </c>
      <c r="I215" s="393">
        <f t="shared" si="33"/>
        <v>0</v>
      </c>
      <c r="J215" s="393">
        <f t="shared" si="34"/>
        <v>0</v>
      </c>
      <c r="K215" s="393">
        <f t="shared" si="35"/>
        <v>0</v>
      </c>
      <c r="L215" s="395">
        <f t="shared" si="36"/>
        <v>0</v>
      </c>
      <c r="M215" s="250">
        <f>L215*D215*VPI!Q215</f>
        <v>0</v>
      </c>
    </row>
    <row r="216" spans="1:13" x14ac:dyDescent="0.25">
      <c r="A216" s="132">
        <f>Données!A216</f>
        <v>5755</v>
      </c>
      <c r="B216" s="27" t="str">
        <f>Données!B216</f>
        <v>Lignerolle</v>
      </c>
      <c r="C216" s="291">
        <f>VPI!R216</f>
        <v>10920.772411282986</v>
      </c>
      <c r="D216" s="27">
        <f>Données!Z216</f>
        <v>447</v>
      </c>
      <c r="E216" s="88">
        <f t="shared" si="29"/>
        <v>24.431258190789677</v>
      </c>
      <c r="F216" s="147">
        <f t="shared" si="30"/>
        <v>0.50995155572913564</v>
      </c>
      <c r="G216" s="393">
        <f t="shared" si="31"/>
        <v>0</v>
      </c>
      <c r="H216" s="393">
        <f t="shared" si="32"/>
        <v>0</v>
      </c>
      <c r="I216" s="393">
        <f t="shared" si="33"/>
        <v>0</v>
      </c>
      <c r="J216" s="393">
        <f t="shared" si="34"/>
        <v>0</v>
      </c>
      <c r="K216" s="393">
        <f t="shared" si="35"/>
        <v>0</v>
      </c>
      <c r="L216" s="395">
        <f t="shared" si="36"/>
        <v>0</v>
      </c>
      <c r="M216" s="250">
        <f>L216*D216*VPI!Q216</f>
        <v>0</v>
      </c>
    </row>
    <row r="217" spans="1:13" x14ac:dyDescent="0.25">
      <c r="A217" s="132">
        <f>Données!A217</f>
        <v>5756</v>
      </c>
      <c r="B217" s="27" t="str">
        <f>Données!B217</f>
        <v>Montcherand</v>
      </c>
      <c r="C217" s="291">
        <f>VPI!R217</f>
        <v>17503.013888888887</v>
      </c>
      <c r="D217" s="27">
        <f>Données!Z217</f>
        <v>496</v>
      </c>
      <c r="E217" s="88">
        <f t="shared" si="29"/>
        <v>35.288334453405014</v>
      </c>
      <c r="F217" s="147">
        <f t="shared" si="30"/>
        <v>0.73657037689479277</v>
      </c>
      <c r="G217" s="393">
        <f t="shared" si="31"/>
        <v>0</v>
      </c>
      <c r="H217" s="393">
        <f t="shared" si="32"/>
        <v>0</v>
      </c>
      <c r="I217" s="393">
        <f t="shared" si="33"/>
        <v>0</v>
      </c>
      <c r="J217" s="393">
        <f t="shared" si="34"/>
        <v>0</v>
      </c>
      <c r="K217" s="393">
        <f t="shared" si="35"/>
        <v>0</v>
      </c>
      <c r="L217" s="395">
        <f t="shared" si="36"/>
        <v>0</v>
      </c>
      <c r="M217" s="250">
        <f>L217*D217*VPI!Q217</f>
        <v>0</v>
      </c>
    </row>
    <row r="218" spans="1:13" x14ac:dyDescent="0.25">
      <c r="A218" s="132">
        <f>Données!A218</f>
        <v>5757</v>
      </c>
      <c r="B218" s="27" t="str">
        <f>Données!B218</f>
        <v>Orbe</v>
      </c>
      <c r="C218" s="291">
        <f>VPI!R218</f>
        <v>217746.16132450331</v>
      </c>
      <c r="D218" s="27">
        <f>Données!Z218</f>
        <v>7617</v>
      </c>
      <c r="E218" s="88">
        <f t="shared" si="29"/>
        <v>28.586866394184497</v>
      </c>
      <c r="F218" s="147">
        <f t="shared" si="30"/>
        <v>0.59669120915889018</v>
      </c>
      <c r="G218" s="393">
        <f t="shared" si="31"/>
        <v>0</v>
      </c>
      <c r="H218" s="393">
        <f t="shared" si="32"/>
        <v>0</v>
      </c>
      <c r="I218" s="393">
        <f t="shared" si="33"/>
        <v>0</v>
      </c>
      <c r="J218" s="393">
        <f t="shared" si="34"/>
        <v>0</v>
      </c>
      <c r="K218" s="393">
        <f t="shared" si="35"/>
        <v>0</v>
      </c>
      <c r="L218" s="395">
        <f t="shared" si="36"/>
        <v>0</v>
      </c>
      <c r="M218" s="250">
        <f>L218*D218*VPI!Q218</f>
        <v>0</v>
      </c>
    </row>
    <row r="219" spans="1:13" x14ac:dyDescent="0.25">
      <c r="A219" s="132">
        <f>Données!A219</f>
        <v>5758</v>
      </c>
      <c r="B219" s="27" t="str">
        <f>Données!B219</f>
        <v>La Praz</v>
      </c>
      <c r="C219" s="291">
        <f>VPI!R219</f>
        <v>4500.7037349397597</v>
      </c>
      <c r="D219" s="27">
        <f>Données!Z219</f>
        <v>183</v>
      </c>
      <c r="E219" s="88">
        <f t="shared" si="29"/>
        <v>24.594009480545136</v>
      </c>
      <c r="F219" s="147">
        <f t="shared" si="30"/>
        <v>0.51334864943424041</v>
      </c>
      <c r="G219" s="393">
        <f t="shared" si="31"/>
        <v>0</v>
      </c>
      <c r="H219" s="393">
        <f t="shared" si="32"/>
        <v>0</v>
      </c>
      <c r="I219" s="393">
        <f t="shared" si="33"/>
        <v>0</v>
      </c>
      <c r="J219" s="393">
        <f t="shared" si="34"/>
        <v>0</v>
      </c>
      <c r="K219" s="393">
        <f t="shared" si="35"/>
        <v>0</v>
      </c>
      <c r="L219" s="395">
        <f t="shared" si="36"/>
        <v>0</v>
      </c>
      <c r="M219" s="250">
        <f>L219*D219*VPI!Q219</f>
        <v>0</v>
      </c>
    </row>
    <row r="220" spans="1:13" x14ac:dyDescent="0.25">
      <c r="A220" s="132">
        <f>Données!A220</f>
        <v>5759</v>
      </c>
      <c r="B220" s="27" t="str">
        <f>Données!B220</f>
        <v>Premier</v>
      </c>
      <c r="C220" s="291">
        <f>VPI!R220</f>
        <v>5667.0481761006295</v>
      </c>
      <c r="D220" s="27">
        <f>Données!Z220</f>
        <v>236</v>
      </c>
      <c r="E220" s="88">
        <f t="shared" si="29"/>
        <v>24.012916000426397</v>
      </c>
      <c r="F220" s="147">
        <f t="shared" si="30"/>
        <v>0.50121953508832751</v>
      </c>
      <c r="G220" s="393">
        <f t="shared" si="31"/>
        <v>0</v>
      </c>
      <c r="H220" s="393">
        <f t="shared" si="32"/>
        <v>0</v>
      </c>
      <c r="I220" s="393">
        <f t="shared" si="33"/>
        <v>0</v>
      </c>
      <c r="J220" s="393">
        <f t="shared" si="34"/>
        <v>0</v>
      </c>
      <c r="K220" s="393">
        <f t="shared" si="35"/>
        <v>0</v>
      </c>
      <c r="L220" s="395">
        <f t="shared" si="36"/>
        <v>0</v>
      </c>
      <c r="M220" s="250">
        <f>L220*D220*VPI!Q220</f>
        <v>0</v>
      </c>
    </row>
    <row r="221" spans="1:13" x14ac:dyDescent="0.25">
      <c r="A221" s="132">
        <f>Données!A221</f>
        <v>5760</v>
      </c>
      <c r="B221" s="27" t="str">
        <f>Données!B221</f>
        <v>Rances</v>
      </c>
      <c r="C221" s="291">
        <f>VPI!R221</f>
        <v>16308.667189542481</v>
      </c>
      <c r="D221" s="27">
        <f>Données!Z221</f>
        <v>521</v>
      </c>
      <c r="E221" s="88">
        <f t="shared" si="29"/>
        <v>31.302624164189023</v>
      </c>
      <c r="F221" s="147">
        <f t="shared" si="30"/>
        <v>0.65337698804846822</v>
      </c>
      <c r="G221" s="393">
        <f t="shared" si="31"/>
        <v>0</v>
      </c>
      <c r="H221" s="393">
        <f t="shared" si="32"/>
        <v>0</v>
      </c>
      <c r="I221" s="393">
        <f t="shared" si="33"/>
        <v>0</v>
      </c>
      <c r="J221" s="393">
        <f t="shared" si="34"/>
        <v>0</v>
      </c>
      <c r="K221" s="393">
        <f t="shared" si="35"/>
        <v>0</v>
      </c>
      <c r="L221" s="395">
        <f t="shared" si="36"/>
        <v>0</v>
      </c>
      <c r="M221" s="250">
        <f>L221*D221*VPI!Q221</f>
        <v>0</v>
      </c>
    </row>
    <row r="222" spans="1:13" x14ac:dyDescent="0.25">
      <c r="A222" s="132">
        <f>Données!A222</f>
        <v>5761</v>
      </c>
      <c r="B222" s="27" t="str">
        <f>Données!B222</f>
        <v>Romainmôtier-Envy</v>
      </c>
      <c r="C222" s="291">
        <f>VPI!R222</f>
        <v>14407.745072951739</v>
      </c>
      <c r="D222" s="27">
        <f>Données!Z222</f>
        <v>559</v>
      </c>
      <c r="E222" s="88">
        <f t="shared" si="29"/>
        <v>25.77414145429649</v>
      </c>
      <c r="F222" s="147">
        <f t="shared" si="30"/>
        <v>0.53798144285324956</v>
      </c>
      <c r="G222" s="393">
        <f t="shared" si="31"/>
        <v>0</v>
      </c>
      <c r="H222" s="393">
        <f t="shared" si="32"/>
        <v>0</v>
      </c>
      <c r="I222" s="393">
        <f t="shared" si="33"/>
        <v>0</v>
      </c>
      <c r="J222" s="393">
        <f t="shared" si="34"/>
        <v>0</v>
      </c>
      <c r="K222" s="393">
        <f t="shared" si="35"/>
        <v>0</v>
      </c>
      <c r="L222" s="395">
        <f t="shared" si="36"/>
        <v>0</v>
      </c>
      <c r="M222" s="250">
        <f>L222*D222*VPI!Q222</f>
        <v>0</v>
      </c>
    </row>
    <row r="223" spans="1:13" x14ac:dyDescent="0.25">
      <c r="A223" s="132">
        <f>Données!A223</f>
        <v>5762</v>
      </c>
      <c r="B223" s="27" t="str">
        <f>Données!B223</f>
        <v>Sergey</v>
      </c>
      <c r="C223" s="291">
        <f>VPI!R223</f>
        <v>3741.3970512820511</v>
      </c>
      <c r="D223" s="27">
        <f>Données!Z223</f>
        <v>140</v>
      </c>
      <c r="E223" s="88">
        <f t="shared" si="29"/>
        <v>26.72426465201465</v>
      </c>
      <c r="F223" s="147">
        <f t="shared" si="30"/>
        <v>0.5578132828275566</v>
      </c>
      <c r="G223" s="393">
        <f t="shared" si="31"/>
        <v>0</v>
      </c>
      <c r="H223" s="393">
        <f t="shared" si="32"/>
        <v>0</v>
      </c>
      <c r="I223" s="393">
        <f t="shared" si="33"/>
        <v>0</v>
      </c>
      <c r="J223" s="393">
        <f t="shared" si="34"/>
        <v>0</v>
      </c>
      <c r="K223" s="393">
        <f t="shared" si="35"/>
        <v>0</v>
      </c>
      <c r="L223" s="395">
        <f t="shared" si="36"/>
        <v>0</v>
      </c>
      <c r="M223" s="250">
        <f>L223*D223*VPI!Q223</f>
        <v>0</v>
      </c>
    </row>
    <row r="224" spans="1:13" x14ac:dyDescent="0.25">
      <c r="A224" s="132">
        <f>Données!A224</f>
        <v>5763</v>
      </c>
      <c r="B224" s="27" t="str">
        <f>Données!B224</f>
        <v>Valeyres-sous-Rances</v>
      </c>
      <c r="C224" s="291">
        <f>VPI!R224</f>
        <v>22296.785352112674</v>
      </c>
      <c r="D224" s="27">
        <f>Données!Z224</f>
        <v>606</v>
      </c>
      <c r="E224" s="88">
        <f t="shared" si="29"/>
        <v>36.793375168502763</v>
      </c>
      <c r="F224" s="147">
        <f t="shared" si="30"/>
        <v>0.76798496259096161</v>
      </c>
      <c r="G224" s="393">
        <f t="shared" si="31"/>
        <v>0</v>
      </c>
      <c r="H224" s="393">
        <f t="shared" si="32"/>
        <v>0</v>
      </c>
      <c r="I224" s="393">
        <f t="shared" si="33"/>
        <v>0</v>
      </c>
      <c r="J224" s="393">
        <f t="shared" si="34"/>
        <v>0</v>
      </c>
      <c r="K224" s="393">
        <f t="shared" si="35"/>
        <v>0</v>
      </c>
      <c r="L224" s="395">
        <f t="shared" si="36"/>
        <v>0</v>
      </c>
      <c r="M224" s="250">
        <f>L224*D224*VPI!Q224</f>
        <v>0</v>
      </c>
    </row>
    <row r="225" spans="1:13" x14ac:dyDescent="0.25">
      <c r="A225" s="132">
        <f>Données!A225</f>
        <v>5764</v>
      </c>
      <c r="B225" s="27" t="str">
        <f>Données!B225</f>
        <v>Vallorbe</v>
      </c>
      <c r="C225" s="291">
        <f>VPI!R225</f>
        <v>83714.253286713283</v>
      </c>
      <c r="D225" s="27">
        <f>Données!Z225</f>
        <v>3987</v>
      </c>
      <c r="E225" s="88">
        <f t="shared" si="29"/>
        <v>20.996802931204737</v>
      </c>
      <c r="F225" s="147">
        <f t="shared" si="30"/>
        <v>0.43826446581218192</v>
      </c>
      <c r="G225" s="393">
        <f t="shared" si="31"/>
        <v>0</v>
      </c>
      <c r="H225" s="393">
        <f t="shared" si="32"/>
        <v>0</v>
      </c>
      <c r="I225" s="393">
        <f t="shared" si="33"/>
        <v>0</v>
      </c>
      <c r="J225" s="393">
        <f t="shared" si="34"/>
        <v>0</v>
      </c>
      <c r="K225" s="393">
        <f t="shared" si="35"/>
        <v>0</v>
      </c>
      <c r="L225" s="395">
        <f t="shared" si="36"/>
        <v>0</v>
      </c>
      <c r="M225" s="250">
        <f>L225*D225*VPI!Q225</f>
        <v>0</v>
      </c>
    </row>
    <row r="226" spans="1:13" x14ac:dyDescent="0.25">
      <c r="A226" s="132">
        <f>Données!A226</f>
        <v>5765</v>
      </c>
      <c r="B226" s="27" t="str">
        <f>Données!B226</f>
        <v>Vaulion</v>
      </c>
      <c r="C226" s="291">
        <f>VPI!R226</f>
        <v>9627.8182716049378</v>
      </c>
      <c r="D226" s="27">
        <f>Données!Z226</f>
        <v>483</v>
      </c>
      <c r="E226" s="88">
        <f t="shared" si="29"/>
        <v>19.933371162743143</v>
      </c>
      <c r="F226" s="147">
        <f t="shared" si="30"/>
        <v>0.41606754576394567</v>
      </c>
      <c r="G226" s="393">
        <f t="shared" si="31"/>
        <v>0</v>
      </c>
      <c r="H226" s="393">
        <f t="shared" si="32"/>
        <v>0</v>
      </c>
      <c r="I226" s="393">
        <f t="shared" si="33"/>
        <v>0</v>
      </c>
      <c r="J226" s="393">
        <f t="shared" si="34"/>
        <v>0</v>
      </c>
      <c r="K226" s="393">
        <f t="shared" si="35"/>
        <v>0</v>
      </c>
      <c r="L226" s="395">
        <f t="shared" si="36"/>
        <v>0</v>
      </c>
      <c r="M226" s="250">
        <f>L226*D226*VPI!Q226</f>
        <v>0</v>
      </c>
    </row>
    <row r="227" spans="1:13" x14ac:dyDescent="0.25">
      <c r="A227" s="132">
        <f>Données!A227</f>
        <v>5766</v>
      </c>
      <c r="B227" s="27" t="str">
        <f>Données!B227</f>
        <v>Vuiteboeuf</v>
      </c>
      <c r="C227" s="291">
        <f>VPI!R227</f>
        <v>15422.129161904764</v>
      </c>
      <c r="D227" s="27">
        <f>Données!Z227</f>
        <v>592</v>
      </c>
      <c r="E227" s="88">
        <f t="shared" si="29"/>
        <v>26.050893854568859</v>
      </c>
      <c r="F227" s="147">
        <f t="shared" si="30"/>
        <v>0.54375807195554737</v>
      </c>
      <c r="G227" s="393">
        <f t="shared" si="31"/>
        <v>0</v>
      </c>
      <c r="H227" s="393">
        <f t="shared" si="32"/>
        <v>0</v>
      </c>
      <c r="I227" s="393">
        <f t="shared" si="33"/>
        <v>0</v>
      </c>
      <c r="J227" s="393">
        <f t="shared" si="34"/>
        <v>0</v>
      </c>
      <c r="K227" s="393">
        <f t="shared" si="35"/>
        <v>0</v>
      </c>
      <c r="L227" s="395">
        <f t="shared" si="36"/>
        <v>0</v>
      </c>
      <c r="M227" s="250">
        <f>L227*D227*VPI!Q227</f>
        <v>0</v>
      </c>
    </row>
    <row r="228" spans="1:13" x14ac:dyDescent="0.25">
      <c r="A228" s="132">
        <f>Données!A228</f>
        <v>5785</v>
      </c>
      <c r="B228" s="27" t="str">
        <f>Données!B228</f>
        <v>Corcelles-le-Jorat</v>
      </c>
      <c r="C228" s="291">
        <f>VPI!R228</f>
        <v>15461.79373333333</v>
      </c>
      <c r="D228" s="27">
        <f>Données!Z228</f>
        <v>485</v>
      </c>
      <c r="E228" s="88">
        <f t="shared" si="29"/>
        <v>31.879987079037793</v>
      </c>
      <c r="F228" s="147">
        <f t="shared" si="30"/>
        <v>0.66542823462562706</v>
      </c>
      <c r="G228" s="393">
        <f t="shared" si="31"/>
        <v>0</v>
      </c>
      <c r="H228" s="393">
        <f t="shared" si="32"/>
        <v>0</v>
      </c>
      <c r="I228" s="393">
        <f t="shared" si="33"/>
        <v>0</v>
      </c>
      <c r="J228" s="393">
        <f t="shared" si="34"/>
        <v>0</v>
      </c>
      <c r="K228" s="393">
        <f t="shared" si="35"/>
        <v>0</v>
      </c>
      <c r="L228" s="395">
        <f t="shared" si="36"/>
        <v>0</v>
      </c>
      <c r="M228" s="250">
        <f>L228*D228*VPI!Q228</f>
        <v>0</v>
      </c>
    </row>
    <row r="229" spans="1:13" x14ac:dyDescent="0.25">
      <c r="A229" s="132">
        <f>Données!A229</f>
        <v>5790</v>
      </c>
      <c r="B229" s="27" t="str">
        <f>Données!B229</f>
        <v>Maracon</v>
      </c>
      <c r="C229" s="291">
        <f>VPI!R229</f>
        <v>16326.326308724832</v>
      </c>
      <c r="D229" s="27">
        <f>Données!Z229</f>
        <v>544</v>
      </c>
      <c r="E229" s="88">
        <f t="shared" si="29"/>
        <v>30.011629243979471</v>
      </c>
      <c r="F229" s="147">
        <f t="shared" si="30"/>
        <v>0.62643016186137235</v>
      </c>
      <c r="G229" s="393">
        <f t="shared" si="31"/>
        <v>0</v>
      </c>
      <c r="H229" s="393">
        <f t="shared" si="32"/>
        <v>0</v>
      </c>
      <c r="I229" s="393">
        <f t="shared" si="33"/>
        <v>0</v>
      </c>
      <c r="J229" s="393">
        <f t="shared" si="34"/>
        <v>0</v>
      </c>
      <c r="K229" s="393">
        <f t="shared" si="35"/>
        <v>0</v>
      </c>
      <c r="L229" s="395">
        <f t="shared" si="36"/>
        <v>0</v>
      </c>
      <c r="M229" s="250">
        <f>L229*D229*VPI!Q229</f>
        <v>0</v>
      </c>
    </row>
    <row r="230" spans="1:13" x14ac:dyDescent="0.25">
      <c r="A230" s="132">
        <f>Données!A230</f>
        <v>5792</v>
      </c>
      <c r="B230" s="27" t="str">
        <f>Données!B230</f>
        <v>Montpreveyres</v>
      </c>
      <c r="C230" s="291">
        <f>VPI!R230</f>
        <v>19363.003178807943</v>
      </c>
      <c r="D230" s="27">
        <f>Données!Z230</f>
        <v>661</v>
      </c>
      <c r="E230" s="88">
        <f t="shared" si="29"/>
        <v>29.29349951408161</v>
      </c>
      <c r="F230" s="147">
        <f t="shared" si="30"/>
        <v>0.61144070163313013</v>
      </c>
      <c r="G230" s="393">
        <f t="shared" si="31"/>
        <v>0</v>
      </c>
      <c r="H230" s="393">
        <f t="shared" si="32"/>
        <v>0</v>
      </c>
      <c r="I230" s="393">
        <f t="shared" si="33"/>
        <v>0</v>
      </c>
      <c r="J230" s="393">
        <f t="shared" si="34"/>
        <v>0</v>
      </c>
      <c r="K230" s="393">
        <f t="shared" si="35"/>
        <v>0</v>
      </c>
      <c r="L230" s="395">
        <f t="shared" si="36"/>
        <v>0</v>
      </c>
      <c r="M230" s="250">
        <f>L230*D230*VPI!Q230</f>
        <v>0</v>
      </c>
    </row>
    <row r="231" spans="1:13" x14ac:dyDescent="0.25">
      <c r="A231" s="132">
        <f>Données!A231</f>
        <v>5798</v>
      </c>
      <c r="B231" s="27" t="str">
        <f>Données!B231</f>
        <v>Ropraz</v>
      </c>
      <c r="C231" s="291">
        <f>VPI!R231</f>
        <v>16208.095096774196</v>
      </c>
      <c r="D231" s="27">
        <f>Données!Z231</f>
        <v>529</v>
      </c>
      <c r="E231" s="88">
        <f t="shared" si="29"/>
        <v>30.639121165924756</v>
      </c>
      <c r="F231" s="147">
        <f t="shared" si="30"/>
        <v>0.63952774690200265</v>
      </c>
      <c r="G231" s="393">
        <f t="shared" si="31"/>
        <v>0</v>
      </c>
      <c r="H231" s="393">
        <f t="shared" si="32"/>
        <v>0</v>
      </c>
      <c r="I231" s="393">
        <f t="shared" si="33"/>
        <v>0</v>
      </c>
      <c r="J231" s="393">
        <f t="shared" si="34"/>
        <v>0</v>
      </c>
      <c r="K231" s="393">
        <f t="shared" si="35"/>
        <v>0</v>
      </c>
      <c r="L231" s="395">
        <f t="shared" si="36"/>
        <v>0</v>
      </c>
      <c r="M231" s="250">
        <f>L231*D231*VPI!Q231</f>
        <v>0</v>
      </c>
    </row>
    <row r="232" spans="1:13" x14ac:dyDescent="0.25">
      <c r="A232" s="132">
        <f>Données!A232</f>
        <v>5799</v>
      </c>
      <c r="B232" s="27" t="str">
        <f>Données!B232</f>
        <v>Servion</v>
      </c>
      <c r="C232" s="291">
        <f>VPI!R232</f>
        <v>73170.005797101461</v>
      </c>
      <c r="D232" s="27">
        <f>Données!Z232</f>
        <v>2136</v>
      </c>
      <c r="E232" s="88">
        <f t="shared" si="29"/>
        <v>34.2556206915269</v>
      </c>
      <c r="F232" s="147">
        <f t="shared" si="30"/>
        <v>0.71501463116200992</v>
      </c>
      <c r="G232" s="393">
        <f t="shared" si="31"/>
        <v>0</v>
      </c>
      <c r="H232" s="393">
        <f t="shared" si="32"/>
        <v>0</v>
      </c>
      <c r="I232" s="393">
        <f t="shared" si="33"/>
        <v>0</v>
      </c>
      <c r="J232" s="393">
        <f t="shared" si="34"/>
        <v>0</v>
      </c>
      <c r="K232" s="393">
        <f t="shared" si="35"/>
        <v>0</v>
      </c>
      <c r="L232" s="395">
        <f t="shared" si="36"/>
        <v>0</v>
      </c>
      <c r="M232" s="250">
        <f>L232*D232*VPI!Q232</f>
        <v>0</v>
      </c>
    </row>
    <row r="233" spans="1:13" x14ac:dyDescent="0.25">
      <c r="A233" s="132">
        <f>Données!A233</f>
        <v>5803</v>
      </c>
      <c r="B233" s="27" t="str">
        <f>Données!B233</f>
        <v>Vulliens</v>
      </c>
      <c r="C233" s="291">
        <f>VPI!R233</f>
        <v>16577.495675675673</v>
      </c>
      <c r="D233" s="27">
        <f>Données!Z233</f>
        <v>632</v>
      </c>
      <c r="E233" s="88">
        <f t="shared" si="29"/>
        <v>26.230214676702015</v>
      </c>
      <c r="F233" s="147">
        <f t="shared" si="30"/>
        <v>0.54750102008811241</v>
      </c>
      <c r="G233" s="393">
        <f t="shared" si="31"/>
        <v>0</v>
      </c>
      <c r="H233" s="393">
        <f t="shared" si="32"/>
        <v>0</v>
      </c>
      <c r="I233" s="393">
        <f t="shared" si="33"/>
        <v>0</v>
      </c>
      <c r="J233" s="393">
        <f t="shared" si="34"/>
        <v>0</v>
      </c>
      <c r="K233" s="393">
        <f t="shared" si="35"/>
        <v>0</v>
      </c>
      <c r="L233" s="395">
        <f t="shared" si="36"/>
        <v>0</v>
      </c>
      <c r="M233" s="250">
        <f>L233*D233*VPI!Q233</f>
        <v>0</v>
      </c>
    </row>
    <row r="234" spans="1:13" x14ac:dyDescent="0.25">
      <c r="A234" s="132">
        <f>Données!A234</f>
        <v>5804</v>
      </c>
      <c r="B234" s="27" t="str">
        <f>Données!B234</f>
        <v>Jorat-Menthue</v>
      </c>
      <c r="C234" s="291">
        <f>VPI!R234</f>
        <v>45125.096170212761</v>
      </c>
      <c r="D234" s="27">
        <f>Données!Z234</f>
        <v>1565</v>
      </c>
      <c r="E234" s="88">
        <f t="shared" si="29"/>
        <v>28.833927265311669</v>
      </c>
      <c r="F234" s="147">
        <f t="shared" si="30"/>
        <v>0.60184808952122015</v>
      </c>
      <c r="G234" s="393">
        <f t="shared" si="31"/>
        <v>0</v>
      </c>
      <c r="H234" s="393">
        <f t="shared" si="32"/>
        <v>0</v>
      </c>
      <c r="I234" s="393">
        <f t="shared" si="33"/>
        <v>0</v>
      </c>
      <c r="J234" s="393">
        <f t="shared" si="34"/>
        <v>0</v>
      </c>
      <c r="K234" s="393">
        <f t="shared" si="35"/>
        <v>0</v>
      </c>
      <c r="L234" s="395">
        <f t="shared" si="36"/>
        <v>0</v>
      </c>
      <c r="M234" s="250">
        <f>L234*D234*VPI!Q234</f>
        <v>0</v>
      </c>
    </row>
    <row r="235" spans="1:13" x14ac:dyDescent="0.25">
      <c r="A235" s="132">
        <f>Données!A235</f>
        <v>5805</v>
      </c>
      <c r="B235" s="27" t="str">
        <f>Données!B235</f>
        <v>Oron</v>
      </c>
      <c r="C235" s="291">
        <f>VPI!R235</f>
        <v>174503.6837022398</v>
      </c>
      <c r="D235" s="27">
        <f>Données!Z235</f>
        <v>6119</v>
      </c>
      <c r="E235" s="88">
        <f t="shared" si="29"/>
        <v>28.51833366599768</v>
      </c>
      <c r="F235" s="147">
        <f t="shared" si="30"/>
        <v>0.59526073140435498</v>
      </c>
      <c r="G235" s="393">
        <f t="shared" si="31"/>
        <v>0</v>
      </c>
      <c r="H235" s="393">
        <f t="shared" si="32"/>
        <v>0</v>
      </c>
      <c r="I235" s="393">
        <f t="shared" si="33"/>
        <v>0</v>
      </c>
      <c r="J235" s="393">
        <f t="shared" si="34"/>
        <v>0</v>
      </c>
      <c r="K235" s="393">
        <f t="shared" si="35"/>
        <v>0</v>
      </c>
      <c r="L235" s="395">
        <f t="shared" si="36"/>
        <v>0</v>
      </c>
      <c r="M235" s="250">
        <f>L235*D235*VPI!Q235</f>
        <v>0</v>
      </c>
    </row>
    <row r="236" spans="1:13" x14ac:dyDescent="0.25">
      <c r="A236" s="132">
        <f>Données!A236</f>
        <v>5806</v>
      </c>
      <c r="B236" s="27" t="str">
        <f>Données!B236</f>
        <v>Jorat-Mézières</v>
      </c>
      <c r="C236" s="291">
        <f>VPI!R236</f>
        <v>102976.58753424657</v>
      </c>
      <c r="D236" s="27">
        <f>Données!Z236</f>
        <v>3110</v>
      </c>
      <c r="E236" s="88">
        <f t="shared" si="29"/>
        <v>33.111442937056779</v>
      </c>
      <c r="F236" s="147">
        <f t="shared" si="30"/>
        <v>0.69113230707676598</v>
      </c>
      <c r="G236" s="393">
        <f t="shared" si="31"/>
        <v>0</v>
      </c>
      <c r="H236" s="393">
        <f t="shared" si="32"/>
        <v>0</v>
      </c>
      <c r="I236" s="393">
        <f t="shared" si="33"/>
        <v>0</v>
      </c>
      <c r="J236" s="393">
        <f t="shared" si="34"/>
        <v>0</v>
      </c>
      <c r="K236" s="393">
        <f t="shared" si="35"/>
        <v>0</v>
      </c>
      <c r="L236" s="395">
        <f t="shared" si="36"/>
        <v>0</v>
      </c>
      <c r="M236" s="250">
        <f>L236*D236*VPI!Q236</f>
        <v>0</v>
      </c>
    </row>
    <row r="237" spans="1:13" x14ac:dyDescent="0.25">
      <c r="A237" s="132">
        <f>Données!A237</f>
        <v>5812</v>
      </c>
      <c r="B237" s="27" t="str">
        <f>Données!B237</f>
        <v>Champtauroz</v>
      </c>
      <c r="C237" s="291">
        <f>VPI!R237</f>
        <v>3659.2728571428574</v>
      </c>
      <c r="D237" s="27">
        <f>Données!Z237</f>
        <v>169</v>
      </c>
      <c r="E237" s="88">
        <f t="shared" si="29"/>
        <v>21.652502113271346</v>
      </c>
      <c r="F237" s="147">
        <f t="shared" si="30"/>
        <v>0.45195081857281233</v>
      </c>
      <c r="G237" s="393">
        <f t="shared" si="31"/>
        <v>0</v>
      </c>
      <c r="H237" s="393">
        <f t="shared" si="32"/>
        <v>0</v>
      </c>
      <c r="I237" s="393">
        <f t="shared" si="33"/>
        <v>0</v>
      </c>
      <c r="J237" s="393">
        <f t="shared" si="34"/>
        <v>0</v>
      </c>
      <c r="K237" s="393">
        <f t="shared" si="35"/>
        <v>0</v>
      </c>
      <c r="L237" s="395">
        <f t="shared" si="36"/>
        <v>0</v>
      </c>
      <c r="M237" s="250">
        <f>L237*D237*VPI!Q237</f>
        <v>0</v>
      </c>
    </row>
    <row r="238" spans="1:13" x14ac:dyDescent="0.25">
      <c r="A238" s="132">
        <f>Données!A238</f>
        <v>5813</v>
      </c>
      <c r="B238" s="27" t="str">
        <f>Données!B238</f>
        <v>Chevroux</v>
      </c>
      <c r="C238" s="291">
        <f>VPI!R238</f>
        <v>17497.520778588809</v>
      </c>
      <c r="D238" s="27">
        <f>Données!Z238</f>
        <v>522</v>
      </c>
      <c r="E238" s="88">
        <f t="shared" si="29"/>
        <v>33.52015474825442</v>
      </c>
      <c r="F238" s="147">
        <f t="shared" si="30"/>
        <v>0.69966331363964873</v>
      </c>
      <c r="G238" s="393">
        <f t="shared" si="31"/>
        <v>0</v>
      </c>
      <c r="H238" s="393">
        <f t="shared" si="32"/>
        <v>0</v>
      </c>
      <c r="I238" s="393">
        <f t="shared" si="33"/>
        <v>0</v>
      </c>
      <c r="J238" s="393">
        <f t="shared" si="34"/>
        <v>0</v>
      </c>
      <c r="K238" s="393">
        <f t="shared" si="35"/>
        <v>0</v>
      </c>
      <c r="L238" s="395">
        <f t="shared" si="36"/>
        <v>0</v>
      </c>
      <c r="M238" s="250">
        <f>L238*D238*VPI!Q238</f>
        <v>0</v>
      </c>
    </row>
    <row r="239" spans="1:13" x14ac:dyDescent="0.25">
      <c r="A239" s="132">
        <f>Données!A239</f>
        <v>5816</v>
      </c>
      <c r="B239" s="27" t="str">
        <f>Données!B239</f>
        <v>Corcelles-près-Payerne</v>
      </c>
      <c r="C239" s="291">
        <f>VPI!R239</f>
        <v>65699.549864442117</v>
      </c>
      <c r="D239" s="27">
        <f>Données!Z239</f>
        <v>2856</v>
      </c>
      <c r="E239" s="88">
        <f t="shared" si="29"/>
        <v>23.004044070182815</v>
      </c>
      <c r="F239" s="147">
        <f t="shared" si="30"/>
        <v>0.48016143786134463</v>
      </c>
      <c r="G239" s="393">
        <f t="shared" si="31"/>
        <v>0</v>
      </c>
      <c r="H239" s="393">
        <f t="shared" si="32"/>
        <v>0</v>
      </c>
      <c r="I239" s="393">
        <f t="shared" si="33"/>
        <v>0</v>
      </c>
      <c r="J239" s="393">
        <f t="shared" si="34"/>
        <v>0</v>
      </c>
      <c r="K239" s="393">
        <f t="shared" si="35"/>
        <v>0</v>
      </c>
      <c r="L239" s="395">
        <f t="shared" si="36"/>
        <v>0</v>
      </c>
      <c r="M239" s="250">
        <f>L239*D239*VPI!Q239</f>
        <v>0</v>
      </c>
    </row>
    <row r="240" spans="1:13" x14ac:dyDescent="0.25">
      <c r="A240" s="132">
        <f>Données!A240</f>
        <v>5817</v>
      </c>
      <c r="B240" s="27" t="str">
        <f>Données!B240</f>
        <v>Grandcour</v>
      </c>
      <c r="C240" s="291">
        <f>VPI!R240</f>
        <v>25916.533605442175</v>
      </c>
      <c r="D240" s="27">
        <f>Données!Z240</f>
        <v>1001</v>
      </c>
      <c r="E240" s="88">
        <f t="shared" si="29"/>
        <v>25.890642962479696</v>
      </c>
      <c r="F240" s="147">
        <f t="shared" si="30"/>
        <v>0.54041316883636792</v>
      </c>
      <c r="G240" s="393">
        <f t="shared" si="31"/>
        <v>0</v>
      </c>
      <c r="H240" s="393">
        <f t="shared" si="32"/>
        <v>0</v>
      </c>
      <c r="I240" s="393">
        <f t="shared" si="33"/>
        <v>0</v>
      </c>
      <c r="J240" s="393">
        <f t="shared" si="34"/>
        <v>0</v>
      </c>
      <c r="K240" s="393">
        <f t="shared" si="35"/>
        <v>0</v>
      </c>
      <c r="L240" s="395">
        <f t="shared" si="36"/>
        <v>0</v>
      </c>
      <c r="M240" s="250">
        <f>L240*D240*VPI!Q240</f>
        <v>0</v>
      </c>
    </row>
    <row r="241" spans="1:13" x14ac:dyDescent="0.25">
      <c r="A241" s="132">
        <f>Données!A241</f>
        <v>5819</v>
      </c>
      <c r="B241" s="27" t="str">
        <f>Données!B241</f>
        <v>Henniez</v>
      </c>
      <c r="C241" s="291">
        <f>VPI!R241</f>
        <v>10275.484492753623</v>
      </c>
      <c r="D241" s="27">
        <f>Données!Z241</f>
        <v>414</v>
      </c>
      <c r="E241" s="88">
        <f t="shared" si="29"/>
        <v>24.820010852061891</v>
      </c>
      <c r="F241" s="147">
        <f t="shared" si="30"/>
        <v>0.51806595666835309</v>
      </c>
      <c r="G241" s="393">
        <f t="shared" si="31"/>
        <v>0</v>
      </c>
      <c r="H241" s="393">
        <f t="shared" si="32"/>
        <v>0</v>
      </c>
      <c r="I241" s="393">
        <f t="shared" si="33"/>
        <v>0</v>
      </c>
      <c r="J241" s="393">
        <f t="shared" si="34"/>
        <v>0</v>
      </c>
      <c r="K241" s="393">
        <f t="shared" si="35"/>
        <v>0</v>
      </c>
      <c r="L241" s="395">
        <f t="shared" si="36"/>
        <v>0</v>
      </c>
      <c r="M241" s="250">
        <f>L241*D241*VPI!Q241</f>
        <v>0</v>
      </c>
    </row>
    <row r="242" spans="1:13" x14ac:dyDescent="0.25">
      <c r="A242" s="132">
        <f>Données!A242</f>
        <v>5821</v>
      </c>
      <c r="B242" s="27" t="str">
        <f>Données!B242</f>
        <v>Missy</v>
      </c>
      <c r="C242" s="291">
        <f>VPI!R242</f>
        <v>8375.9038888888899</v>
      </c>
      <c r="D242" s="27">
        <f>Données!Z242</f>
        <v>387</v>
      </c>
      <c r="E242" s="88">
        <f t="shared" si="29"/>
        <v>21.643162503588862</v>
      </c>
      <c r="F242" s="147">
        <f t="shared" si="30"/>
        <v>0.45175587370135739</v>
      </c>
      <c r="G242" s="393">
        <f t="shared" si="31"/>
        <v>0</v>
      </c>
      <c r="H242" s="393">
        <f t="shared" si="32"/>
        <v>0</v>
      </c>
      <c r="I242" s="393">
        <f t="shared" si="33"/>
        <v>0</v>
      </c>
      <c r="J242" s="393">
        <f t="shared" si="34"/>
        <v>0</v>
      </c>
      <c r="K242" s="393">
        <f t="shared" si="35"/>
        <v>0</v>
      </c>
      <c r="L242" s="395">
        <f t="shared" si="36"/>
        <v>0</v>
      </c>
      <c r="M242" s="250">
        <f>L242*D242*VPI!Q242</f>
        <v>0</v>
      </c>
    </row>
    <row r="243" spans="1:13" x14ac:dyDescent="0.25">
      <c r="A243" s="132">
        <f>Données!A243</f>
        <v>5822</v>
      </c>
      <c r="B243" s="27" t="str">
        <f>Données!B243</f>
        <v>Payerne</v>
      </c>
      <c r="C243" s="291">
        <f>VPI!R243</f>
        <v>226829.36520547947</v>
      </c>
      <c r="D243" s="27">
        <f>Données!Z243</f>
        <v>10372</v>
      </c>
      <c r="E243" s="88">
        <f t="shared" si="29"/>
        <v>21.869395025595782</v>
      </c>
      <c r="F243" s="147">
        <f t="shared" si="30"/>
        <v>0.45647800571981595</v>
      </c>
      <c r="G243" s="393">
        <f t="shared" si="31"/>
        <v>0</v>
      </c>
      <c r="H243" s="393">
        <f t="shared" si="32"/>
        <v>0</v>
      </c>
      <c r="I243" s="393">
        <f t="shared" si="33"/>
        <v>0</v>
      </c>
      <c r="J243" s="393">
        <f t="shared" si="34"/>
        <v>0</v>
      </c>
      <c r="K243" s="393">
        <f t="shared" si="35"/>
        <v>0</v>
      </c>
      <c r="L243" s="395">
        <f t="shared" si="36"/>
        <v>0</v>
      </c>
      <c r="M243" s="250">
        <f>L243*D243*VPI!Q243</f>
        <v>0</v>
      </c>
    </row>
    <row r="244" spans="1:13" x14ac:dyDescent="0.25">
      <c r="A244" s="132">
        <f>Données!A244</f>
        <v>5827</v>
      </c>
      <c r="B244" s="27" t="str">
        <f>Données!B244</f>
        <v>Trey</v>
      </c>
      <c r="C244" s="291">
        <f>VPI!R244</f>
        <v>7714.9719230769242</v>
      </c>
      <c r="D244" s="27">
        <f>Données!Z244</f>
        <v>302</v>
      </c>
      <c r="E244" s="88">
        <f t="shared" si="29"/>
        <v>25.546264645950082</v>
      </c>
      <c r="F244" s="147">
        <f t="shared" si="30"/>
        <v>0.53322498978712596</v>
      </c>
      <c r="G244" s="393">
        <f t="shared" si="31"/>
        <v>0</v>
      </c>
      <c r="H244" s="393">
        <f t="shared" si="32"/>
        <v>0</v>
      </c>
      <c r="I244" s="393">
        <f t="shared" si="33"/>
        <v>0</v>
      </c>
      <c r="J244" s="393">
        <f t="shared" si="34"/>
        <v>0</v>
      </c>
      <c r="K244" s="393">
        <f t="shared" si="35"/>
        <v>0</v>
      </c>
      <c r="L244" s="395">
        <f t="shared" si="36"/>
        <v>0</v>
      </c>
      <c r="M244" s="250">
        <f>L244*D244*VPI!Q244</f>
        <v>0</v>
      </c>
    </row>
    <row r="245" spans="1:13" x14ac:dyDescent="0.25">
      <c r="A245" s="132">
        <f>Données!A245</f>
        <v>5828</v>
      </c>
      <c r="B245" s="27" t="str">
        <f>Données!B245</f>
        <v>Treytorrens (Payerne)</v>
      </c>
      <c r="C245" s="291">
        <f>VPI!R245</f>
        <v>2864.8037627811859</v>
      </c>
      <c r="D245" s="27">
        <f>Données!Z245</f>
        <v>105</v>
      </c>
      <c r="E245" s="88">
        <f t="shared" si="29"/>
        <v>27.28384535982082</v>
      </c>
      <c r="F245" s="147">
        <f t="shared" si="30"/>
        <v>0.56949336292303621</v>
      </c>
      <c r="G245" s="393">
        <f t="shared" si="31"/>
        <v>0</v>
      </c>
      <c r="H245" s="393">
        <f t="shared" si="32"/>
        <v>0</v>
      </c>
      <c r="I245" s="393">
        <f t="shared" si="33"/>
        <v>0</v>
      </c>
      <c r="J245" s="393">
        <f t="shared" si="34"/>
        <v>0</v>
      </c>
      <c r="K245" s="393">
        <f t="shared" si="35"/>
        <v>0</v>
      </c>
      <c r="L245" s="395">
        <f t="shared" si="36"/>
        <v>0</v>
      </c>
      <c r="M245" s="250">
        <f>L245*D245*VPI!Q245</f>
        <v>0</v>
      </c>
    </row>
    <row r="246" spans="1:13" x14ac:dyDescent="0.25">
      <c r="A246" s="132">
        <f>Données!A246</f>
        <v>5830</v>
      </c>
      <c r="B246" s="27" t="str">
        <f>Données!B246</f>
        <v>Villarzel</v>
      </c>
      <c r="C246" s="291">
        <f>VPI!R246</f>
        <v>12474.066133333334</v>
      </c>
      <c r="D246" s="27">
        <f>Données!Z246</f>
        <v>486</v>
      </c>
      <c r="E246" s="88">
        <f t="shared" si="29"/>
        <v>25.666802743484226</v>
      </c>
      <c r="F246" s="147">
        <f t="shared" si="30"/>
        <v>0.53574097115337993</v>
      </c>
      <c r="G246" s="393">
        <f t="shared" si="31"/>
        <v>0</v>
      </c>
      <c r="H246" s="393">
        <f t="shared" si="32"/>
        <v>0</v>
      </c>
      <c r="I246" s="393">
        <f t="shared" si="33"/>
        <v>0</v>
      </c>
      <c r="J246" s="393">
        <f t="shared" si="34"/>
        <v>0</v>
      </c>
      <c r="K246" s="393">
        <f t="shared" si="35"/>
        <v>0</v>
      </c>
      <c r="L246" s="395">
        <f t="shared" si="36"/>
        <v>0</v>
      </c>
      <c r="M246" s="250">
        <f>L246*D246*VPI!Q246</f>
        <v>0</v>
      </c>
    </row>
    <row r="247" spans="1:13" x14ac:dyDescent="0.25">
      <c r="A247" s="132">
        <f>Données!A247</f>
        <v>5831</v>
      </c>
      <c r="B247" s="27" t="str">
        <f>Données!B247</f>
        <v>Valbroye</v>
      </c>
      <c r="C247" s="291">
        <f>VPI!R247</f>
        <v>87465.086477541365</v>
      </c>
      <c r="D247" s="27">
        <f>Données!Z247</f>
        <v>3361</v>
      </c>
      <c r="E247" s="88">
        <f t="shared" si="29"/>
        <v>26.023530638959048</v>
      </c>
      <c r="F247" s="147">
        <f t="shared" si="30"/>
        <v>0.54318692190420725</v>
      </c>
      <c r="G247" s="393">
        <f t="shared" si="31"/>
        <v>0</v>
      </c>
      <c r="H247" s="393">
        <f t="shared" si="32"/>
        <v>0</v>
      </c>
      <c r="I247" s="393">
        <f t="shared" si="33"/>
        <v>0</v>
      </c>
      <c r="J247" s="393">
        <f t="shared" si="34"/>
        <v>0</v>
      </c>
      <c r="K247" s="393">
        <f t="shared" si="35"/>
        <v>0</v>
      </c>
      <c r="L247" s="395">
        <f t="shared" si="36"/>
        <v>0</v>
      </c>
      <c r="M247" s="250">
        <f>L247*D247*VPI!Q247</f>
        <v>0</v>
      </c>
    </row>
    <row r="248" spans="1:13" x14ac:dyDescent="0.25">
      <c r="A248" s="132">
        <f>Données!A248</f>
        <v>5841</v>
      </c>
      <c r="B248" s="27" t="str">
        <f>Données!B248</f>
        <v>Château-d'Oex</v>
      </c>
      <c r="C248" s="291">
        <f>VPI!R248</f>
        <v>123825.99529652353</v>
      </c>
      <c r="D248" s="27">
        <f>Données!Z248</f>
        <v>3568</v>
      </c>
      <c r="E248" s="88">
        <f t="shared" si="29"/>
        <v>34.704595094317135</v>
      </c>
      <c r="F248" s="147">
        <f t="shared" si="30"/>
        <v>0.72438603534420432</v>
      </c>
      <c r="G248" s="393">
        <f t="shared" si="31"/>
        <v>0</v>
      </c>
      <c r="H248" s="393">
        <f t="shared" si="32"/>
        <v>0</v>
      </c>
      <c r="I248" s="393">
        <f t="shared" si="33"/>
        <v>0</v>
      </c>
      <c r="J248" s="393">
        <f t="shared" si="34"/>
        <v>0</v>
      </c>
      <c r="K248" s="393">
        <f t="shared" si="35"/>
        <v>0</v>
      </c>
      <c r="L248" s="395">
        <f t="shared" si="36"/>
        <v>0</v>
      </c>
      <c r="M248" s="250">
        <f>L248*D248*VPI!Q248</f>
        <v>0</v>
      </c>
    </row>
    <row r="249" spans="1:13" x14ac:dyDescent="0.25">
      <c r="A249" s="132">
        <f>Données!A249</f>
        <v>5842</v>
      </c>
      <c r="B249" s="27" t="str">
        <f>Données!B249</f>
        <v>Rossinière</v>
      </c>
      <c r="C249" s="291">
        <f>VPI!R249</f>
        <v>16473.108683127575</v>
      </c>
      <c r="D249" s="27">
        <f>Données!Z249</f>
        <v>534</v>
      </c>
      <c r="E249" s="88">
        <f t="shared" si="29"/>
        <v>30.848518133197707</v>
      </c>
      <c r="F249" s="147">
        <f t="shared" si="30"/>
        <v>0.6438984718311862</v>
      </c>
      <c r="G249" s="393">
        <f t="shared" si="31"/>
        <v>0</v>
      </c>
      <c r="H249" s="393">
        <f t="shared" si="32"/>
        <v>0</v>
      </c>
      <c r="I249" s="393">
        <f t="shared" si="33"/>
        <v>0</v>
      </c>
      <c r="J249" s="393">
        <f t="shared" si="34"/>
        <v>0</v>
      </c>
      <c r="K249" s="393">
        <f t="shared" si="35"/>
        <v>0</v>
      </c>
      <c r="L249" s="395">
        <f t="shared" si="36"/>
        <v>0</v>
      </c>
      <c r="M249" s="250">
        <f>L249*D249*VPI!Q249</f>
        <v>0</v>
      </c>
    </row>
    <row r="250" spans="1:13" x14ac:dyDescent="0.25">
      <c r="A250" s="132">
        <f>Données!A250</f>
        <v>5843</v>
      </c>
      <c r="B250" s="27" t="str">
        <f>Données!B250</f>
        <v>Rougemont</v>
      </c>
      <c r="C250" s="291">
        <f>VPI!R250</f>
        <v>89735.240928270054</v>
      </c>
      <c r="D250" s="27">
        <f>Données!Z250</f>
        <v>826</v>
      </c>
      <c r="E250" s="88">
        <f t="shared" si="29"/>
        <v>108.63830620855938</v>
      </c>
      <c r="F250" s="147">
        <f t="shared" si="30"/>
        <v>2.267598043056104</v>
      </c>
      <c r="G250" s="393">
        <f t="shared" si="31"/>
        <v>60.729327568701073</v>
      </c>
      <c r="H250" s="393">
        <f t="shared" si="32"/>
        <v>51.147531840729414</v>
      </c>
      <c r="I250" s="393">
        <f t="shared" si="33"/>
        <v>36.774838248771914</v>
      </c>
      <c r="J250" s="393">
        <f t="shared" si="34"/>
        <v>12.820348928842762</v>
      </c>
      <c r="K250" s="393">
        <f t="shared" si="35"/>
        <v>0</v>
      </c>
      <c r="L250" s="395">
        <f t="shared" si="36"/>
        <v>22.220137415574623</v>
      </c>
      <c r="M250" s="250">
        <f>L250*D250*VPI!Q250</f>
        <v>1449952.8469159065</v>
      </c>
    </row>
    <row r="251" spans="1:13" x14ac:dyDescent="0.25">
      <c r="A251" s="132">
        <f>Données!A251</f>
        <v>5851</v>
      </c>
      <c r="B251" s="27" t="str">
        <f>Données!B251</f>
        <v>Allaman</v>
      </c>
      <c r="C251" s="291">
        <f>VPI!R251</f>
        <v>24650.249641025639</v>
      </c>
      <c r="D251" s="27">
        <f>Données!Z251</f>
        <v>420</v>
      </c>
      <c r="E251" s="88">
        <f t="shared" si="29"/>
        <v>58.691070573870569</v>
      </c>
      <c r="F251" s="147">
        <f t="shared" si="30"/>
        <v>1.2250536797092559</v>
      </c>
      <c r="G251" s="393">
        <f t="shared" si="31"/>
        <v>10.782091934012257</v>
      </c>
      <c r="H251" s="393">
        <f t="shared" si="32"/>
        <v>1.2002962060405977</v>
      </c>
      <c r="I251" s="393">
        <f t="shared" si="33"/>
        <v>0</v>
      </c>
      <c r="J251" s="393">
        <f t="shared" si="34"/>
        <v>0</v>
      </c>
      <c r="K251" s="393">
        <f t="shared" si="35"/>
        <v>0</v>
      </c>
      <c r="L251" s="395">
        <f t="shared" si="36"/>
        <v>2.2764480074065112</v>
      </c>
      <c r="M251" s="250">
        <f>L251*D251*VPI!Q251</f>
        <v>62147.030602197759</v>
      </c>
    </row>
    <row r="252" spans="1:13" x14ac:dyDescent="0.25">
      <c r="A252" s="132">
        <f>Données!A252</f>
        <v>5852</v>
      </c>
      <c r="B252" s="27" t="str">
        <f>Données!B252</f>
        <v>Bursinel</v>
      </c>
      <c r="C252" s="291">
        <f>VPI!R252</f>
        <v>35648.966451612905</v>
      </c>
      <c r="D252" s="27">
        <f>Données!Z252</f>
        <v>503</v>
      </c>
      <c r="E252" s="88">
        <f t="shared" si="29"/>
        <v>70.872696722888477</v>
      </c>
      <c r="F252" s="147">
        <f t="shared" si="30"/>
        <v>1.4793197169919479</v>
      </c>
      <c r="G252" s="393">
        <f t="shared" si="31"/>
        <v>22.963718083030166</v>
      </c>
      <c r="H252" s="393">
        <f t="shared" si="32"/>
        <v>13.381922355058506</v>
      </c>
      <c r="I252" s="393">
        <f t="shared" si="33"/>
        <v>0</v>
      </c>
      <c r="J252" s="393">
        <f t="shared" si="34"/>
        <v>0</v>
      </c>
      <c r="K252" s="393">
        <f t="shared" si="35"/>
        <v>0</v>
      </c>
      <c r="L252" s="395">
        <f t="shared" si="36"/>
        <v>5.930935852111884</v>
      </c>
      <c r="M252" s="250">
        <f>L252*D252*VPI!Q252</f>
        <v>184962.16548396123</v>
      </c>
    </row>
    <row r="253" spans="1:13" x14ac:dyDescent="0.25">
      <c r="A253" s="132">
        <f>Données!A253</f>
        <v>5853</v>
      </c>
      <c r="B253" s="27" t="str">
        <f>Données!B253</f>
        <v>Bursins</v>
      </c>
      <c r="C253" s="291">
        <f>VPI!R253</f>
        <v>47535.713943661962</v>
      </c>
      <c r="D253" s="27">
        <f>Données!Z253</f>
        <v>766</v>
      </c>
      <c r="E253" s="88">
        <f t="shared" si="29"/>
        <v>62.057067811569141</v>
      </c>
      <c r="F253" s="147">
        <f t="shared" si="30"/>
        <v>1.2953118512098731</v>
      </c>
      <c r="G253" s="393">
        <f t="shared" si="31"/>
        <v>14.148089171710829</v>
      </c>
      <c r="H253" s="393">
        <f t="shared" si="32"/>
        <v>4.5662934437391698</v>
      </c>
      <c r="I253" s="393">
        <f t="shared" si="33"/>
        <v>0</v>
      </c>
      <c r="J253" s="393">
        <f t="shared" si="34"/>
        <v>0</v>
      </c>
      <c r="K253" s="393">
        <f t="shared" si="35"/>
        <v>0</v>
      </c>
      <c r="L253" s="395">
        <f t="shared" si="36"/>
        <v>3.2862471787160832</v>
      </c>
      <c r="M253" s="250">
        <f>L253*D253*VPI!Q253</f>
        <v>178725.83906165289</v>
      </c>
    </row>
    <row r="254" spans="1:13" x14ac:dyDescent="0.25">
      <c r="A254" s="132">
        <f>Données!A254</f>
        <v>5854</v>
      </c>
      <c r="B254" s="27" t="str">
        <f>Données!B254</f>
        <v>Burtigny</v>
      </c>
      <c r="C254" s="291">
        <f>VPI!R254</f>
        <v>15260.82696390658</v>
      </c>
      <c r="D254" s="27">
        <f>Données!Z254</f>
        <v>414</v>
      </c>
      <c r="E254" s="88">
        <f t="shared" si="29"/>
        <v>36.861900879001404</v>
      </c>
      <c r="F254" s="147">
        <f t="shared" si="30"/>
        <v>0.76941529386589358</v>
      </c>
      <c r="G254" s="393">
        <f t="shared" si="31"/>
        <v>0</v>
      </c>
      <c r="H254" s="393">
        <f t="shared" si="32"/>
        <v>0</v>
      </c>
      <c r="I254" s="393">
        <f t="shared" si="33"/>
        <v>0</v>
      </c>
      <c r="J254" s="393">
        <f t="shared" si="34"/>
        <v>0</v>
      </c>
      <c r="K254" s="393">
        <f t="shared" si="35"/>
        <v>0</v>
      </c>
      <c r="L254" s="395">
        <f t="shared" si="36"/>
        <v>0</v>
      </c>
      <c r="M254" s="250">
        <f>L254*D254*VPI!Q254</f>
        <v>0</v>
      </c>
    </row>
    <row r="255" spans="1:13" x14ac:dyDescent="0.25">
      <c r="A255" s="132">
        <f>Données!A255</f>
        <v>5855</v>
      </c>
      <c r="B255" s="27" t="str">
        <f>Données!B255</f>
        <v>Dully</v>
      </c>
      <c r="C255" s="291">
        <f>VPI!R255</f>
        <v>82571.316415094334</v>
      </c>
      <c r="D255" s="27">
        <f>Données!Z255</f>
        <v>631</v>
      </c>
      <c r="E255" s="88">
        <f t="shared" si="29"/>
        <v>130.8578707053793</v>
      </c>
      <c r="F255" s="147">
        <f t="shared" si="30"/>
        <v>2.7313851061001517</v>
      </c>
      <c r="G255" s="393">
        <f t="shared" si="31"/>
        <v>82.948892065520994</v>
      </c>
      <c r="H255" s="393">
        <f t="shared" si="32"/>
        <v>73.367096337549327</v>
      </c>
      <c r="I255" s="393">
        <f t="shared" si="33"/>
        <v>58.994402745591827</v>
      </c>
      <c r="J255" s="393">
        <f t="shared" si="34"/>
        <v>35.039913425662675</v>
      </c>
      <c r="K255" s="393">
        <f t="shared" si="35"/>
        <v>0</v>
      </c>
      <c r="L255" s="395">
        <f t="shared" si="36"/>
        <v>33.329919663984583</v>
      </c>
      <c r="M255" s="250">
        <f>L255*D255*VPI!Q255</f>
        <v>1114652.5033226365</v>
      </c>
    </row>
    <row r="256" spans="1:13" x14ac:dyDescent="0.25">
      <c r="A256" s="132">
        <f>Données!A256</f>
        <v>5856</v>
      </c>
      <c r="B256" s="27" t="str">
        <f>Données!B256</f>
        <v>Essertines-sur-Rolle</v>
      </c>
      <c r="C256" s="291">
        <f>VPI!R256</f>
        <v>36460.735639097751</v>
      </c>
      <c r="D256" s="27">
        <f>Données!Z256</f>
        <v>749</v>
      </c>
      <c r="E256" s="88">
        <f t="shared" si="29"/>
        <v>48.679219811879506</v>
      </c>
      <c r="F256" s="147">
        <f t="shared" si="30"/>
        <v>1.0160771778879123</v>
      </c>
      <c r="G256" s="393">
        <f t="shared" si="31"/>
        <v>0.77024117202119413</v>
      </c>
      <c r="H256" s="393">
        <f t="shared" si="32"/>
        <v>0</v>
      </c>
      <c r="I256" s="393">
        <f t="shared" si="33"/>
        <v>0</v>
      </c>
      <c r="J256" s="393">
        <f t="shared" si="34"/>
        <v>0</v>
      </c>
      <c r="K256" s="393">
        <f t="shared" si="35"/>
        <v>0</v>
      </c>
      <c r="L256" s="395">
        <f t="shared" si="36"/>
        <v>0.15404823440423884</v>
      </c>
      <c r="M256" s="250">
        <f>L256*D256*VPI!Q256</f>
        <v>7672.9114833235299</v>
      </c>
    </row>
    <row r="257" spans="1:13" x14ac:dyDescent="0.25">
      <c r="A257" s="132">
        <f>Données!A257</f>
        <v>5857</v>
      </c>
      <c r="B257" s="27" t="str">
        <f>Données!B257</f>
        <v>Gilly</v>
      </c>
      <c r="C257" s="291">
        <f>VPI!R257</f>
        <v>87016.843255813976</v>
      </c>
      <c r="D257" s="27">
        <f>Données!Z257</f>
        <v>1446</v>
      </c>
      <c r="E257" s="88">
        <f t="shared" si="29"/>
        <v>60.177623275113397</v>
      </c>
      <c r="F257" s="147">
        <f t="shared" si="30"/>
        <v>1.2560823666787184</v>
      </c>
      <c r="G257" s="393">
        <f t="shared" si="31"/>
        <v>12.268644635255086</v>
      </c>
      <c r="H257" s="393">
        <f t="shared" si="32"/>
        <v>2.6868489072834265</v>
      </c>
      <c r="I257" s="393">
        <f t="shared" si="33"/>
        <v>0</v>
      </c>
      <c r="J257" s="393">
        <f t="shared" si="34"/>
        <v>0</v>
      </c>
      <c r="K257" s="393">
        <f t="shared" si="35"/>
        <v>0</v>
      </c>
      <c r="L257" s="395">
        <f t="shared" si="36"/>
        <v>2.7224138177793602</v>
      </c>
      <c r="M257" s="250">
        <f>L257*D257*VPI!Q257</f>
        <v>253911.36954282757</v>
      </c>
    </row>
    <row r="258" spans="1:13" x14ac:dyDescent="0.25">
      <c r="A258" s="132">
        <f>Données!A258</f>
        <v>5858</v>
      </c>
      <c r="B258" s="27" t="str">
        <f>Données!B258</f>
        <v>Luins</v>
      </c>
      <c r="C258" s="291">
        <f>VPI!R258</f>
        <v>41161.497549857544</v>
      </c>
      <c r="D258" s="27">
        <f>Données!Z258</f>
        <v>618</v>
      </c>
      <c r="E258" s="88">
        <f t="shared" si="29"/>
        <v>66.604364967407022</v>
      </c>
      <c r="F258" s="147">
        <f t="shared" si="30"/>
        <v>1.390227194532486</v>
      </c>
      <c r="G258" s="393">
        <f t="shared" si="31"/>
        <v>18.695386327548711</v>
      </c>
      <c r="H258" s="393">
        <f t="shared" si="32"/>
        <v>9.1135905995770514</v>
      </c>
      <c r="I258" s="393">
        <f t="shared" si="33"/>
        <v>0</v>
      </c>
      <c r="J258" s="393">
        <f t="shared" si="34"/>
        <v>0</v>
      </c>
      <c r="K258" s="393">
        <f t="shared" si="35"/>
        <v>0</v>
      </c>
      <c r="L258" s="395">
        <f t="shared" si="36"/>
        <v>4.6504363254674477</v>
      </c>
      <c r="M258" s="250">
        <f>L258*D258*VPI!Q258</f>
        <v>168127.22447462464</v>
      </c>
    </row>
    <row r="259" spans="1:13" x14ac:dyDescent="0.25">
      <c r="A259" s="132">
        <f>Données!A259</f>
        <v>5859</v>
      </c>
      <c r="B259" s="27" t="str">
        <f>Données!B259</f>
        <v>Mont-sur-Rolle</v>
      </c>
      <c r="C259" s="291">
        <f>VPI!R259</f>
        <v>158432.4612598425</v>
      </c>
      <c r="D259" s="27">
        <f>Données!Z259</f>
        <v>2759</v>
      </c>
      <c r="E259" s="88">
        <f t="shared" si="29"/>
        <v>57.423871424372052</v>
      </c>
      <c r="F259" s="147">
        <f t="shared" si="30"/>
        <v>1.1986035406022566</v>
      </c>
      <c r="G259" s="393">
        <f t="shared" si="31"/>
        <v>9.5148927845137408</v>
      </c>
      <c r="H259" s="393">
        <f t="shared" si="32"/>
        <v>0</v>
      </c>
      <c r="I259" s="393">
        <f t="shared" si="33"/>
        <v>0</v>
      </c>
      <c r="J259" s="393">
        <f t="shared" si="34"/>
        <v>0</v>
      </c>
      <c r="K259" s="393">
        <f t="shared" si="35"/>
        <v>0</v>
      </c>
      <c r="L259" s="395">
        <f t="shared" si="36"/>
        <v>1.9029785569027482</v>
      </c>
      <c r="M259" s="250">
        <f>L259*D259*VPI!Q259</f>
        <v>333395.18274441233</v>
      </c>
    </row>
    <row r="260" spans="1:13" x14ac:dyDescent="0.25">
      <c r="A260" s="132">
        <f>Données!A260</f>
        <v>5860</v>
      </c>
      <c r="B260" s="27" t="str">
        <f>Données!B260</f>
        <v>Perroy</v>
      </c>
      <c r="C260" s="291">
        <f>VPI!R260</f>
        <v>132372.96084155163</v>
      </c>
      <c r="D260" s="27">
        <f>Données!Z260</f>
        <v>1542</v>
      </c>
      <c r="E260" s="88">
        <f t="shared" si="29"/>
        <v>85.844981090500411</v>
      </c>
      <c r="F260" s="147">
        <f t="shared" si="30"/>
        <v>1.7918349238002935</v>
      </c>
      <c r="G260" s="393">
        <f t="shared" si="31"/>
        <v>37.9360024506421</v>
      </c>
      <c r="H260" s="393">
        <f t="shared" si="32"/>
        <v>28.35420672267044</v>
      </c>
      <c r="I260" s="393">
        <f t="shared" si="33"/>
        <v>13.981513130712941</v>
      </c>
      <c r="J260" s="393">
        <f t="shared" si="34"/>
        <v>0</v>
      </c>
      <c r="K260" s="393">
        <f t="shared" si="35"/>
        <v>0</v>
      </c>
      <c r="L260" s="395">
        <f t="shared" si="36"/>
        <v>11.820772475466757</v>
      </c>
      <c r="M260" s="250">
        <f>L260*D260*VPI!Q260</f>
        <v>1066316.4226944298</v>
      </c>
    </row>
    <row r="261" spans="1:13" x14ac:dyDescent="0.25">
      <c r="A261" s="132">
        <f>Données!A261</f>
        <v>5861</v>
      </c>
      <c r="B261" s="27" t="str">
        <f>Données!B261</f>
        <v>Rolle</v>
      </c>
      <c r="C261" s="291">
        <f>VPI!R261</f>
        <v>796252.79529411776</v>
      </c>
      <c r="D261" s="27">
        <f>Données!Z261</f>
        <v>6321</v>
      </c>
      <c r="E261" s="88">
        <f t="shared" si="29"/>
        <v>125.96943447146302</v>
      </c>
      <c r="F261" s="147">
        <f t="shared" si="30"/>
        <v>2.6293491960745246</v>
      </c>
      <c r="G261" s="393">
        <f t="shared" si="31"/>
        <v>78.060455831604713</v>
      </c>
      <c r="H261" s="393">
        <f t="shared" si="32"/>
        <v>68.478660103633047</v>
      </c>
      <c r="I261" s="393">
        <f t="shared" si="33"/>
        <v>54.105966511675547</v>
      </c>
      <c r="J261" s="393">
        <f t="shared" si="34"/>
        <v>30.151477191746395</v>
      </c>
      <c r="K261" s="393">
        <f t="shared" si="35"/>
        <v>0</v>
      </c>
      <c r="L261" s="395">
        <f t="shared" si="36"/>
        <v>30.885701547026443</v>
      </c>
      <c r="M261" s="250">
        <f>L261*D261*VPI!Q261</f>
        <v>11616096.908985872</v>
      </c>
    </row>
    <row r="262" spans="1:13" x14ac:dyDescent="0.25">
      <c r="A262" s="132">
        <f>Données!A262</f>
        <v>5862</v>
      </c>
      <c r="B262" s="27" t="str">
        <f>Données!B262</f>
        <v>Tartegnin</v>
      </c>
      <c r="C262" s="291">
        <f>VPI!R262</f>
        <v>10371.38594936709</v>
      </c>
      <c r="D262" s="27">
        <f>Données!Z262</f>
        <v>249</v>
      </c>
      <c r="E262" s="88">
        <f t="shared" si="29"/>
        <v>41.652152407096743</v>
      </c>
      <c r="F262" s="147">
        <f t="shared" si="30"/>
        <v>0.86940180295231451</v>
      </c>
      <c r="G262" s="393">
        <f t="shared" si="31"/>
        <v>0</v>
      </c>
      <c r="H262" s="393">
        <f t="shared" si="32"/>
        <v>0</v>
      </c>
      <c r="I262" s="393">
        <f t="shared" si="33"/>
        <v>0</v>
      </c>
      <c r="J262" s="393">
        <f t="shared" si="34"/>
        <v>0</v>
      </c>
      <c r="K262" s="393">
        <f t="shared" si="35"/>
        <v>0</v>
      </c>
      <c r="L262" s="395">
        <f t="shared" si="36"/>
        <v>0</v>
      </c>
      <c r="M262" s="250">
        <f>L262*D262*VPI!Q262</f>
        <v>0</v>
      </c>
    </row>
    <row r="263" spans="1:13" x14ac:dyDescent="0.25">
      <c r="A263" s="132">
        <f>Données!A263</f>
        <v>5863</v>
      </c>
      <c r="B263" s="27" t="str">
        <f>Données!B263</f>
        <v>Vinzel</v>
      </c>
      <c r="C263" s="291">
        <f>VPI!R263</f>
        <v>23660.86104477612</v>
      </c>
      <c r="D263" s="27">
        <f>Données!Z263</f>
        <v>378</v>
      </c>
      <c r="E263" s="88">
        <f t="shared" ref="E263:E305" si="37">C263/D263</f>
        <v>62.594870488825713</v>
      </c>
      <c r="F263" s="147">
        <f t="shared" ref="F263:F305" si="38">E263/$E$306</f>
        <v>1.3065373603425003</v>
      </c>
      <c r="G263" s="393">
        <f t="shared" ref="G263:G305" si="39">IF(E263-$G$3&lt;0,0,E263-$G$3)</f>
        <v>14.685891848967401</v>
      </c>
      <c r="H263" s="393">
        <f t="shared" ref="H263:H305" si="40">IF(E263-$H$3&lt;0,0,E263-$H$3)</f>
        <v>5.1040961209957416</v>
      </c>
      <c r="I263" s="393">
        <f t="shared" ref="I263:I305" si="41">IF(E263-$I$3&lt;0,0,E263-$I$3)</f>
        <v>0</v>
      </c>
      <c r="J263" s="393">
        <f t="shared" ref="J263:J305" si="42">IF(E263-$J$3&lt;0,0,E263-$J$3)</f>
        <v>0</v>
      </c>
      <c r="K263" s="393">
        <f t="shared" ref="K263:K305" si="43">IF(E263-$K$3&lt;0,0,E263-$K$3)</f>
        <v>0</v>
      </c>
      <c r="L263" s="395">
        <f t="shared" ref="L263:L305" si="44">(G263-H263)*$G$4+(H263-I263)*$H$4+(I263-J263)*$I$4+(J263-K263)*$J$4+(K263*$K$4)</f>
        <v>3.4475879818930544</v>
      </c>
      <c r="M263" s="250">
        <f>L263*D263*VPI!Q263</f>
        <v>87313.613229423499</v>
      </c>
    </row>
    <row r="264" spans="1:13" x14ac:dyDescent="0.25">
      <c r="A264" s="132">
        <f>Données!A264</f>
        <v>5871</v>
      </c>
      <c r="B264" s="27" t="str">
        <f>Données!B264</f>
        <v>L'Abbaye</v>
      </c>
      <c r="C264" s="291">
        <f>VPI!R264</f>
        <v>50235.576326002578</v>
      </c>
      <c r="D264" s="27">
        <f>Données!Z264</f>
        <v>1534</v>
      </c>
      <c r="E264" s="88">
        <f t="shared" si="37"/>
        <v>32.748094084747443</v>
      </c>
      <c r="F264" s="147">
        <f t="shared" si="38"/>
        <v>0.68354815766208732</v>
      </c>
      <c r="G264" s="393">
        <f t="shared" si="39"/>
        <v>0</v>
      </c>
      <c r="H264" s="393">
        <f t="shared" si="40"/>
        <v>0</v>
      </c>
      <c r="I264" s="393">
        <f t="shared" si="41"/>
        <v>0</v>
      </c>
      <c r="J264" s="393">
        <f t="shared" si="42"/>
        <v>0</v>
      </c>
      <c r="K264" s="393">
        <f t="shared" si="43"/>
        <v>0</v>
      </c>
      <c r="L264" s="395">
        <f t="shared" si="44"/>
        <v>0</v>
      </c>
      <c r="M264" s="250">
        <f>L264*D264*VPI!Q264</f>
        <v>0</v>
      </c>
    </row>
    <row r="265" spans="1:13" x14ac:dyDescent="0.25">
      <c r="A265" s="132">
        <f>Données!A265</f>
        <v>5872</v>
      </c>
      <c r="B265" s="27" t="str">
        <f>Données!B265</f>
        <v>Le Chenit</v>
      </c>
      <c r="C265" s="291">
        <f>VPI!R265</f>
        <v>316919.42630555143</v>
      </c>
      <c r="D265" s="27">
        <f>Données!Z265</f>
        <v>4613</v>
      </c>
      <c r="E265" s="88">
        <f t="shared" si="37"/>
        <v>68.701371408096989</v>
      </c>
      <c r="F265" s="147">
        <f t="shared" si="38"/>
        <v>1.43399783002137</v>
      </c>
      <c r="G265" s="393">
        <f t="shared" si="39"/>
        <v>20.792392768238678</v>
      </c>
      <c r="H265" s="393">
        <f t="shared" si="40"/>
        <v>11.210597040267018</v>
      </c>
      <c r="I265" s="393">
        <f t="shared" si="41"/>
        <v>0</v>
      </c>
      <c r="J265" s="393">
        <f t="shared" si="42"/>
        <v>0</v>
      </c>
      <c r="K265" s="393">
        <f t="shared" si="43"/>
        <v>0</v>
      </c>
      <c r="L265" s="395">
        <f t="shared" si="44"/>
        <v>5.279538257674437</v>
      </c>
      <c r="M265" s="250">
        <f>L265*D265*VPI!Q265</f>
        <v>1627611.9021406448</v>
      </c>
    </row>
    <row r="266" spans="1:13" x14ac:dyDescent="0.25">
      <c r="A266" s="132">
        <f>Données!A266</f>
        <v>5873</v>
      </c>
      <c r="B266" s="27" t="str">
        <f>Données!B266</f>
        <v>Le Lieu</v>
      </c>
      <c r="C266" s="291">
        <f>VPI!R266</f>
        <v>35203.466500000002</v>
      </c>
      <c r="D266" s="27">
        <f>Données!Z266</f>
        <v>886</v>
      </c>
      <c r="E266" s="88">
        <f t="shared" si="37"/>
        <v>39.733032167042893</v>
      </c>
      <c r="F266" s="147">
        <f t="shared" si="38"/>
        <v>0.82934417086459522</v>
      </c>
      <c r="G266" s="393">
        <f t="shared" si="39"/>
        <v>0</v>
      </c>
      <c r="H266" s="393">
        <f t="shared" si="40"/>
        <v>0</v>
      </c>
      <c r="I266" s="393">
        <f t="shared" si="41"/>
        <v>0</v>
      </c>
      <c r="J266" s="393">
        <f t="shared" si="42"/>
        <v>0</v>
      </c>
      <c r="K266" s="393">
        <f t="shared" si="43"/>
        <v>0</v>
      </c>
      <c r="L266" s="395">
        <f t="shared" si="44"/>
        <v>0</v>
      </c>
      <c r="M266" s="250">
        <f>L266*D266*VPI!Q266</f>
        <v>0</v>
      </c>
    </row>
    <row r="267" spans="1:13" x14ac:dyDescent="0.25">
      <c r="A267" s="132">
        <f>Données!A267</f>
        <v>5882</v>
      </c>
      <c r="B267" s="27" t="str">
        <f>Données!B267</f>
        <v>Chardonne</v>
      </c>
      <c r="C267" s="291">
        <f>VPI!R267</f>
        <v>201755.16911764705</v>
      </c>
      <c r="D267" s="27">
        <f>Données!Z267</f>
        <v>3192</v>
      </c>
      <c r="E267" s="88">
        <f t="shared" si="37"/>
        <v>63.206506615804216</v>
      </c>
      <c r="F267" s="147">
        <f t="shared" si="38"/>
        <v>1.3193039887354014</v>
      </c>
      <c r="G267" s="393">
        <f t="shared" si="39"/>
        <v>15.297527975945904</v>
      </c>
      <c r="H267" s="393">
        <f t="shared" si="40"/>
        <v>5.7157322479742447</v>
      </c>
      <c r="I267" s="393">
        <f t="shared" si="41"/>
        <v>0</v>
      </c>
      <c r="J267" s="393">
        <f t="shared" si="42"/>
        <v>0</v>
      </c>
      <c r="K267" s="393">
        <f t="shared" si="43"/>
        <v>0</v>
      </c>
      <c r="L267" s="395">
        <f t="shared" si="44"/>
        <v>3.6310788199866053</v>
      </c>
      <c r="M267" s="250">
        <f>L267*D267*VPI!Q267</f>
        <v>788147.44435101259</v>
      </c>
    </row>
    <row r="268" spans="1:13" x14ac:dyDescent="0.25">
      <c r="A268" s="132">
        <f>Données!A268</f>
        <v>5883</v>
      </c>
      <c r="B268" s="27" t="str">
        <f>Données!B268</f>
        <v>Corseaux</v>
      </c>
      <c r="C268" s="291">
        <f>VPI!R268</f>
        <v>180895.17037037041</v>
      </c>
      <c r="D268" s="27">
        <f>Données!Z268</f>
        <v>2307</v>
      </c>
      <c r="E268" s="88">
        <f t="shared" si="37"/>
        <v>78.411430589670744</v>
      </c>
      <c r="F268" s="147">
        <f t="shared" si="38"/>
        <v>1.6366750620819046</v>
      </c>
      <c r="G268" s="393">
        <f t="shared" si="39"/>
        <v>30.502451949812432</v>
      </c>
      <c r="H268" s="393">
        <f t="shared" si="40"/>
        <v>20.920656221840773</v>
      </c>
      <c r="I268" s="393">
        <f t="shared" si="41"/>
        <v>6.5479626298832727</v>
      </c>
      <c r="J268" s="393">
        <f t="shared" si="42"/>
        <v>0</v>
      </c>
      <c r="K268" s="393">
        <f t="shared" si="43"/>
        <v>0</v>
      </c>
      <c r="L268" s="395">
        <f t="shared" si="44"/>
        <v>8.8473522751348916</v>
      </c>
      <c r="M268" s="250">
        <f>L268*D268*VPI!Q268</f>
        <v>1377731.8146646933</v>
      </c>
    </row>
    <row r="269" spans="1:13" x14ac:dyDescent="0.25">
      <c r="A269" s="132">
        <f>Données!A269</f>
        <v>5884</v>
      </c>
      <c r="B269" s="27" t="str">
        <f>Données!B269</f>
        <v>Corsier-sur-Vevey</v>
      </c>
      <c r="C269" s="291">
        <f>VPI!R269</f>
        <v>128040.06408268733</v>
      </c>
      <c r="D269" s="27">
        <f>Données!Z269</f>
        <v>3366</v>
      </c>
      <c r="E269" s="88">
        <f t="shared" si="37"/>
        <v>38.039234724506038</v>
      </c>
      <c r="F269" s="147">
        <f t="shared" si="38"/>
        <v>0.79398968219412114</v>
      </c>
      <c r="G269" s="393">
        <f t="shared" si="39"/>
        <v>0</v>
      </c>
      <c r="H269" s="393">
        <f t="shared" si="40"/>
        <v>0</v>
      </c>
      <c r="I269" s="393">
        <f t="shared" si="41"/>
        <v>0</v>
      </c>
      <c r="J269" s="393">
        <f t="shared" si="42"/>
        <v>0</v>
      </c>
      <c r="K269" s="393">
        <f t="shared" si="43"/>
        <v>0</v>
      </c>
      <c r="L269" s="395">
        <f t="shared" si="44"/>
        <v>0</v>
      </c>
      <c r="M269" s="250">
        <f>L269*D269*VPI!Q269</f>
        <v>0</v>
      </c>
    </row>
    <row r="270" spans="1:13" x14ac:dyDescent="0.25">
      <c r="A270" s="132">
        <f>Données!A270</f>
        <v>5885</v>
      </c>
      <c r="B270" s="27" t="str">
        <f>Données!B270</f>
        <v>Jongny</v>
      </c>
      <c r="C270" s="291">
        <f>VPI!R270</f>
        <v>104088.6996882494</v>
      </c>
      <c r="D270" s="27">
        <f>Données!Z270</f>
        <v>1842</v>
      </c>
      <c r="E270" s="88">
        <f t="shared" si="37"/>
        <v>56.508523174945388</v>
      </c>
      <c r="F270" s="147">
        <f t="shared" si="38"/>
        <v>1.1794975551395415</v>
      </c>
      <c r="G270" s="393">
        <f t="shared" si="39"/>
        <v>8.5995445350870767</v>
      </c>
      <c r="H270" s="393">
        <f t="shared" si="40"/>
        <v>0</v>
      </c>
      <c r="I270" s="393">
        <f t="shared" si="41"/>
        <v>0</v>
      </c>
      <c r="J270" s="393">
        <f t="shared" si="42"/>
        <v>0</v>
      </c>
      <c r="K270" s="393">
        <f t="shared" si="43"/>
        <v>0</v>
      </c>
      <c r="L270" s="395">
        <f t="shared" si="44"/>
        <v>1.7199089070174154</v>
      </c>
      <c r="M270" s="250">
        <f>L270*D270*VPI!Q270</f>
        <v>220181.0183674625</v>
      </c>
    </row>
    <row r="271" spans="1:13" x14ac:dyDescent="0.25">
      <c r="A271" s="132">
        <f>Données!A271</f>
        <v>5886</v>
      </c>
      <c r="B271" s="27" t="str">
        <f>Données!B271</f>
        <v>Montreux</v>
      </c>
      <c r="C271" s="291">
        <f>VPI!R271</f>
        <v>1153058.3310769231</v>
      </c>
      <c r="D271" s="27">
        <f>Données!Z271</f>
        <v>26081</v>
      </c>
      <c r="E271" s="88">
        <f t="shared" si="37"/>
        <v>44.210664126257548</v>
      </c>
      <c r="F271" s="147">
        <f t="shared" si="38"/>
        <v>0.92280539851617882</v>
      </c>
      <c r="G271" s="393">
        <f t="shared" si="39"/>
        <v>0</v>
      </c>
      <c r="H271" s="393">
        <f t="shared" si="40"/>
        <v>0</v>
      </c>
      <c r="I271" s="393">
        <f t="shared" si="41"/>
        <v>0</v>
      </c>
      <c r="J271" s="393">
        <f t="shared" si="42"/>
        <v>0</v>
      </c>
      <c r="K271" s="393">
        <f t="shared" si="43"/>
        <v>0</v>
      </c>
      <c r="L271" s="395">
        <f t="shared" si="44"/>
        <v>0</v>
      </c>
      <c r="M271" s="250">
        <f>L271*D271*VPI!Q271</f>
        <v>0</v>
      </c>
    </row>
    <row r="272" spans="1:13" x14ac:dyDescent="0.25">
      <c r="A272" s="132">
        <f>Données!A272</f>
        <v>5889</v>
      </c>
      <c r="B272" s="27" t="str">
        <f>Données!B272</f>
        <v>La Tour-de-Peilz</v>
      </c>
      <c r="C272" s="291">
        <f>VPI!R272</f>
        <v>709087.81846354157</v>
      </c>
      <c r="D272" s="27">
        <f>Données!Z272</f>
        <v>12400</v>
      </c>
      <c r="E272" s="88">
        <f t="shared" si="37"/>
        <v>57.184501488995288</v>
      </c>
      <c r="F272" s="147">
        <f t="shared" si="38"/>
        <v>1.1936071924818727</v>
      </c>
      <c r="G272" s="393">
        <f t="shared" si="39"/>
        <v>9.2755228491369763</v>
      </c>
      <c r="H272" s="393">
        <f t="shared" si="40"/>
        <v>0</v>
      </c>
      <c r="I272" s="393">
        <f t="shared" si="41"/>
        <v>0</v>
      </c>
      <c r="J272" s="393">
        <f t="shared" si="42"/>
        <v>0</v>
      </c>
      <c r="K272" s="393">
        <f t="shared" si="43"/>
        <v>0</v>
      </c>
      <c r="L272" s="395">
        <f t="shared" si="44"/>
        <v>1.8551045698273954</v>
      </c>
      <c r="M272" s="250">
        <f>L272*D272*VPI!Q272</f>
        <v>1472210.986615021</v>
      </c>
    </row>
    <row r="273" spans="1:13" x14ac:dyDescent="0.25">
      <c r="A273" s="132">
        <f>Données!A273</f>
        <v>5890</v>
      </c>
      <c r="B273" s="27" t="str">
        <f>Données!B273</f>
        <v>Vevey</v>
      </c>
      <c r="C273" s="291">
        <f>VPI!R273</f>
        <v>944872.98138702475</v>
      </c>
      <c r="D273" s="27">
        <f>Données!Z273</f>
        <v>19743</v>
      </c>
      <c r="E273" s="88">
        <f t="shared" si="37"/>
        <v>47.858632496936877</v>
      </c>
      <c r="F273" s="147">
        <f t="shared" si="38"/>
        <v>0.99894912927908786</v>
      </c>
      <c r="G273" s="393">
        <f t="shared" si="39"/>
        <v>0</v>
      </c>
      <c r="H273" s="393">
        <f t="shared" si="40"/>
        <v>0</v>
      </c>
      <c r="I273" s="393">
        <f t="shared" si="41"/>
        <v>0</v>
      </c>
      <c r="J273" s="393">
        <f t="shared" si="42"/>
        <v>0</v>
      </c>
      <c r="K273" s="393">
        <f t="shared" si="43"/>
        <v>0</v>
      </c>
      <c r="L273" s="395">
        <f t="shared" si="44"/>
        <v>0</v>
      </c>
      <c r="M273" s="250">
        <f>L273*D273*VPI!Q273</f>
        <v>0</v>
      </c>
    </row>
    <row r="274" spans="1:13" x14ac:dyDescent="0.25">
      <c r="A274" s="132">
        <f>Données!A274</f>
        <v>5891</v>
      </c>
      <c r="B274" s="27" t="str">
        <f>Données!B274</f>
        <v>Veytaux</v>
      </c>
      <c r="C274" s="291">
        <f>VPI!R274</f>
        <v>41112.713045563549</v>
      </c>
      <c r="D274" s="27">
        <f>Données!Z274</f>
        <v>970</v>
      </c>
      <c r="E274" s="88">
        <f t="shared" si="37"/>
        <v>42.384240253158296</v>
      </c>
      <c r="F274" s="147">
        <f t="shared" si="38"/>
        <v>0.88468260974147217</v>
      </c>
      <c r="G274" s="393">
        <f t="shared" si="39"/>
        <v>0</v>
      </c>
      <c r="H274" s="393">
        <f t="shared" si="40"/>
        <v>0</v>
      </c>
      <c r="I274" s="393">
        <f t="shared" si="41"/>
        <v>0</v>
      </c>
      <c r="J274" s="393">
        <f t="shared" si="42"/>
        <v>0</v>
      </c>
      <c r="K274" s="393">
        <f t="shared" si="43"/>
        <v>0</v>
      </c>
      <c r="L274" s="395">
        <f t="shared" si="44"/>
        <v>0</v>
      </c>
      <c r="M274" s="250">
        <f>L274*D274*VPI!Q274</f>
        <v>0</v>
      </c>
    </row>
    <row r="275" spans="1:13" x14ac:dyDescent="0.25">
      <c r="A275" s="132">
        <f>Données!A275</f>
        <v>5892</v>
      </c>
      <c r="B275" s="27" t="str">
        <f>Données!B275</f>
        <v>Blonay-St-Légier</v>
      </c>
      <c r="C275" s="291">
        <f>VPI!R275</f>
        <v>749721.2351824817</v>
      </c>
      <c r="D275" s="27">
        <f>Données!Z275</f>
        <v>12123</v>
      </c>
      <c r="E275" s="88">
        <f t="shared" si="37"/>
        <v>61.842880077743274</v>
      </c>
      <c r="F275" s="147">
        <f t="shared" si="38"/>
        <v>1.2908411290215343</v>
      </c>
      <c r="G275" s="393">
        <f t="shared" si="39"/>
        <v>13.933901437884963</v>
      </c>
      <c r="H275" s="393">
        <f t="shared" si="40"/>
        <v>4.3521057099133031</v>
      </c>
      <c r="I275" s="393">
        <f t="shared" si="41"/>
        <v>0</v>
      </c>
      <c r="J275" s="393">
        <f t="shared" si="42"/>
        <v>0</v>
      </c>
      <c r="K275" s="393">
        <f t="shared" si="43"/>
        <v>0</v>
      </c>
      <c r="L275" s="395">
        <f t="shared" si="44"/>
        <v>3.221990858568323</v>
      </c>
      <c r="M275" s="250">
        <f>L275*D275*VPI!Q275</f>
        <v>2675623.3697220292</v>
      </c>
    </row>
    <row r="276" spans="1:13" x14ac:dyDescent="0.25">
      <c r="A276" s="132">
        <f>Données!A276</f>
        <v>5902</v>
      </c>
      <c r="B276" s="27" t="str">
        <f>Données!B276</f>
        <v>Belmont-sur-Yverdon</v>
      </c>
      <c r="C276" s="291">
        <f>VPI!R276</f>
        <v>11917.701714285715</v>
      </c>
      <c r="D276" s="27">
        <f>Données!Z276</f>
        <v>434</v>
      </c>
      <c r="E276" s="88">
        <f t="shared" si="37"/>
        <v>27.46014219881501</v>
      </c>
      <c r="F276" s="147">
        <f t="shared" si="38"/>
        <v>0.57317319171503467</v>
      </c>
      <c r="G276" s="393">
        <f t="shared" si="39"/>
        <v>0</v>
      </c>
      <c r="H276" s="393">
        <f t="shared" si="40"/>
        <v>0</v>
      </c>
      <c r="I276" s="393">
        <f t="shared" si="41"/>
        <v>0</v>
      </c>
      <c r="J276" s="393">
        <f t="shared" si="42"/>
        <v>0</v>
      </c>
      <c r="K276" s="393">
        <f t="shared" si="43"/>
        <v>0</v>
      </c>
      <c r="L276" s="395">
        <f t="shared" si="44"/>
        <v>0</v>
      </c>
      <c r="M276" s="250">
        <f>L276*D276*VPI!Q276</f>
        <v>0</v>
      </c>
    </row>
    <row r="277" spans="1:13" x14ac:dyDescent="0.25">
      <c r="A277" s="132">
        <f>Données!A277</f>
        <v>5903</v>
      </c>
      <c r="B277" s="27" t="str">
        <f>Données!B277</f>
        <v>Bioley-Magnoux</v>
      </c>
      <c r="C277" s="291">
        <f>VPI!R277</f>
        <v>6275.3681349206354</v>
      </c>
      <c r="D277" s="27">
        <f>Données!Z277</f>
        <v>247</v>
      </c>
      <c r="E277" s="88">
        <f t="shared" si="37"/>
        <v>25.406348724375043</v>
      </c>
      <c r="F277" s="147">
        <f t="shared" si="38"/>
        <v>0.53030453676250988</v>
      </c>
      <c r="G277" s="393">
        <f t="shared" si="39"/>
        <v>0</v>
      </c>
      <c r="H277" s="393">
        <f t="shared" si="40"/>
        <v>0</v>
      </c>
      <c r="I277" s="393">
        <f t="shared" si="41"/>
        <v>0</v>
      </c>
      <c r="J277" s="393">
        <f t="shared" si="42"/>
        <v>0</v>
      </c>
      <c r="K277" s="393">
        <f t="shared" si="43"/>
        <v>0</v>
      </c>
      <c r="L277" s="395">
        <f t="shared" si="44"/>
        <v>0</v>
      </c>
      <c r="M277" s="250">
        <f>L277*D277*VPI!Q277</f>
        <v>0</v>
      </c>
    </row>
    <row r="278" spans="1:13" x14ac:dyDescent="0.25">
      <c r="A278" s="132">
        <f>Données!A278</f>
        <v>5904</v>
      </c>
      <c r="B278" s="27" t="str">
        <f>Données!B278</f>
        <v>Chamblon</v>
      </c>
      <c r="C278" s="291">
        <f>VPI!R278</f>
        <v>18889.911515151514</v>
      </c>
      <c r="D278" s="27">
        <f>Données!Z278</f>
        <v>567</v>
      </c>
      <c r="E278" s="88">
        <f t="shared" si="37"/>
        <v>33.315540591096145</v>
      </c>
      <c r="F278" s="147">
        <f t="shared" si="38"/>
        <v>0.69539241989556788</v>
      </c>
      <c r="G278" s="393">
        <f t="shared" si="39"/>
        <v>0</v>
      </c>
      <c r="H278" s="393">
        <f t="shared" si="40"/>
        <v>0</v>
      </c>
      <c r="I278" s="393">
        <f t="shared" si="41"/>
        <v>0</v>
      </c>
      <c r="J278" s="393">
        <f t="shared" si="42"/>
        <v>0</v>
      </c>
      <c r="K278" s="393">
        <f t="shared" si="43"/>
        <v>0</v>
      </c>
      <c r="L278" s="395">
        <f t="shared" si="44"/>
        <v>0</v>
      </c>
      <c r="M278" s="250">
        <f>L278*D278*VPI!Q278</f>
        <v>0</v>
      </c>
    </row>
    <row r="279" spans="1:13" x14ac:dyDescent="0.25">
      <c r="A279" s="132">
        <f>Données!A279</f>
        <v>5905</v>
      </c>
      <c r="B279" s="27" t="str">
        <f>Données!B279</f>
        <v>Champvent</v>
      </c>
      <c r="C279" s="291">
        <f>VPI!R279</f>
        <v>21532.633285714288</v>
      </c>
      <c r="D279" s="27">
        <f>Données!Z279</f>
        <v>734</v>
      </c>
      <c r="E279" s="88">
        <f t="shared" si="37"/>
        <v>29.336012650836903</v>
      </c>
      <c r="F279" s="147">
        <f t="shared" si="38"/>
        <v>0.61232807468849981</v>
      </c>
      <c r="G279" s="393">
        <f t="shared" si="39"/>
        <v>0</v>
      </c>
      <c r="H279" s="393">
        <f t="shared" si="40"/>
        <v>0</v>
      </c>
      <c r="I279" s="393">
        <f t="shared" si="41"/>
        <v>0</v>
      </c>
      <c r="J279" s="393">
        <f t="shared" si="42"/>
        <v>0</v>
      </c>
      <c r="K279" s="393">
        <f t="shared" si="43"/>
        <v>0</v>
      </c>
      <c r="L279" s="395">
        <f t="shared" si="44"/>
        <v>0</v>
      </c>
      <c r="M279" s="250">
        <f>L279*D279*VPI!Q279</f>
        <v>0</v>
      </c>
    </row>
    <row r="280" spans="1:13" x14ac:dyDescent="0.25">
      <c r="A280" s="132">
        <f>Données!A280</f>
        <v>5907</v>
      </c>
      <c r="B280" s="27" t="str">
        <f>Données!B280</f>
        <v>Chavannes-le-Chêne</v>
      </c>
      <c r="C280" s="291">
        <f>VPI!R280</f>
        <v>8453.4518666666645</v>
      </c>
      <c r="D280" s="27">
        <f>Données!Z280</f>
        <v>316</v>
      </c>
      <c r="E280" s="88">
        <f t="shared" si="37"/>
        <v>26.7514299578059</v>
      </c>
      <c r="F280" s="147">
        <f t="shared" si="38"/>
        <v>0.55838030192423693</v>
      </c>
      <c r="G280" s="393">
        <f t="shared" si="39"/>
        <v>0</v>
      </c>
      <c r="H280" s="393">
        <f t="shared" si="40"/>
        <v>0</v>
      </c>
      <c r="I280" s="393">
        <f t="shared" si="41"/>
        <v>0</v>
      </c>
      <c r="J280" s="393">
        <f t="shared" si="42"/>
        <v>0</v>
      </c>
      <c r="K280" s="393">
        <f t="shared" si="43"/>
        <v>0</v>
      </c>
      <c r="L280" s="395">
        <f t="shared" si="44"/>
        <v>0</v>
      </c>
      <c r="M280" s="250">
        <f>L280*D280*VPI!Q280</f>
        <v>0</v>
      </c>
    </row>
    <row r="281" spans="1:13" x14ac:dyDescent="0.25">
      <c r="A281" s="132">
        <f>Données!A281</f>
        <v>5908</v>
      </c>
      <c r="B281" s="27" t="str">
        <f>Données!B281</f>
        <v>Chêne-Pâquier</v>
      </c>
      <c r="C281" s="291">
        <f>VPI!R281</f>
        <v>4917.7774666666683</v>
      </c>
      <c r="D281" s="27">
        <f>Données!Z281</f>
        <v>163</v>
      </c>
      <c r="E281" s="88">
        <f t="shared" si="37"/>
        <v>30.170413905930481</v>
      </c>
      <c r="F281" s="147">
        <f t="shared" si="38"/>
        <v>0.62974446048469779</v>
      </c>
      <c r="G281" s="393">
        <f t="shared" si="39"/>
        <v>0</v>
      </c>
      <c r="H281" s="393">
        <f t="shared" si="40"/>
        <v>0</v>
      </c>
      <c r="I281" s="393">
        <f t="shared" si="41"/>
        <v>0</v>
      </c>
      <c r="J281" s="393">
        <f t="shared" si="42"/>
        <v>0</v>
      </c>
      <c r="K281" s="393">
        <f t="shared" si="43"/>
        <v>0</v>
      </c>
      <c r="L281" s="395">
        <f t="shared" si="44"/>
        <v>0</v>
      </c>
      <c r="M281" s="250">
        <f>L281*D281*VPI!Q281</f>
        <v>0</v>
      </c>
    </row>
    <row r="282" spans="1:13" x14ac:dyDescent="0.25">
      <c r="A282" s="132">
        <f>Données!A282</f>
        <v>5909</v>
      </c>
      <c r="B282" s="27" t="str">
        <f>Données!B282</f>
        <v>Cheseaux-Noréaz</v>
      </c>
      <c r="C282" s="291">
        <f>VPI!R282</f>
        <v>34184.486119402987</v>
      </c>
      <c r="D282" s="27">
        <f>Données!Z282</f>
        <v>734</v>
      </c>
      <c r="E282" s="88">
        <f t="shared" si="37"/>
        <v>46.57286937248363</v>
      </c>
      <c r="F282" s="147">
        <f t="shared" si="38"/>
        <v>0.97211150591586415</v>
      </c>
      <c r="G282" s="393">
        <f t="shared" si="39"/>
        <v>0</v>
      </c>
      <c r="H282" s="393">
        <f t="shared" si="40"/>
        <v>0</v>
      </c>
      <c r="I282" s="393">
        <f t="shared" si="41"/>
        <v>0</v>
      </c>
      <c r="J282" s="393">
        <f t="shared" si="42"/>
        <v>0</v>
      </c>
      <c r="K282" s="393">
        <f t="shared" si="43"/>
        <v>0</v>
      </c>
      <c r="L282" s="395">
        <f t="shared" si="44"/>
        <v>0</v>
      </c>
      <c r="M282" s="250">
        <f>L282*D282*VPI!Q282</f>
        <v>0</v>
      </c>
    </row>
    <row r="283" spans="1:13" x14ac:dyDescent="0.25">
      <c r="A283" s="132">
        <f>Données!A283</f>
        <v>5910</v>
      </c>
      <c r="B283" s="27" t="str">
        <f>Données!B283</f>
        <v>Cronay</v>
      </c>
      <c r="C283" s="291">
        <f>VPI!R283</f>
        <v>10619.844545454544</v>
      </c>
      <c r="D283" s="27">
        <f>Données!Z283</f>
        <v>410</v>
      </c>
      <c r="E283" s="88">
        <f t="shared" si="37"/>
        <v>25.902059866962301</v>
      </c>
      <c r="F283" s="147">
        <f t="shared" si="38"/>
        <v>0.54065147290392968</v>
      </c>
      <c r="G283" s="393">
        <f t="shared" si="39"/>
        <v>0</v>
      </c>
      <c r="H283" s="393">
        <f t="shared" si="40"/>
        <v>0</v>
      </c>
      <c r="I283" s="393">
        <f t="shared" si="41"/>
        <v>0</v>
      </c>
      <c r="J283" s="393">
        <f t="shared" si="42"/>
        <v>0</v>
      </c>
      <c r="K283" s="393">
        <f t="shared" si="43"/>
        <v>0</v>
      </c>
      <c r="L283" s="395">
        <f t="shared" si="44"/>
        <v>0</v>
      </c>
      <c r="M283" s="250">
        <f>L283*D283*VPI!Q283</f>
        <v>0</v>
      </c>
    </row>
    <row r="284" spans="1:13" x14ac:dyDescent="0.25">
      <c r="A284" s="132">
        <f>Données!A284</f>
        <v>5911</v>
      </c>
      <c r="B284" s="27" t="str">
        <f>Données!B284</f>
        <v>Cuarny</v>
      </c>
      <c r="C284" s="291">
        <f>VPI!R284</f>
        <v>7630.6846753246737</v>
      </c>
      <c r="D284" s="27">
        <f>Données!Z284</f>
        <v>236</v>
      </c>
      <c r="E284" s="88">
        <f t="shared" si="37"/>
        <v>32.333409641206245</v>
      </c>
      <c r="F284" s="147">
        <f t="shared" si="38"/>
        <v>0.67489248485681907</v>
      </c>
      <c r="G284" s="393">
        <f t="shared" si="39"/>
        <v>0</v>
      </c>
      <c r="H284" s="393">
        <f t="shared" si="40"/>
        <v>0</v>
      </c>
      <c r="I284" s="393">
        <f t="shared" si="41"/>
        <v>0</v>
      </c>
      <c r="J284" s="393">
        <f t="shared" si="42"/>
        <v>0</v>
      </c>
      <c r="K284" s="393">
        <f t="shared" si="43"/>
        <v>0</v>
      </c>
      <c r="L284" s="395">
        <f t="shared" si="44"/>
        <v>0</v>
      </c>
      <c r="M284" s="250">
        <f>L284*D284*VPI!Q284</f>
        <v>0</v>
      </c>
    </row>
    <row r="285" spans="1:13" x14ac:dyDescent="0.25">
      <c r="A285" s="132">
        <f>Données!A285</f>
        <v>5912</v>
      </c>
      <c r="B285" s="27" t="str">
        <f>Données!B285</f>
        <v>Démoret</v>
      </c>
      <c r="C285" s="291">
        <f>VPI!R285</f>
        <v>3035.5676923076921</v>
      </c>
      <c r="D285" s="27">
        <f>Données!Z285</f>
        <v>167</v>
      </c>
      <c r="E285" s="88">
        <f t="shared" si="37"/>
        <v>18.17705204974666</v>
      </c>
      <c r="F285" s="147">
        <f t="shared" si="38"/>
        <v>0.37940804763105712</v>
      </c>
      <c r="G285" s="393">
        <f t="shared" si="39"/>
        <v>0</v>
      </c>
      <c r="H285" s="393">
        <f t="shared" si="40"/>
        <v>0</v>
      </c>
      <c r="I285" s="393">
        <f t="shared" si="41"/>
        <v>0</v>
      </c>
      <c r="J285" s="393">
        <f t="shared" si="42"/>
        <v>0</v>
      </c>
      <c r="K285" s="393">
        <f t="shared" si="43"/>
        <v>0</v>
      </c>
      <c r="L285" s="395">
        <f t="shared" si="44"/>
        <v>0</v>
      </c>
      <c r="M285" s="250">
        <f>L285*D285*VPI!Q285</f>
        <v>0</v>
      </c>
    </row>
    <row r="286" spans="1:13" x14ac:dyDescent="0.25">
      <c r="A286" s="132">
        <f>Données!A286</f>
        <v>5913</v>
      </c>
      <c r="B286" s="27" t="str">
        <f>Données!B286</f>
        <v>Donneloye</v>
      </c>
      <c r="C286" s="291">
        <f>VPI!R286</f>
        <v>21868.154383561647</v>
      </c>
      <c r="D286" s="27">
        <f>Données!Z286</f>
        <v>905</v>
      </c>
      <c r="E286" s="88">
        <f t="shared" si="37"/>
        <v>24.163706501173092</v>
      </c>
      <c r="F286" s="147">
        <f t="shared" si="38"/>
        <v>0.50436697227082772</v>
      </c>
      <c r="G286" s="393">
        <f t="shared" si="39"/>
        <v>0</v>
      </c>
      <c r="H286" s="393">
        <f t="shared" si="40"/>
        <v>0</v>
      </c>
      <c r="I286" s="393">
        <f t="shared" si="41"/>
        <v>0</v>
      </c>
      <c r="J286" s="393">
        <f t="shared" si="42"/>
        <v>0</v>
      </c>
      <c r="K286" s="393">
        <f t="shared" si="43"/>
        <v>0</v>
      </c>
      <c r="L286" s="395">
        <f t="shared" si="44"/>
        <v>0</v>
      </c>
      <c r="M286" s="250">
        <f>L286*D286*VPI!Q286</f>
        <v>0</v>
      </c>
    </row>
    <row r="287" spans="1:13" x14ac:dyDescent="0.25">
      <c r="A287" s="132">
        <f>Données!A287</f>
        <v>5914</v>
      </c>
      <c r="B287" s="27" t="str">
        <f>Données!B287</f>
        <v>Ependes</v>
      </c>
      <c r="C287" s="291">
        <f>VPI!R287</f>
        <v>9825.9911564625836</v>
      </c>
      <c r="D287" s="27">
        <f>Données!Z287</f>
        <v>372</v>
      </c>
      <c r="E287" s="88">
        <f t="shared" si="37"/>
        <v>26.413954721673612</v>
      </c>
      <c r="F287" s="147">
        <f t="shared" si="38"/>
        <v>0.55133621027976332</v>
      </c>
      <c r="G287" s="393">
        <f t="shared" si="39"/>
        <v>0</v>
      </c>
      <c r="H287" s="393">
        <f t="shared" si="40"/>
        <v>0</v>
      </c>
      <c r="I287" s="393">
        <f t="shared" si="41"/>
        <v>0</v>
      </c>
      <c r="J287" s="393">
        <f t="shared" si="42"/>
        <v>0</v>
      </c>
      <c r="K287" s="393">
        <f t="shared" si="43"/>
        <v>0</v>
      </c>
      <c r="L287" s="395">
        <f t="shared" si="44"/>
        <v>0</v>
      </c>
      <c r="M287" s="250">
        <f>L287*D287*VPI!Q287</f>
        <v>0</v>
      </c>
    </row>
    <row r="288" spans="1:13" x14ac:dyDescent="0.25">
      <c r="A288" s="132">
        <f>Données!A288</f>
        <v>5919</v>
      </c>
      <c r="B288" s="27" t="str">
        <f>Données!B288</f>
        <v>Mathod</v>
      </c>
      <c r="C288" s="291">
        <f>VPI!R288</f>
        <v>20853.913634259261</v>
      </c>
      <c r="D288" s="27">
        <f>Données!Z288</f>
        <v>684</v>
      </c>
      <c r="E288" s="88">
        <f t="shared" si="37"/>
        <v>30.488177827864416</v>
      </c>
      <c r="F288" s="147">
        <f t="shared" si="38"/>
        <v>0.63637711955936993</v>
      </c>
      <c r="G288" s="393">
        <f t="shared" si="39"/>
        <v>0</v>
      </c>
      <c r="H288" s="393">
        <f t="shared" si="40"/>
        <v>0</v>
      </c>
      <c r="I288" s="393">
        <f t="shared" si="41"/>
        <v>0</v>
      </c>
      <c r="J288" s="393">
        <f t="shared" si="42"/>
        <v>0</v>
      </c>
      <c r="K288" s="393">
        <f t="shared" si="43"/>
        <v>0</v>
      </c>
      <c r="L288" s="395">
        <f t="shared" si="44"/>
        <v>0</v>
      </c>
      <c r="M288" s="250">
        <f>L288*D288*VPI!Q288</f>
        <v>0</v>
      </c>
    </row>
    <row r="289" spans="1:18" s="158" customFormat="1" x14ac:dyDescent="0.25">
      <c r="A289" s="132">
        <f>Données!A289</f>
        <v>5921</v>
      </c>
      <c r="B289" s="27" t="str">
        <f>Données!B289</f>
        <v>Molondin</v>
      </c>
      <c r="C289" s="291">
        <f>VPI!R289</f>
        <v>5090.9581481481491</v>
      </c>
      <c r="D289" s="27">
        <f>Données!Z289</f>
        <v>257</v>
      </c>
      <c r="E289" s="88">
        <f t="shared" si="37"/>
        <v>19.809175673728205</v>
      </c>
      <c r="F289" s="147">
        <f t="shared" si="38"/>
        <v>0.41347522397915998</v>
      </c>
      <c r="G289" s="393">
        <f t="shared" si="39"/>
        <v>0</v>
      </c>
      <c r="H289" s="393">
        <f t="shared" si="40"/>
        <v>0</v>
      </c>
      <c r="I289" s="393">
        <f t="shared" si="41"/>
        <v>0</v>
      </c>
      <c r="J289" s="393">
        <f t="shared" si="42"/>
        <v>0</v>
      </c>
      <c r="K289" s="393">
        <f t="shared" si="43"/>
        <v>0</v>
      </c>
      <c r="L289" s="395">
        <f t="shared" si="44"/>
        <v>0</v>
      </c>
      <c r="M289" s="250">
        <f>L289*D289*VPI!Q289</f>
        <v>0</v>
      </c>
      <c r="N289" s="175"/>
      <c r="O289" s="175"/>
      <c r="P289" s="175"/>
      <c r="Q289" s="175"/>
      <c r="R289" s="175"/>
    </row>
    <row r="290" spans="1:18" s="158" customFormat="1" x14ac:dyDescent="0.25">
      <c r="A290" s="132">
        <f>Données!A290</f>
        <v>5922</v>
      </c>
      <c r="B290" s="27" t="str">
        <f>Données!B290</f>
        <v>Montagny-près-Yverdon</v>
      </c>
      <c r="C290" s="291">
        <f>VPI!R290</f>
        <v>39793.407325581393</v>
      </c>
      <c r="D290" s="27">
        <f>Données!Z290</f>
        <v>770</v>
      </c>
      <c r="E290" s="88">
        <f t="shared" si="37"/>
        <v>51.679749773482328</v>
      </c>
      <c r="F290" s="147">
        <f t="shared" si="38"/>
        <v>1.0787069822959425</v>
      </c>
      <c r="G290" s="393">
        <f t="shared" si="39"/>
        <v>3.7707711336240166</v>
      </c>
      <c r="H290" s="393">
        <f t="shared" si="40"/>
        <v>0</v>
      </c>
      <c r="I290" s="393">
        <f t="shared" si="41"/>
        <v>0</v>
      </c>
      <c r="J290" s="393">
        <f t="shared" si="42"/>
        <v>0</v>
      </c>
      <c r="K290" s="393">
        <f t="shared" si="43"/>
        <v>0</v>
      </c>
      <c r="L290" s="395">
        <f t="shared" si="44"/>
        <v>0.75415422672480337</v>
      </c>
      <c r="M290" s="250">
        <f>L290*D290*VPI!Q290</f>
        <v>37455.069670287361</v>
      </c>
      <c r="N290" s="175"/>
      <c r="O290" s="175"/>
      <c r="P290" s="175"/>
      <c r="Q290" s="175"/>
      <c r="R290" s="175"/>
    </row>
    <row r="291" spans="1:18" s="158" customFormat="1" x14ac:dyDescent="0.25">
      <c r="A291" s="132">
        <f>Données!A291</f>
        <v>5923</v>
      </c>
      <c r="B291" s="27" t="str">
        <f>Données!B291</f>
        <v>Oppens</v>
      </c>
      <c r="C291" s="291">
        <f>VPI!R291</f>
        <v>4459.1672839506173</v>
      </c>
      <c r="D291" s="27">
        <f>Données!Z291</f>
        <v>202</v>
      </c>
      <c r="E291" s="88">
        <f t="shared" si="37"/>
        <v>22.075085564111966</v>
      </c>
      <c r="F291" s="147">
        <f t="shared" si="38"/>
        <v>0.46077136667961432</v>
      </c>
      <c r="G291" s="393">
        <f t="shared" si="39"/>
        <v>0</v>
      </c>
      <c r="H291" s="393">
        <f t="shared" si="40"/>
        <v>0</v>
      </c>
      <c r="I291" s="393">
        <f t="shared" si="41"/>
        <v>0</v>
      </c>
      <c r="J291" s="393">
        <f t="shared" si="42"/>
        <v>0</v>
      </c>
      <c r="K291" s="393">
        <f t="shared" si="43"/>
        <v>0</v>
      </c>
      <c r="L291" s="395">
        <f t="shared" si="44"/>
        <v>0</v>
      </c>
      <c r="M291" s="250">
        <f>L291*D291*VPI!Q291</f>
        <v>0</v>
      </c>
      <c r="N291" s="175"/>
      <c r="O291" s="175"/>
      <c r="P291" s="175"/>
      <c r="Q291" s="175"/>
      <c r="R291" s="175"/>
    </row>
    <row r="292" spans="1:18" s="158" customFormat="1" x14ac:dyDescent="0.25">
      <c r="A292" s="132">
        <f>Données!A292</f>
        <v>5924</v>
      </c>
      <c r="B292" s="27" t="str">
        <f>Données!B292</f>
        <v>Orges</v>
      </c>
      <c r="C292" s="291">
        <f>VPI!R292</f>
        <v>11637.444864864863</v>
      </c>
      <c r="D292" s="27">
        <f>Données!Z292</f>
        <v>407</v>
      </c>
      <c r="E292" s="88">
        <f t="shared" si="37"/>
        <v>28.593230626203596</v>
      </c>
      <c r="F292" s="147">
        <f t="shared" si="38"/>
        <v>0.59682404922769938</v>
      </c>
      <c r="G292" s="393">
        <f t="shared" si="39"/>
        <v>0</v>
      </c>
      <c r="H292" s="393">
        <f t="shared" si="40"/>
        <v>0</v>
      </c>
      <c r="I292" s="393">
        <f t="shared" si="41"/>
        <v>0</v>
      </c>
      <c r="J292" s="393">
        <f t="shared" si="42"/>
        <v>0</v>
      </c>
      <c r="K292" s="393">
        <f t="shared" si="43"/>
        <v>0</v>
      </c>
      <c r="L292" s="395">
        <f t="shared" si="44"/>
        <v>0</v>
      </c>
      <c r="M292" s="250">
        <f>L292*D292*VPI!Q292</f>
        <v>0</v>
      </c>
      <c r="N292" s="175"/>
      <c r="O292" s="175"/>
      <c r="P292" s="175"/>
      <c r="Q292" s="175"/>
      <c r="R292" s="175"/>
    </row>
    <row r="293" spans="1:18" s="158" customFormat="1" x14ac:dyDescent="0.25">
      <c r="A293" s="132">
        <f>Données!A293</f>
        <v>5925</v>
      </c>
      <c r="B293" s="27" t="str">
        <f>Données!B293</f>
        <v>Orzens</v>
      </c>
      <c r="C293" s="291">
        <f>VPI!R293</f>
        <v>5255.7039240506319</v>
      </c>
      <c r="D293" s="27">
        <f>Données!Z293</f>
        <v>212</v>
      </c>
      <c r="E293" s="88">
        <f t="shared" si="37"/>
        <v>24.791056245521848</v>
      </c>
      <c r="F293" s="147">
        <f t="shared" si="38"/>
        <v>0.51746158965068612</v>
      </c>
      <c r="G293" s="393">
        <f t="shared" si="39"/>
        <v>0</v>
      </c>
      <c r="H293" s="393">
        <f t="shared" si="40"/>
        <v>0</v>
      </c>
      <c r="I293" s="393">
        <f t="shared" si="41"/>
        <v>0</v>
      </c>
      <c r="J293" s="393">
        <f t="shared" si="42"/>
        <v>0</v>
      </c>
      <c r="K293" s="393">
        <f t="shared" si="43"/>
        <v>0</v>
      </c>
      <c r="L293" s="395">
        <f t="shared" si="44"/>
        <v>0</v>
      </c>
      <c r="M293" s="250">
        <f>L293*D293*VPI!Q293</f>
        <v>0</v>
      </c>
      <c r="N293" s="175"/>
      <c r="O293" s="175"/>
      <c r="P293" s="175"/>
      <c r="Q293" s="175"/>
      <c r="R293" s="175"/>
    </row>
    <row r="294" spans="1:18" s="158" customFormat="1" x14ac:dyDescent="0.25">
      <c r="A294" s="132">
        <f>Données!A294</f>
        <v>5926</v>
      </c>
      <c r="B294" s="27" t="str">
        <f>Données!B294</f>
        <v>Pomy</v>
      </c>
      <c r="C294" s="291">
        <f>VPI!R294</f>
        <v>26782.091549295772</v>
      </c>
      <c r="D294" s="27">
        <f>Données!Z294</f>
        <v>868</v>
      </c>
      <c r="E294" s="88">
        <f t="shared" si="37"/>
        <v>30.854944181216329</v>
      </c>
      <c r="F294" s="147">
        <f t="shared" si="38"/>
        <v>0.64403260218004887</v>
      </c>
      <c r="G294" s="393">
        <f t="shared" si="39"/>
        <v>0</v>
      </c>
      <c r="H294" s="393">
        <f t="shared" si="40"/>
        <v>0</v>
      </c>
      <c r="I294" s="393">
        <f t="shared" si="41"/>
        <v>0</v>
      </c>
      <c r="J294" s="393">
        <f t="shared" si="42"/>
        <v>0</v>
      </c>
      <c r="K294" s="393">
        <f t="shared" si="43"/>
        <v>0</v>
      </c>
      <c r="L294" s="395">
        <f t="shared" si="44"/>
        <v>0</v>
      </c>
      <c r="M294" s="250">
        <f>L294*D294*VPI!Q294</f>
        <v>0</v>
      </c>
      <c r="N294" s="175"/>
      <c r="O294" s="175"/>
      <c r="P294" s="175"/>
      <c r="Q294" s="175"/>
      <c r="R294" s="175"/>
    </row>
    <row r="295" spans="1:18" s="158" customFormat="1" x14ac:dyDescent="0.25">
      <c r="A295" s="132">
        <f>Données!A295</f>
        <v>5928</v>
      </c>
      <c r="B295" s="27" t="str">
        <f>Données!B295</f>
        <v>Rovray</v>
      </c>
      <c r="C295" s="291">
        <f>VPI!R295</f>
        <v>5095.4959440559442</v>
      </c>
      <c r="D295" s="27">
        <f>Données!Z295</f>
        <v>197</v>
      </c>
      <c r="E295" s="88">
        <f t="shared" si="37"/>
        <v>25.865461644954031</v>
      </c>
      <c r="F295" s="147">
        <f t="shared" si="38"/>
        <v>0.53988756135650584</v>
      </c>
      <c r="G295" s="393">
        <f t="shared" si="39"/>
        <v>0</v>
      </c>
      <c r="H295" s="393">
        <f t="shared" si="40"/>
        <v>0</v>
      </c>
      <c r="I295" s="393">
        <f t="shared" si="41"/>
        <v>0</v>
      </c>
      <c r="J295" s="393">
        <f t="shared" si="42"/>
        <v>0</v>
      </c>
      <c r="K295" s="393">
        <f t="shared" si="43"/>
        <v>0</v>
      </c>
      <c r="L295" s="395">
        <f t="shared" si="44"/>
        <v>0</v>
      </c>
      <c r="M295" s="250">
        <f>L295*D295*VPI!Q295</f>
        <v>0</v>
      </c>
      <c r="N295" s="175"/>
      <c r="O295" s="175"/>
      <c r="P295" s="175"/>
      <c r="Q295" s="175"/>
      <c r="R295" s="175"/>
    </row>
    <row r="296" spans="1:18" s="158" customFormat="1" x14ac:dyDescent="0.25">
      <c r="A296" s="132">
        <f>Données!A296</f>
        <v>5929</v>
      </c>
      <c r="B296" s="27" t="str">
        <f>Données!B296</f>
        <v>Suchy</v>
      </c>
      <c r="C296" s="291">
        <f>VPI!R296</f>
        <v>21602.649857142853</v>
      </c>
      <c r="D296" s="27">
        <f>Données!Z296</f>
        <v>671</v>
      </c>
      <c r="E296" s="88">
        <f t="shared" si="37"/>
        <v>32.194709176069829</v>
      </c>
      <c r="F296" s="147">
        <f t="shared" si="38"/>
        <v>0.67199740195014612</v>
      </c>
      <c r="G296" s="393">
        <f t="shared" si="39"/>
        <v>0</v>
      </c>
      <c r="H296" s="393">
        <f t="shared" si="40"/>
        <v>0</v>
      </c>
      <c r="I296" s="393">
        <f t="shared" si="41"/>
        <v>0</v>
      </c>
      <c r="J296" s="393">
        <f t="shared" si="42"/>
        <v>0</v>
      </c>
      <c r="K296" s="393">
        <f t="shared" si="43"/>
        <v>0</v>
      </c>
      <c r="L296" s="395">
        <f t="shared" si="44"/>
        <v>0</v>
      </c>
      <c r="M296" s="250">
        <f>L296*D296*VPI!Q296</f>
        <v>0</v>
      </c>
      <c r="N296" s="175"/>
      <c r="O296" s="175"/>
      <c r="P296" s="175"/>
      <c r="Q296" s="175"/>
      <c r="R296" s="175"/>
    </row>
    <row r="297" spans="1:18" x14ac:dyDescent="0.25">
      <c r="A297" s="132">
        <f>Données!A297</f>
        <v>5930</v>
      </c>
      <c r="B297" s="27" t="str">
        <f>Données!B297</f>
        <v>Suscévaz</v>
      </c>
      <c r="C297" s="291">
        <f>VPI!R297</f>
        <v>5749.1573611111107</v>
      </c>
      <c r="D297" s="27">
        <f>Données!Z297</f>
        <v>220</v>
      </c>
      <c r="E297" s="88">
        <f t="shared" si="37"/>
        <v>26.132533459595958</v>
      </c>
      <c r="F297" s="147">
        <f t="shared" si="38"/>
        <v>0.54546212842564668</v>
      </c>
      <c r="G297" s="393">
        <f t="shared" si="39"/>
        <v>0</v>
      </c>
      <c r="H297" s="393">
        <f t="shared" si="40"/>
        <v>0</v>
      </c>
      <c r="I297" s="393">
        <f t="shared" si="41"/>
        <v>0</v>
      </c>
      <c r="J297" s="393">
        <f t="shared" si="42"/>
        <v>0</v>
      </c>
      <c r="K297" s="393">
        <f t="shared" si="43"/>
        <v>0</v>
      </c>
      <c r="L297" s="395">
        <f t="shared" si="44"/>
        <v>0</v>
      </c>
      <c r="M297" s="250">
        <f>L297*D297*VPI!Q297</f>
        <v>0</v>
      </c>
    </row>
    <row r="298" spans="1:18" x14ac:dyDescent="0.25">
      <c r="A298" s="132">
        <f>Données!A298</f>
        <v>5931</v>
      </c>
      <c r="B298" s="27" t="str">
        <f>Données!B298</f>
        <v>Treycovagnes</v>
      </c>
      <c r="C298" s="291">
        <f>VPI!R298</f>
        <v>16306.589199999997</v>
      </c>
      <c r="D298" s="27">
        <f>Données!Z298</f>
        <v>520</v>
      </c>
      <c r="E298" s="88">
        <f t="shared" si="37"/>
        <v>31.358825384615379</v>
      </c>
      <c r="F298" s="147">
        <f t="shared" si="38"/>
        <v>0.65455007129970666</v>
      </c>
      <c r="G298" s="393">
        <f t="shared" si="39"/>
        <v>0</v>
      </c>
      <c r="H298" s="393">
        <f t="shared" si="40"/>
        <v>0</v>
      </c>
      <c r="I298" s="393">
        <f t="shared" si="41"/>
        <v>0</v>
      </c>
      <c r="J298" s="393">
        <f t="shared" si="42"/>
        <v>0</v>
      </c>
      <c r="K298" s="393">
        <f t="shared" si="43"/>
        <v>0</v>
      </c>
      <c r="L298" s="395">
        <f t="shared" si="44"/>
        <v>0</v>
      </c>
      <c r="M298" s="250">
        <f>L298*D298*VPI!Q298</f>
        <v>0</v>
      </c>
    </row>
    <row r="299" spans="1:18" x14ac:dyDescent="0.25">
      <c r="A299" s="132">
        <f>Données!A299</f>
        <v>5932</v>
      </c>
      <c r="B299" s="27" t="str">
        <f>Données!B299</f>
        <v>Ursins</v>
      </c>
      <c r="C299" s="291">
        <f>VPI!R299</f>
        <v>7945.6270666666669</v>
      </c>
      <c r="D299" s="27">
        <f>Données!Z299</f>
        <v>230</v>
      </c>
      <c r="E299" s="88">
        <f t="shared" si="37"/>
        <v>34.546204637681157</v>
      </c>
      <c r="F299" s="147">
        <f t="shared" si="38"/>
        <v>0.72107996493459214</v>
      </c>
      <c r="G299" s="393">
        <f t="shared" si="39"/>
        <v>0</v>
      </c>
      <c r="H299" s="393">
        <f t="shared" si="40"/>
        <v>0</v>
      </c>
      <c r="I299" s="393">
        <f t="shared" si="41"/>
        <v>0</v>
      </c>
      <c r="J299" s="393">
        <f t="shared" si="42"/>
        <v>0</v>
      </c>
      <c r="K299" s="393">
        <f t="shared" si="43"/>
        <v>0</v>
      </c>
      <c r="L299" s="395">
        <f t="shared" si="44"/>
        <v>0</v>
      </c>
      <c r="M299" s="250">
        <f>L299*D299*VPI!Q299</f>
        <v>0</v>
      </c>
    </row>
    <row r="300" spans="1:18" x14ac:dyDescent="0.25">
      <c r="A300" s="132">
        <f>Données!A300</f>
        <v>5933</v>
      </c>
      <c r="B300" s="27" t="str">
        <f>Données!B300</f>
        <v>Valeyres-sous-Montagny</v>
      </c>
      <c r="C300" s="291">
        <f>VPI!R300</f>
        <v>23478.000425531918</v>
      </c>
      <c r="D300" s="27">
        <f>Données!Z300</f>
        <v>703</v>
      </c>
      <c r="E300" s="88">
        <f t="shared" si="37"/>
        <v>33.39687116007385</v>
      </c>
      <c r="F300" s="147">
        <f t="shared" si="38"/>
        <v>0.69709002588272706</v>
      </c>
      <c r="G300" s="393">
        <f t="shared" si="39"/>
        <v>0</v>
      </c>
      <c r="H300" s="393">
        <f t="shared" si="40"/>
        <v>0</v>
      </c>
      <c r="I300" s="393">
        <f t="shared" si="41"/>
        <v>0</v>
      </c>
      <c r="J300" s="393">
        <f t="shared" si="42"/>
        <v>0</v>
      </c>
      <c r="K300" s="393">
        <f t="shared" si="43"/>
        <v>0</v>
      </c>
      <c r="L300" s="395">
        <f t="shared" si="44"/>
        <v>0</v>
      </c>
      <c r="M300" s="250">
        <f>L300*D300*VPI!Q300</f>
        <v>0</v>
      </c>
    </row>
    <row r="301" spans="1:18" x14ac:dyDescent="0.25">
      <c r="A301" s="132">
        <f>Données!A301</f>
        <v>5934</v>
      </c>
      <c r="B301" s="27" t="str">
        <f>Données!B301</f>
        <v>Valeyres-sous-Ursins</v>
      </c>
      <c r="C301" s="291">
        <f>VPI!R301</f>
        <v>6917.5551948051934</v>
      </c>
      <c r="D301" s="27">
        <f>Données!Z301</f>
        <v>241</v>
      </c>
      <c r="E301" s="88">
        <f t="shared" si="37"/>
        <v>28.703548526162628</v>
      </c>
      <c r="F301" s="147">
        <f t="shared" si="38"/>
        <v>0.59912670528698031</v>
      </c>
      <c r="G301" s="393">
        <f t="shared" si="39"/>
        <v>0</v>
      </c>
      <c r="H301" s="393">
        <f t="shared" si="40"/>
        <v>0</v>
      </c>
      <c r="I301" s="393">
        <f t="shared" si="41"/>
        <v>0</v>
      </c>
      <c r="J301" s="393">
        <f t="shared" si="42"/>
        <v>0</v>
      </c>
      <c r="K301" s="393">
        <f t="shared" si="43"/>
        <v>0</v>
      </c>
      <c r="L301" s="395">
        <f t="shared" si="44"/>
        <v>0</v>
      </c>
      <c r="M301" s="250">
        <f>L301*D301*VPI!Q301</f>
        <v>0</v>
      </c>
    </row>
    <row r="302" spans="1:18" x14ac:dyDescent="0.25">
      <c r="A302" s="132">
        <f>Données!A302</f>
        <v>5935</v>
      </c>
      <c r="B302" s="27" t="str">
        <f>Données!B302</f>
        <v>Villars-Epeney</v>
      </c>
      <c r="C302" s="291">
        <f>VPI!R302</f>
        <v>6724.3836764705884</v>
      </c>
      <c r="D302" s="27">
        <f>Données!Z302</f>
        <v>92</v>
      </c>
      <c r="E302" s="88">
        <f t="shared" si="37"/>
        <v>73.091126918158565</v>
      </c>
      <c r="F302" s="147">
        <f t="shared" si="38"/>
        <v>1.5256248200906068</v>
      </c>
      <c r="G302" s="393">
        <f t="shared" si="39"/>
        <v>25.182148278300254</v>
      </c>
      <c r="H302" s="393">
        <f t="shared" si="40"/>
        <v>15.600352550328594</v>
      </c>
      <c r="I302" s="393">
        <f t="shared" si="41"/>
        <v>1.2276589583710944</v>
      </c>
      <c r="J302" s="393">
        <f t="shared" si="42"/>
        <v>0</v>
      </c>
      <c r="K302" s="393">
        <f t="shared" si="43"/>
        <v>0</v>
      </c>
      <c r="L302" s="395">
        <f t="shared" si="44"/>
        <v>6.7192308065300193</v>
      </c>
      <c r="M302" s="250">
        <f>L302*D302*VPI!Q302</f>
        <v>42035.507925651807</v>
      </c>
    </row>
    <row r="303" spans="1:18" x14ac:dyDescent="0.25">
      <c r="A303" s="132">
        <f>Données!A303</f>
        <v>5937</v>
      </c>
      <c r="B303" s="27" t="str">
        <f>Données!B303</f>
        <v>Vugelles-La Mothe</v>
      </c>
      <c r="C303" s="291">
        <f>VPI!R303</f>
        <v>3343.8780000000002</v>
      </c>
      <c r="D303" s="27">
        <f>Données!Z303</f>
        <v>137</v>
      </c>
      <c r="E303" s="88">
        <f t="shared" si="37"/>
        <v>24.407868613138689</v>
      </c>
      <c r="F303" s="147">
        <f t="shared" si="38"/>
        <v>0.50946334708192542</v>
      </c>
      <c r="G303" s="393">
        <f t="shared" si="39"/>
        <v>0</v>
      </c>
      <c r="H303" s="393">
        <f t="shared" si="40"/>
        <v>0</v>
      </c>
      <c r="I303" s="393">
        <f t="shared" si="41"/>
        <v>0</v>
      </c>
      <c r="J303" s="393">
        <f t="shared" si="42"/>
        <v>0</v>
      </c>
      <c r="K303" s="393">
        <f t="shared" si="43"/>
        <v>0</v>
      </c>
      <c r="L303" s="395">
        <f t="shared" si="44"/>
        <v>0</v>
      </c>
      <c r="M303" s="250">
        <f>L303*D303*VPI!Q303</f>
        <v>0</v>
      </c>
    </row>
    <row r="304" spans="1:18" x14ac:dyDescent="0.25">
      <c r="A304" s="132">
        <f>Données!A304</f>
        <v>5938</v>
      </c>
      <c r="B304" s="27" t="str">
        <f>Données!B304</f>
        <v>Yverdon-les-Bains</v>
      </c>
      <c r="C304" s="291">
        <f>VPI!R304</f>
        <v>780545.69493333355</v>
      </c>
      <c r="D304" s="27">
        <f>Données!Z304</f>
        <v>29877</v>
      </c>
      <c r="E304" s="88">
        <f t="shared" si="37"/>
        <v>26.125303575771781</v>
      </c>
      <c r="F304" s="147">
        <f t="shared" si="38"/>
        <v>0.54531121968099305</v>
      </c>
      <c r="G304" s="393">
        <f t="shared" si="39"/>
        <v>0</v>
      </c>
      <c r="H304" s="393">
        <f t="shared" si="40"/>
        <v>0</v>
      </c>
      <c r="I304" s="393">
        <f t="shared" si="41"/>
        <v>0</v>
      </c>
      <c r="J304" s="393">
        <f t="shared" si="42"/>
        <v>0</v>
      </c>
      <c r="K304" s="393">
        <f t="shared" si="43"/>
        <v>0</v>
      </c>
      <c r="L304" s="395">
        <f t="shared" si="44"/>
        <v>0</v>
      </c>
      <c r="M304" s="250">
        <f>L304*D304*VPI!Q304</f>
        <v>0</v>
      </c>
    </row>
    <row r="305" spans="1:13" x14ac:dyDescent="0.25">
      <c r="A305" s="132">
        <f>Données!A305</f>
        <v>5939</v>
      </c>
      <c r="B305" s="27" t="str">
        <f>Données!B305</f>
        <v>Yvonand</v>
      </c>
      <c r="C305" s="291">
        <f>VPI!R305</f>
        <v>97389.711048951052</v>
      </c>
      <c r="D305" s="27">
        <f>Données!Z305</f>
        <v>3531</v>
      </c>
      <c r="E305" s="88">
        <f t="shared" si="37"/>
        <v>27.581339860932044</v>
      </c>
      <c r="F305" s="147">
        <f t="shared" si="38"/>
        <v>0.57570294011622902</v>
      </c>
      <c r="G305" s="393">
        <f t="shared" si="39"/>
        <v>0</v>
      </c>
      <c r="H305" s="393">
        <f t="shared" si="40"/>
        <v>0</v>
      </c>
      <c r="I305" s="393">
        <f t="shared" si="41"/>
        <v>0</v>
      </c>
      <c r="J305" s="393">
        <f t="shared" si="42"/>
        <v>0</v>
      </c>
      <c r="K305" s="393">
        <f t="shared" si="43"/>
        <v>0</v>
      </c>
      <c r="L305" s="396">
        <f t="shared" si="44"/>
        <v>0</v>
      </c>
      <c r="M305" s="250">
        <f>L305*D305*VPI!Q305</f>
        <v>0</v>
      </c>
    </row>
    <row r="306" spans="1:13" x14ac:dyDescent="0.25">
      <c r="A306" s="6"/>
      <c r="B306" s="73">
        <f>COUNTA(B6:B305)</f>
        <v>300</v>
      </c>
      <c r="C306" s="292">
        <f>SUM(C6:C305)</f>
        <v>39802348.273186527</v>
      </c>
      <c r="D306" s="122">
        <f>SUM(D6:D305)</f>
        <v>830791</v>
      </c>
      <c r="E306" s="46">
        <f>C306/D306</f>
        <v>47.908978639858312</v>
      </c>
      <c r="F306" s="47">
        <v>1</v>
      </c>
      <c r="G306" s="688"/>
      <c r="H306" s="689"/>
      <c r="I306" s="689"/>
      <c r="J306" s="689"/>
      <c r="K306" s="689"/>
      <c r="L306" s="690"/>
      <c r="M306" s="251">
        <f>SUM(M6:M305)</f>
        <v>125715596.50028637</v>
      </c>
    </row>
    <row r="307" spans="1:13" x14ac:dyDescent="0.25">
      <c r="M307" s="5"/>
    </row>
    <row r="309" spans="1:13" x14ac:dyDescent="0.25">
      <c r="F309" s="13"/>
    </row>
    <row r="310" spans="1:13" x14ac:dyDescent="0.25">
      <c r="F310" s="13"/>
    </row>
    <row r="311" spans="1:13" x14ac:dyDescent="0.25">
      <c r="F311" s="13"/>
      <c r="G311" s="15"/>
      <c r="H311" s="15"/>
    </row>
    <row r="312" spans="1:13" x14ac:dyDescent="0.25">
      <c r="E312" s="23"/>
    </row>
  </sheetData>
  <sheetProtection sheet="1" objects="1" scenarios="1"/>
  <mergeCells count="7">
    <mergeCell ref="G306:L306"/>
    <mergeCell ref="M4:M5"/>
    <mergeCell ref="L4:L5"/>
    <mergeCell ref="A4:A5"/>
    <mergeCell ref="B4:B5"/>
    <mergeCell ref="F4:F5"/>
    <mergeCell ref="C4:E4"/>
  </mergeCells>
  <phoneticPr fontId="21" type="noConversion"/>
  <hyperlinks>
    <hyperlink ref="C1" location="PCS!A1" display="← Précédent" xr:uid="{901F770C-9D71-4B9C-BD74-2BF5F01B4728}"/>
    <hyperlink ref="E1" location="'Péréquation directe'!A1" display="Suivant →" xr:uid="{8E8E8AD3-F212-48FB-86E5-C0AB3A686AFA}"/>
    <hyperlink ref="D1" location="'Table des matières'!A1" display="'Table des matières'!A1" xr:uid="{202983C2-6A43-4285-A91A-F524C826C944}"/>
  </hyperlinks>
  <pageMargins left="0.78740157499999996" right="0.78740157499999996" top="0.984251969" bottom="0.984251969" header="0.4921259845" footer="0.4921259845"/>
  <pageSetup paperSize="9" orientation="landscape" horizontalDpi="4294967292" vertic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K331"/>
  <sheetViews>
    <sheetView zoomScaleNormal="100" workbookViewId="0">
      <pane ySplit="11" topLeftCell="A12" activePane="bottomLeft" state="frozen"/>
      <selection pane="bottomLeft" activeCell="K20" sqref="K20"/>
    </sheetView>
  </sheetViews>
  <sheetFormatPr baseColWidth="10" defaultColWidth="11" defaultRowHeight="15" x14ac:dyDescent="0.25"/>
  <cols>
    <col min="1" max="1" width="7.125" style="11" customWidth="1"/>
    <col min="2" max="2" width="23.125" style="11" customWidth="1"/>
    <col min="3" max="3" width="16.125" style="11" customWidth="1"/>
    <col min="4" max="4" width="11" style="11" customWidth="1"/>
    <col min="5" max="6" width="12.75" style="11" customWidth="1"/>
    <col min="7" max="7" width="12.875" style="11" customWidth="1"/>
    <col min="8" max="8" width="12.75" style="158" customWidth="1"/>
    <col min="9" max="9" width="12.75" style="11" customWidth="1"/>
    <col min="10" max="10" width="12.75" style="158" customWidth="1"/>
    <col min="11" max="11" width="12.5" style="11" customWidth="1"/>
    <col min="12" max="16384" width="11" style="11"/>
  </cols>
  <sheetData>
    <row r="1" spans="1:11" s="214" customFormat="1" ht="26.25" x14ac:dyDescent="0.4">
      <c r="A1" s="207" t="s">
        <v>278</v>
      </c>
      <c r="B1" s="212"/>
      <c r="C1" s="314" t="s">
        <v>403</v>
      </c>
      <c r="D1" s="230" t="s">
        <v>395</v>
      </c>
      <c r="E1" s="389" t="s">
        <v>404</v>
      </c>
      <c r="H1" s="235"/>
    </row>
    <row r="2" spans="1:11" s="158" customFormat="1" ht="15.75" x14ac:dyDescent="0.25">
      <c r="A2" s="278" t="str">
        <f>Paramètres!B4</f>
        <v>Acomptes 2024</v>
      </c>
      <c r="B2" s="32"/>
      <c r="C2" s="160"/>
      <c r="D2" s="160"/>
      <c r="E2" s="160"/>
      <c r="F2" s="160"/>
      <c r="G2" s="160"/>
      <c r="H2" s="160"/>
      <c r="I2" s="160"/>
      <c r="J2" s="160"/>
    </row>
    <row r="4" spans="1:11" x14ac:dyDescent="0.25">
      <c r="A4" s="75" t="s">
        <v>502</v>
      </c>
      <c r="B4" s="76"/>
      <c r="C4" s="77" t="s">
        <v>357</v>
      </c>
      <c r="D4" s="77" t="s">
        <v>335</v>
      </c>
      <c r="E4" s="49"/>
      <c r="F4" s="49"/>
      <c r="G4" s="49"/>
      <c r="H4" s="160"/>
      <c r="I4" s="49"/>
      <c r="J4" s="160"/>
    </row>
    <row r="5" spans="1:11" x14ac:dyDescent="0.25">
      <c r="A5" s="697" t="s">
        <v>503</v>
      </c>
      <c r="B5" s="698"/>
      <c r="C5" s="16">
        <f>ABS(E312+F312+G312)</f>
        <v>782882170.81193066</v>
      </c>
      <c r="D5" s="62">
        <f>C5/$C$312</f>
        <v>19.669245780137334</v>
      </c>
      <c r="E5" s="49"/>
      <c r="F5" s="49"/>
      <c r="G5" s="49"/>
      <c r="H5" s="160"/>
      <c r="I5" s="49"/>
      <c r="J5" s="160"/>
    </row>
    <row r="6" spans="1:11" x14ac:dyDescent="0.25">
      <c r="A6" s="699" t="s">
        <v>549</v>
      </c>
      <c r="B6" s="700"/>
      <c r="C6" s="8">
        <f>-Paramètres!B50</f>
        <v>-3064247.6736843437</v>
      </c>
      <c r="D6" s="62">
        <f>C6/$C$312</f>
        <v>-7.6986605228732741E-2</v>
      </c>
      <c r="E6" s="49"/>
      <c r="F6" s="49"/>
      <c r="G6" s="49"/>
      <c r="H6" s="160"/>
      <c r="I6" s="49"/>
      <c r="J6" s="160"/>
    </row>
    <row r="7" spans="1:11" x14ac:dyDescent="0.25">
      <c r="A7" s="697" t="s">
        <v>510</v>
      </c>
      <c r="B7" s="698"/>
      <c r="C7" s="9">
        <f>Paramètres!B51</f>
        <v>450000</v>
      </c>
      <c r="D7" s="62">
        <f>C7/$C$312</f>
        <v>1.1305865596456516E-2</v>
      </c>
      <c r="E7" s="49"/>
      <c r="F7" s="49"/>
      <c r="G7" s="49"/>
      <c r="H7" s="160"/>
      <c r="I7" s="49"/>
      <c r="J7" s="160"/>
    </row>
    <row r="8" spans="1:11" x14ac:dyDescent="0.25">
      <c r="A8" s="268" t="s">
        <v>483</v>
      </c>
      <c r="B8" s="269"/>
      <c r="C8" s="256">
        <f>SUM(C5:C7)</f>
        <v>780267923.1382463</v>
      </c>
      <c r="D8" s="426">
        <f>SUM(D5:D7)</f>
        <v>19.603565040505057</v>
      </c>
      <c r="E8" s="49"/>
      <c r="F8" s="49"/>
      <c r="G8" s="49"/>
      <c r="H8" s="160"/>
      <c r="I8" s="49"/>
      <c r="J8" s="160"/>
    </row>
    <row r="10" spans="1:11" ht="60" customHeight="1" x14ac:dyDescent="0.25">
      <c r="A10" s="701" t="s">
        <v>44</v>
      </c>
      <c r="B10" s="701" t="s">
        <v>84</v>
      </c>
      <c r="C10" s="696" t="s">
        <v>410</v>
      </c>
      <c r="D10" s="696" t="s">
        <v>258</v>
      </c>
      <c r="E10" s="48" t="s">
        <v>499</v>
      </c>
      <c r="F10" s="48" t="s">
        <v>500</v>
      </c>
      <c r="G10" s="234" t="s">
        <v>545</v>
      </c>
      <c r="H10" s="234" t="s">
        <v>504</v>
      </c>
      <c r="I10" s="48" t="s">
        <v>508</v>
      </c>
      <c r="J10" s="282" t="s">
        <v>509</v>
      </c>
      <c r="K10" s="696" t="s">
        <v>505</v>
      </c>
    </row>
    <row r="11" spans="1:11" x14ac:dyDescent="0.25">
      <c r="A11" s="702"/>
      <c r="B11" s="702"/>
      <c r="C11" s="696"/>
      <c r="D11" s="696"/>
      <c r="E11" s="301">
        <f>E312/$C$312</f>
        <v>-11.755430399425922</v>
      </c>
      <c r="F11" s="153">
        <f t="shared" ref="F11:G11" si="0">F312/$C$312</f>
        <v>-3.413815380711414</v>
      </c>
      <c r="G11" s="301">
        <f t="shared" si="0"/>
        <v>-4.4999999999999991</v>
      </c>
      <c r="H11" s="153">
        <f>H312/C312</f>
        <v>7.698660522873281E-2</v>
      </c>
      <c r="I11" s="301">
        <f>I312/C312</f>
        <v>-19.592259174908602</v>
      </c>
      <c r="J11" s="153">
        <f>ABS(D8)</f>
        <v>19.603565040505057</v>
      </c>
      <c r="K11" s="696"/>
    </row>
    <row r="12" spans="1:11" x14ac:dyDescent="0.25">
      <c r="A12" s="36">
        <f>Données!A6</f>
        <v>5401</v>
      </c>
      <c r="B12" s="133" t="str">
        <f>Données!B6</f>
        <v>Aigle</v>
      </c>
      <c r="C12" s="26">
        <f>Ecrêtage!C6</f>
        <v>294617.5415151515</v>
      </c>
      <c r="D12" s="12">
        <f>Données!Z6</f>
        <v>10937</v>
      </c>
      <c r="E12" s="41">
        <f>Population!K9</f>
        <v>-6160887.6760563366</v>
      </c>
      <c r="F12" s="174">
        <f>Solidarité!I6</f>
        <v>-3986165.8585601049</v>
      </c>
      <c r="G12" s="41">
        <f>DT!O6</f>
        <v>-3769999.3118019616</v>
      </c>
      <c r="H12" s="174">
        <f>Effort!K6+Aide!I6+Taux!J6</f>
        <v>0</v>
      </c>
      <c r="I12" s="255">
        <f>SUM(E12:H12)</f>
        <v>-13917052.846418403</v>
      </c>
      <c r="J12" s="300">
        <f>C12*$J$11</f>
        <v>5775554.1371659711</v>
      </c>
      <c r="K12" s="405">
        <f>I12+J12</f>
        <v>-8141498.709252432</v>
      </c>
    </row>
    <row r="13" spans="1:11" s="158" customFormat="1" x14ac:dyDescent="0.25">
      <c r="A13" s="38">
        <f>Données!A7</f>
        <v>5402</v>
      </c>
      <c r="B13" s="27" t="str">
        <f>Données!B7</f>
        <v>Bex</v>
      </c>
      <c r="C13" s="154">
        <f>Ecrêtage!C7</f>
        <v>191952.18042253522</v>
      </c>
      <c r="D13" s="174">
        <f>Données!Z7</f>
        <v>8151</v>
      </c>
      <c r="E13" s="8">
        <f>Population!K10</f>
        <v>-3898763.3802816896</v>
      </c>
      <c r="F13" s="174">
        <f>Solidarité!I7</f>
        <v>-3993368.0828480776</v>
      </c>
      <c r="G13" s="8">
        <f>DT!O7</f>
        <v>-2881652.070448854</v>
      </c>
      <c r="H13" s="174">
        <f>Effort!K7+Aide!I7+Taux!J7</f>
        <v>0</v>
      </c>
      <c r="I13" s="240">
        <f t="shared" ref="I13:I76" si="1">SUM(E13:H13)</f>
        <v>-10773783.533578621</v>
      </c>
      <c r="J13" s="300">
        <f t="shared" ref="J13:J76" si="2">C13*$J$11</f>
        <v>3762947.0535799307</v>
      </c>
      <c r="K13" s="406">
        <f t="shared" ref="K13:K76" si="3">I13+J13</f>
        <v>-7010836.479998691</v>
      </c>
    </row>
    <row r="14" spans="1:11" s="158" customFormat="1" x14ac:dyDescent="0.25">
      <c r="A14" s="38">
        <f>Données!A8</f>
        <v>5403</v>
      </c>
      <c r="B14" s="27" t="str">
        <f>Données!B8</f>
        <v>Chessel</v>
      </c>
      <c r="C14" s="154">
        <f>Ecrêtage!C8</f>
        <v>13520.577538461539</v>
      </c>
      <c r="D14" s="174">
        <f>Données!Z8</f>
        <v>528</v>
      </c>
      <c r="E14" s="8">
        <f>Population!K11</f>
        <v>-69253.521126760548</v>
      </c>
      <c r="F14" s="174">
        <f>Solidarité!I8</f>
        <v>-198493.01910476256</v>
      </c>
      <c r="G14" s="8">
        <f>DT!O8</f>
        <v>-22858.050441258471</v>
      </c>
      <c r="H14" s="174">
        <f>Effort!K8+Aide!I8+Taux!J8</f>
        <v>0</v>
      </c>
      <c r="I14" s="240">
        <f t="shared" si="1"/>
        <v>-290604.59067278157</v>
      </c>
      <c r="J14" s="300">
        <f t="shared" si="2"/>
        <v>265051.52116042253</v>
      </c>
      <c r="K14" s="406">
        <f t="shared" si="3"/>
        <v>-25553.069512359041</v>
      </c>
    </row>
    <row r="15" spans="1:11" s="158" customFormat="1" x14ac:dyDescent="0.25">
      <c r="A15" s="38">
        <f>Données!A9</f>
        <v>5404</v>
      </c>
      <c r="B15" s="27" t="str">
        <f>Données!B9</f>
        <v>Corbeyrier</v>
      </c>
      <c r="C15" s="154">
        <f>Ecrêtage!C9</f>
        <v>11663.176261261262</v>
      </c>
      <c r="D15" s="174">
        <f>Données!Z9</f>
        <v>440</v>
      </c>
      <c r="E15" s="8">
        <f>Population!K12</f>
        <v>-57711.267605633795</v>
      </c>
      <c r="F15" s="174">
        <f>Solidarité!I9</f>
        <v>-205735.77463414063</v>
      </c>
      <c r="G15" s="8">
        <f>DT!O9</f>
        <v>-191483.66430883601</v>
      </c>
      <c r="H15" s="174">
        <f>Effort!K9+Aide!I9+Taux!J9</f>
        <v>0</v>
      </c>
      <c r="I15" s="240">
        <f t="shared" si="1"/>
        <v>-454930.70654861047</v>
      </c>
      <c r="J15" s="300">
        <f t="shared" si="2"/>
        <v>228639.83441650975</v>
      </c>
      <c r="K15" s="406">
        <f t="shared" si="3"/>
        <v>-226290.87213210072</v>
      </c>
    </row>
    <row r="16" spans="1:11" x14ac:dyDescent="0.25">
      <c r="A16" s="38">
        <f>Données!A10</f>
        <v>5405</v>
      </c>
      <c r="B16" s="27" t="str">
        <f>Données!B10</f>
        <v>Gryon</v>
      </c>
      <c r="C16" s="26">
        <f>Ecrêtage!C10</f>
        <v>73284.694739229046</v>
      </c>
      <c r="D16" s="12">
        <f>Données!Z10</f>
        <v>1389</v>
      </c>
      <c r="E16" s="8">
        <f>Population!K13</f>
        <v>-274023.5915492957</v>
      </c>
      <c r="F16" s="174">
        <f>Solidarité!I10</f>
        <v>0</v>
      </c>
      <c r="G16" s="8">
        <f>DT!O10</f>
        <v>-599025.27594608616</v>
      </c>
      <c r="H16" s="174">
        <f>Effort!K10+Aide!I10+Taux!J10</f>
        <v>0</v>
      </c>
      <c r="I16" s="240">
        <f t="shared" si="1"/>
        <v>-873048.86749538186</v>
      </c>
      <c r="J16" s="300">
        <f t="shared" si="2"/>
        <v>1436641.2797940355</v>
      </c>
      <c r="K16" s="406">
        <f t="shared" si="3"/>
        <v>563592.41229865362</v>
      </c>
    </row>
    <row r="17" spans="1:11" x14ac:dyDescent="0.25">
      <c r="A17" s="38">
        <f>Données!A11</f>
        <v>5406</v>
      </c>
      <c r="B17" s="27" t="str">
        <f>Données!B11</f>
        <v>Lavey-Morcles</v>
      </c>
      <c r="C17" s="26">
        <f>Ecrêtage!C11</f>
        <v>22110.99022054868</v>
      </c>
      <c r="D17" s="12">
        <f>Données!Z11</f>
        <v>979</v>
      </c>
      <c r="E17" s="8">
        <f>Population!K14</f>
        <v>-128407.57042253518</v>
      </c>
      <c r="F17" s="174">
        <f>Solidarité!I11</f>
        <v>-505668.7392779474</v>
      </c>
      <c r="G17" s="8">
        <f>DT!O11</f>
        <v>-169830.29306879942</v>
      </c>
      <c r="H17" s="174">
        <f>Effort!K11+Aide!I11+Taux!J11</f>
        <v>0</v>
      </c>
      <c r="I17" s="240">
        <f t="shared" si="1"/>
        <v>-803906.60276928195</v>
      </c>
      <c r="J17" s="300">
        <f t="shared" si="2"/>
        <v>433454.23489849729</v>
      </c>
      <c r="K17" s="406">
        <f t="shared" si="3"/>
        <v>-370452.36787078466</v>
      </c>
    </row>
    <row r="18" spans="1:11" x14ac:dyDescent="0.25">
      <c r="A18" s="38">
        <f>Données!A12</f>
        <v>5407</v>
      </c>
      <c r="B18" s="27" t="str">
        <f>Données!B12</f>
        <v>Leysin</v>
      </c>
      <c r="C18" s="26">
        <f>Ecrêtage!C12</f>
        <v>89840.418034188027</v>
      </c>
      <c r="D18" s="12">
        <f>Données!Z12</f>
        <v>3743</v>
      </c>
      <c r="E18" s="8">
        <f>Population!K15</f>
        <v>-1255482.3943661968</v>
      </c>
      <c r="F18" s="174">
        <f>Solidarité!I12</f>
        <v>-2172067.9924600995</v>
      </c>
      <c r="G18" s="8">
        <f>DT!O12</f>
        <v>-1582959.9605824184</v>
      </c>
      <c r="H18" s="174">
        <f>Effort!K12+Aide!I12+Taux!J12</f>
        <v>0</v>
      </c>
      <c r="I18" s="240">
        <f t="shared" si="1"/>
        <v>-5010510.3474087147</v>
      </c>
      <c r="J18" s="300">
        <f t="shared" si="2"/>
        <v>1761192.4781993683</v>
      </c>
      <c r="K18" s="406">
        <f t="shared" si="3"/>
        <v>-3249317.8692093464</v>
      </c>
    </row>
    <row r="19" spans="1:11" x14ac:dyDescent="0.25">
      <c r="A19" s="38">
        <f>Données!A13</f>
        <v>5408</v>
      </c>
      <c r="B19" s="27" t="str">
        <f>Données!B13</f>
        <v>Noville</v>
      </c>
      <c r="C19" s="26">
        <f>Ecrêtage!C13</f>
        <v>41970.812088888903</v>
      </c>
      <c r="D19" s="12">
        <f>Données!Z13</f>
        <v>1169</v>
      </c>
      <c r="E19" s="8">
        <f>Population!K16</f>
        <v>-193227.81690140843</v>
      </c>
      <c r="F19" s="174">
        <f>Solidarité!I13</f>
        <v>-314972.37952351145</v>
      </c>
      <c r="G19" s="8">
        <f>DT!O13</f>
        <v>-128014.4134567618</v>
      </c>
      <c r="H19" s="174">
        <f>Effort!K13+Aide!I13+Taux!J13</f>
        <v>0</v>
      </c>
      <c r="I19" s="240">
        <f t="shared" si="1"/>
        <v>-636214.60988168162</v>
      </c>
      <c r="J19" s="300">
        <f t="shared" si="2"/>
        <v>822777.54458734952</v>
      </c>
      <c r="K19" s="406">
        <f t="shared" si="3"/>
        <v>186562.9347056679</v>
      </c>
    </row>
    <row r="20" spans="1:11" x14ac:dyDescent="0.25">
      <c r="A20" s="38">
        <f>Données!A14</f>
        <v>5409</v>
      </c>
      <c r="B20" s="27" t="str">
        <f>Données!B14</f>
        <v>Ollon</v>
      </c>
      <c r="C20" s="26">
        <f>Ecrêtage!C14</f>
        <v>405929.69030542986</v>
      </c>
      <c r="D20" s="12">
        <f>Données!Z14</f>
        <v>7967</v>
      </c>
      <c r="E20" s="8">
        <f>Population!K17</f>
        <v>-3782921.1267605629</v>
      </c>
      <c r="F20" s="174">
        <f>Solidarité!I14</f>
        <v>0</v>
      </c>
      <c r="G20" s="8">
        <f>DT!O14</f>
        <v>-3500474.1502052546</v>
      </c>
      <c r="H20" s="174">
        <f>Effort!K14+Aide!I14+Taux!J14</f>
        <v>0</v>
      </c>
      <c r="I20" s="240">
        <f t="shared" si="1"/>
        <v>-7283395.2769658174</v>
      </c>
      <c r="J20" s="300">
        <f t="shared" si="2"/>
        <v>7957669.0857745688</v>
      </c>
      <c r="K20" s="406">
        <f t="shared" si="3"/>
        <v>674273.8088087514</v>
      </c>
    </row>
    <row r="21" spans="1:11" x14ac:dyDescent="0.25">
      <c r="A21" s="38">
        <f>Données!A15</f>
        <v>5410</v>
      </c>
      <c r="B21" s="27" t="str">
        <f>Données!B15</f>
        <v>Ormont-Dessous</v>
      </c>
      <c r="C21" s="26">
        <f>Ecrêtage!C15</f>
        <v>38412.928528138524</v>
      </c>
      <c r="D21" s="12">
        <f>Données!Z15</f>
        <v>1178</v>
      </c>
      <c r="E21" s="8">
        <f>Population!K18</f>
        <v>-196533.09859154926</v>
      </c>
      <c r="F21" s="174">
        <f>Solidarité!I15</f>
        <v>-426356.79353414988</v>
      </c>
      <c r="G21" s="8">
        <f>DT!O15</f>
        <v>-900472.94354695012</v>
      </c>
      <c r="H21" s="174">
        <f>Effort!K15+Aide!I15+Taux!J15</f>
        <v>0</v>
      </c>
      <c r="I21" s="240">
        <f t="shared" si="1"/>
        <v>-1523362.8356726493</v>
      </c>
      <c r="J21" s="300">
        <f t="shared" si="2"/>
        <v>753030.34279763571</v>
      </c>
      <c r="K21" s="406">
        <f t="shared" si="3"/>
        <v>-770332.49287501362</v>
      </c>
    </row>
    <row r="22" spans="1:11" x14ac:dyDescent="0.25">
      <c r="A22" s="38">
        <f>Données!A16</f>
        <v>5411</v>
      </c>
      <c r="B22" s="27" t="str">
        <f>Données!B16</f>
        <v>Ormont-Dessus</v>
      </c>
      <c r="C22" s="26">
        <f>Ecrêtage!C16</f>
        <v>76159.947763157907</v>
      </c>
      <c r="D22" s="12">
        <f>Données!Z16</f>
        <v>1425</v>
      </c>
      <c r="E22" s="8">
        <f>Population!K19</f>
        <v>-287244.7183098591</v>
      </c>
      <c r="F22" s="174">
        <f>Solidarité!I16</f>
        <v>0</v>
      </c>
      <c r="G22" s="8">
        <f>DT!O16</f>
        <v>-686271.77596892568</v>
      </c>
      <c r="H22" s="174">
        <f>Effort!K16+Aide!I16+Taux!J16</f>
        <v>0</v>
      </c>
      <c r="I22" s="240">
        <f t="shared" si="1"/>
        <v>-973516.49427878484</v>
      </c>
      <c r="J22" s="300">
        <f t="shared" si="2"/>
        <v>1493006.4894565337</v>
      </c>
      <c r="K22" s="406">
        <f t="shared" si="3"/>
        <v>519489.99517774885</v>
      </c>
    </row>
    <row r="23" spans="1:11" x14ac:dyDescent="0.25">
      <c r="A23" s="38">
        <f>Données!A17</f>
        <v>5412</v>
      </c>
      <c r="B23" s="27" t="str">
        <f>Données!B17</f>
        <v>Rennaz</v>
      </c>
      <c r="C23" s="26">
        <f>Ecrêtage!C17</f>
        <v>32236.510434782613</v>
      </c>
      <c r="D23" s="12">
        <f>Données!Z17</f>
        <v>929</v>
      </c>
      <c r="E23" s="8">
        <f>Population!K20</f>
        <v>-121849.47183098589</v>
      </c>
      <c r="F23" s="174">
        <f>Solidarité!I17</f>
        <v>-233087.99120411687</v>
      </c>
      <c r="G23" s="8">
        <f>DT!O17</f>
        <v>-59680.127389673755</v>
      </c>
      <c r="H23" s="174">
        <f>Effort!K17+Aide!I17+Taux!J17</f>
        <v>0</v>
      </c>
      <c r="I23" s="240">
        <f t="shared" si="1"/>
        <v>-414617.59042477654</v>
      </c>
      <c r="J23" s="300">
        <f t="shared" si="2"/>
        <v>631950.52898718091</v>
      </c>
      <c r="K23" s="406">
        <f t="shared" si="3"/>
        <v>217332.93856240436</v>
      </c>
    </row>
    <row r="24" spans="1:11" x14ac:dyDescent="0.25">
      <c r="A24" s="38">
        <f>Données!A18</f>
        <v>5413</v>
      </c>
      <c r="B24" s="27" t="str">
        <f>Données!B18</f>
        <v>Roche</v>
      </c>
      <c r="C24" s="26">
        <f>Ecrêtage!C18</f>
        <v>42591.589534313724</v>
      </c>
      <c r="D24" s="12">
        <f>Données!Z18</f>
        <v>1940</v>
      </c>
      <c r="E24" s="8">
        <f>Population!K21</f>
        <v>-476380.28169014072</v>
      </c>
      <c r="F24" s="174">
        <f>Solidarité!I18</f>
        <v>-928917.81013137347</v>
      </c>
      <c r="G24" s="8">
        <f>DT!O18</f>
        <v>-96197.435034868569</v>
      </c>
      <c r="H24" s="174">
        <f>Effort!K18+Aide!I18+Taux!J18</f>
        <v>0</v>
      </c>
      <c r="I24" s="240">
        <f t="shared" si="1"/>
        <v>-1501495.5268563826</v>
      </c>
      <c r="J24" s="300">
        <f t="shared" si="2"/>
        <v>834946.99561441352</v>
      </c>
      <c r="K24" s="406">
        <f t="shared" si="3"/>
        <v>-666548.53124196909</v>
      </c>
    </row>
    <row r="25" spans="1:11" x14ac:dyDescent="0.25">
      <c r="A25" s="38">
        <f>Données!A19</f>
        <v>5414</v>
      </c>
      <c r="B25" s="27" t="str">
        <f>Données!B19</f>
        <v>Villeneuve</v>
      </c>
      <c r="C25" s="26">
        <f>Ecrêtage!C19</f>
        <v>165869.64903703702</v>
      </c>
      <c r="D25" s="12">
        <f>Données!Z19</f>
        <v>5979</v>
      </c>
      <c r="E25" s="8">
        <f>Population!K22</f>
        <v>-2531321.1267605629</v>
      </c>
      <c r="F25" s="174">
        <f>Solidarité!I19</f>
        <v>-2191897.8901618891</v>
      </c>
      <c r="G25" s="8">
        <f>DT!O19</f>
        <v>-1902636.1198944701</v>
      </c>
      <c r="H25" s="174">
        <f>Effort!K19+Aide!I19+Taux!J19</f>
        <v>0</v>
      </c>
      <c r="I25" s="240">
        <f t="shared" si="1"/>
        <v>-6625855.1368169216</v>
      </c>
      <c r="J25" s="300">
        <f t="shared" si="2"/>
        <v>3251636.4531433019</v>
      </c>
      <c r="K25" s="406">
        <f t="shared" si="3"/>
        <v>-3374218.6836736198</v>
      </c>
    </row>
    <row r="26" spans="1:11" x14ac:dyDescent="0.25">
      <c r="A26" s="38">
        <f>Données!A20</f>
        <v>5415</v>
      </c>
      <c r="B26" s="27" t="str">
        <f>Données!B20</f>
        <v>Yvorne</v>
      </c>
      <c r="C26" s="26">
        <f>Ecrêtage!C20</f>
        <v>33673.599766899759</v>
      </c>
      <c r="D26" s="12">
        <f>Données!Z20</f>
        <v>1088</v>
      </c>
      <c r="E26" s="8">
        <f>Population!K23</f>
        <v>-163480.28169014081</v>
      </c>
      <c r="F26" s="174">
        <f>Solidarité!I20</f>
        <v>-376343.90855490748</v>
      </c>
      <c r="G26" s="8">
        <f>DT!O20</f>
        <v>-361501.01820495253</v>
      </c>
      <c r="H26" s="174">
        <f>Effort!K20+Aide!I20+Taux!J20</f>
        <v>0</v>
      </c>
      <c r="I26" s="240">
        <f t="shared" si="1"/>
        <v>-901325.20845000073</v>
      </c>
      <c r="J26" s="300">
        <f t="shared" si="2"/>
        <v>660122.60317835538</v>
      </c>
      <c r="K26" s="406">
        <f t="shared" si="3"/>
        <v>-241202.60527164536</v>
      </c>
    </row>
    <row r="27" spans="1:11" x14ac:dyDescent="0.25">
      <c r="A27" s="38">
        <f>Données!A21</f>
        <v>5422</v>
      </c>
      <c r="B27" s="27" t="str">
        <f>Données!B21</f>
        <v>Aubonne</v>
      </c>
      <c r="C27" s="26">
        <f>Ecrêtage!C21</f>
        <v>297528.5668571429</v>
      </c>
      <c r="D27" s="12">
        <f>Données!Z21</f>
        <v>3792</v>
      </c>
      <c r="E27" s="8">
        <f>Population!K24</f>
        <v>-1281190.1408450701</v>
      </c>
      <c r="F27" s="174">
        <f>Solidarité!I21</f>
        <v>0</v>
      </c>
      <c r="G27" s="8">
        <f>DT!O21</f>
        <v>0</v>
      </c>
      <c r="H27" s="174">
        <f>Effort!K21+Aide!I21+Taux!J21</f>
        <v>0</v>
      </c>
      <c r="I27" s="240">
        <f t="shared" si="1"/>
        <v>-1281190.1408450701</v>
      </c>
      <c r="J27" s="300">
        <f t="shared" si="2"/>
        <v>5832620.611792258</v>
      </c>
      <c r="K27" s="406">
        <f t="shared" si="3"/>
        <v>4551430.4709471874</v>
      </c>
    </row>
    <row r="28" spans="1:11" x14ac:dyDescent="0.25">
      <c r="A28" s="38">
        <f>Données!A22</f>
        <v>5423</v>
      </c>
      <c r="B28" s="27" t="str">
        <f>Données!B22</f>
        <v>Ballens</v>
      </c>
      <c r="C28" s="26">
        <f>Ecrêtage!C22</f>
        <v>17345.56260273973</v>
      </c>
      <c r="D28" s="12">
        <f>Données!Z22</f>
        <v>590</v>
      </c>
      <c r="E28" s="8">
        <f>Population!K25</f>
        <v>-77385.563380281674</v>
      </c>
      <c r="F28" s="174">
        <f>Solidarité!I22</f>
        <v>-232189.08185004871</v>
      </c>
      <c r="G28" s="8">
        <f>DT!O22</f>
        <v>-73819.197625360117</v>
      </c>
      <c r="H28" s="174">
        <f>Effort!K22+Aide!I22+Taux!J22</f>
        <v>0</v>
      </c>
      <c r="I28" s="240">
        <f t="shared" si="1"/>
        <v>-383393.84285569051</v>
      </c>
      <c r="J28" s="300">
        <f t="shared" si="2"/>
        <v>340034.86464696046</v>
      </c>
      <c r="K28" s="406">
        <f t="shared" si="3"/>
        <v>-43358.978208730055</v>
      </c>
    </row>
    <row r="29" spans="1:11" x14ac:dyDescent="0.25">
      <c r="A29" s="38">
        <f>Données!A23</f>
        <v>5424</v>
      </c>
      <c r="B29" s="27" t="str">
        <f>Données!B23</f>
        <v>Berolle</v>
      </c>
      <c r="C29" s="26">
        <f>Ecrêtage!C23</f>
        <v>10263.233774834438</v>
      </c>
      <c r="D29" s="12">
        <f>Données!Z23</f>
        <v>303</v>
      </c>
      <c r="E29" s="8">
        <f>Population!K26</f>
        <v>-39742.077464788723</v>
      </c>
      <c r="F29" s="174">
        <f>Solidarité!I23</f>
        <v>-96728.080409555972</v>
      </c>
      <c r="G29" s="8">
        <f>DT!O23</f>
        <v>-83818.07654896882</v>
      </c>
      <c r="H29" s="174">
        <f>Effort!K23+Aide!I23+Taux!J23</f>
        <v>0</v>
      </c>
      <c r="I29" s="240">
        <f t="shared" si="1"/>
        <v>-220288.23442331352</v>
      </c>
      <c r="J29" s="300">
        <f t="shared" si="2"/>
        <v>201195.97083087513</v>
      </c>
      <c r="K29" s="406">
        <f t="shared" si="3"/>
        <v>-19092.263592438394</v>
      </c>
    </row>
    <row r="30" spans="1:11" x14ac:dyDescent="0.25">
      <c r="A30" s="38">
        <f>Données!A24</f>
        <v>5425</v>
      </c>
      <c r="B30" s="27" t="str">
        <f>Données!B24</f>
        <v>Bière</v>
      </c>
      <c r="C30" s="26">
        <f>Ecrêtage!C24</f>
        <v>42246.57887556222</v>
      </c>
      <c r="D30" s="12">
        <f>Données!Z24</f>
        <v>1683</v>
      </c>
      <c r="E30" s="8">
        <f>Population!K27</f>
        <v>-381996.12676056335</v>
      </c>
      <c r="F30" s="174">
        <f>Solidarité!I24</f>
        <v>-729113.68946736783</v>
      </c>
      <c r="G30" s="8">
        <f>DT!O24</f>
        <v>-536895.52318408457</v>
      </c>
      <c r="H30" s="174">
        <f>Effort!K24+Aide!I24+Taux!J24</f>
        <v>0</v>
      </c>
      <c r="I30" s="240">
        <f t="shared" si="1"/>
        <v>-1648005.3394120156</v>
      </c>
      <c r="J30" s="300">
        <f t="shared" si="2"/>
        <v>828183.55672591098</v>
      </c>
      <c r="K30" s="406">
        <f t="shared" si="3"/>
        <v>-819821.78268610465</v>
      </c>
    </row>
    <row r="31" spans="1:11" x14ac:dyDescent="0.25">
      <c r="A31" s="38">
        <f>Données!A25</f>
        <v>5426</v>
      </c>
      <c r="B31" s="27" t="str">
        <f>Données!B25</f>
        <v>Bougy-Villars</v>
      </c>
      <c r="C31" s="26">
        <f>Ecrêtage!C25</f>
        <v>61944.740516795857</v>
      </c>
      <c r="D31" s="12">
        <f>Données!Z25</f>
        <v>506</v>
      </c>
      <c r="E31" s="8">
        <f>Population!K28</f>
        <v>-66367.95774647886</v>
      </c>
      <c r="F31" s="174">
        <f>Solidarité!I25</f>
        <v>0</v>
      </c>
      <c r="G31" s="8">
        <f>DT!O25</f>
        <v>0</v>
      </c>
      <c r="H31" s="174">
        <f>Effort!K25+Aide!I25+Taux!J25</f>
        <v>0</v>
      </c>
      <c r="I31" s="240">
        <f t="shared" si="1"/>
        <v>-66367.95774647886</v>
      </c>
      <c r="J31" s="300">
        <f t="shared" si="2"/>
        <v>1214337.7496382163</v>
      </c>
      <c r="K31" s="406">
        <f t="shared" si="3"/>
        <v>1147969.7918917374</v>
      </c>
    </row>
    <row r="32" spans="1:11" x14ac:dyDescent="0.25">
      <c r="A32" s="38">
        <f>Données!A26</f>
        <v>5427</v>
      </c>
      <c r="B32" s="27" t="str">
        <f>Données!B26</f>
        <v>Féchy</v>
      </c>
      <c r="C32" s="26">
        <f>Ecrêtage!C26</f>
        <v>86921.388449519218</v>
      </c>
      <c r="D32" s="12">
        <f>Données!Z26</f>
        <v>887</v>
      </c>
      <c r="E32" s="8">
        <f>Population!K29</f>
        <v>-116340.66901408449</v>
      </c>
      <c r="F32" s="174">
        <f>Solidarité!I26</f>
        <v>0</v>
      </c>
      <c r="G32" s="8">
        <f>DT!O26</f>
        <v>0</v>
      </c>
      <c r="H32" s="174">
        <f>Effort!K26+Aide!I26+Taux!J26</f>
        <v>0</v>
      </c>
      <c r="I32" s="240">
        <f t="shared" si="1"/>
        <v>-116340.66901408449</v>
      </c>
      <c r="J32" s="300">
        <f t="shared" si="2"/>
        <v>1703969.091881155</v>
      </c>
      <c r="K32" s="406">
        <f t="shared" si="3"/>
        <v>1587628.4228670707</v>
      </c>
    </row>
    <row r="33" spans="1:11" x14ac:dyDescent="0.25">
      <c r="A33" s="38">
        <f>Données!A27</f>
        <v>5428</v>
      </c>
      <c r="B33" s="27" t="str">
        <f>Données!B27</f>
        <v>Gimel</v>
      </c>
      <c r="C33" s="26">
        <f>Ecrêtage!C27</f>
        <v>71357.07080536912</v>
      </c>
      <c r="D33" s="12">
        <f>Données!Z27</f>
        <v>2414</v>
      </c>
      <c r="E33" s="8">
        <f>Population!K30</f>
        <v>-650458.45070422522</v>
      </c>
      <c r="F33" s="174">
        <f>Solidarité!I27</f>
        <v>-980874.53878401848</v>
      </c>
      <c r="G33" s="8">
        <f>DT!O27</f>
        <v>-533965.3134647886</v>
      </c>
      <c r="H33" s="174">
        <f>Effort!K27+Aide!I27+Taux!J27</f>
        <v>0</v>
      </c>
      <c r="I33" s="240">
        <f t="shared" si="1"/>
        <v>-2165298.3029530323</v>
      </c>
      <c r="J33" s="300">
        <f t="shared" si="2"/>
        <v>1398852.9786329782</v>
      </c>
      <c r="K33" s="406">
        <f t="shared" si="3"/>
        <v>-766445.32432005415</v>
      </c>
    </row>
    <row r="34" spans="1:11" x14ac:dyDescent="0.25">
      <c r="A34" s="38">
        <f>Données!A28</f>
        <v>5429</v>
      </c>
      <c r="B34" s="27" t="str">
        <f>Données!B28</f>
        <v>Longirod</v>
      </c>
      <c r="C34" s="26">
        <f>Ecrêtage!C28</f>
        <v>17141.954451612906</v>
      </c>
      <c r="D34" s="12">
        <f>Données!Z28</f>
        <v>541</v>
      </c>
      <c r="E34" s="8">
        <f>Population!K31</f>
        <v>-70958.626760563362</v>
      </c>
      <c r="F34" s="174">
        <f>Solidarité!I28</f>
        <v>-210321.64433715146</v>
      </c>
      <c r="G34" s="8">
        <f>DT!O28</f>
        <v>-66768.464363524545</v>
      </c>
      <c r="H34" s="174">
        <f>Effort!K28+Aide!I28+Taux!J28</f>
        <v>0</v>
      </c>
      <c r="I34" s="240">
        <f t="shared" si="1"/>
        <v>-348048.73546123935</v>
      </c>
      <c r="J34" s="300">
        <f t="shared" si="2"/>
        <v>336043.41901356878</v>
      </c>
      <c r="K34" s="406">
        <f t="shared" si="3"/>
        <v>-12005.316447670572</v>
      </c>
    </row>
    <row r="35" spans="1:11" x14ac:dyDescent="0.25">
      <c r="A35" s="38">
        <f>Données!A29</f>
        <v>5430</v>
      </c>
      <c r="B35" s="27" t="str">
        <f>Données!B29</f>
        <v>Marchissy</v>
      </c>
      <c r="C35" s="26">
        <f>Ecrêtage!C29</f>
        <v>17121.702064516132</v>
      </c>
      <c r="D35" s="12">
        <f>Données!Z29</f>
        <v>499</v>
      </c>
      <c r="E35" s="8">
        <f>Population!K32</f>
        <v>-65449.823943661962</v>
      </c>
      <c r="F35" s="174">
        <f>Solidarité!I29</f>
        <v>-162588.44558885085</v>
      </c>
      <c r="G35" s="8">
        <f>DT!O29</f>
        <v>-59229.407226472722</v>
      </c>
      <c r="H35" s="174">
        <f>Effort!K29+Aide!I29+Taux!J29</f>
        <v>0</v>
      </c>
      <c r="I35" s="240">
        <f t="shared" si="1"/>
        <v>-287267.67675898556</v>
      </c>
      <c r="J35" s="300">
        <f t="shared" si="2"/>
        <v>335646.40002589172</v>
      </c>
      <c r="K35" s="406">
        <f t="shared" si="3"/>
        <v>48378.723266906163</v>
      </c>
    </row>
    <row r="36" spans="1:11" x14ac:dyDescent="0.25">
      <c r="A36" s="38">
        <f>Données!A30</f>
        <v>5431</v>
      </c>
      <c r="B36" s="27" t="str">
        <f>Données!B30</f>
        <v>Mollens</v>
      </c>
      <c r="C36" s="26">
        <f>Ecrêtage!C30</f>
        <v>9475.2202702702707</v>
      </c>
      <c r="D36" s="12">
        <f>Données!Z30</f>
        <v>324</v>
      </c>
      <c r="E36" s="8">
        <f>Population!K33</f>
        <v>-42496.47887323943</v>
      </c>
      <c r="F36" s="174">
        <f>Solidarité!I30</f>
        <v>-132119.93859125258</v>
      </c>
      <c r="G36" s="8">
        <f>DT!O30</f>
        <v>-56830.349994625663</v>
      </c>
      <c r="H36" s="174">
        <f>Effort!K30+Aide!I30+Taux!J30</f>
        <v>0</v>
      </c>
      <c r="I36" s="240">
        <f t="shared" si="1"/>
        <v>-231446.76745911766</v>
      </c>
      <c r="J36" s="300">
        <f t="shared" si="2"/>
        <v>185748.09684135515</v>
      </c>
      <c r="K36" s="406">
        <f t="shared" si="3"/>
        <v>-45698.670617762516</v>
      </c>
    </row>
    <row r="37" spans="1:11" x14ac:dyDescent="0.25">
      <c r="A37" s="38">
        <f>Données!A31</f>
        <v>5434</v>
      </c>
      <c r="B37" s="27" t="str">
        <f>Données!B31</f>
        <v>Saint-George</v>
      </c>
      <c r="C37" s="26">
        <f>Ecrêtage!C31</f>
        <v>40910.420311750597</v>
      </c>
      <c r="D37" s="12">
        <f>Données!Z31</f>
        <v>1069</v>
      </c>
      <c r="E37" s="8">
        <f>Population!K34</f>
        <v>-156502.46478873235</v>
      </c>
      <c r="F37" s="174">
        <f>Solidarité!I31</f>
        <v>-198578.11482093757</v>
      </c>
      <c r="G37" s="8">
        <f>DT!O31</f>
        <v>-155841.76517780221</v>
      </c>
      <c r="H37" s="174">
        <f>Effort!K31+Aide!I31+Taux!J31</f>
        <v>0</v>
      </c>
      <c r="I37" s="240">
        <f t="shared" si="1"/>
        <v>-510922.34478747216</v>
      </c>
      <c r="J37" s="300">
        <f t="shared" si="2"/>
        <v>801990.08541580196</v>
      </c>
      <c r="K37" s="406">
        <f t="shared" si="3"/>
        <v>291067.7406283298</v>
      </c>
    </row>
    <row r="38" spans="1:11" x14ac:dyDescent="0.25">
      <c r="A38" s="38">
        <f>Données!A32</f>
        <v>5435</v>
      </c>
      <c r="B38" s="27" t="str">
        <f>Données!B32</f>
        <v>Saint-Livres</v>
      </c>
      <c r="C38" s="26">
        <f>Ecrêtage!C32</f>
        <v>25462.062463768114</v>
      </c>
      <c r="D38" s="12">
        <f>Données!Z32</f>
        <v>697</v>
      </c>
      <c r="E38" s="8">
        <f>Population!K35</f>
        <v>-91419.894366197172</v>
      </c>
      <c r="F38" s="174">
        <f>Solidarité!I32</f>
        <v>-150640.83905504036</v>
      </c>
      <c r="G38" s="8">
        <f>DT!O32</f>
        <v>-33606.451509733299</v>
      </c>
      <c r="H38" s="174">
        <f>Effort!K32+Aide!I32+Taux!J32</f>
        <v>0</v>
      </c>
      <c r="I38" s="240">
        <f t="shared" si="1"/>
        <v>-275667.18493097083</v>
      </c>
      <c r="J38" s="300">
        <f t="shared" si="2"/>
        <v>499147.19757388067</v>
      </c>
      <c r="K38" s="406">
        <f t="shared" si="3"/>
        <v>223480.01264290983</v>
      </c>
    </row>
    <row r="39" spans="1:11" x14ac:dyDescent="0.25">
      <c r="A39" s="38">
        <f>Données!A33</f>
        <v>5436</v>
      </c>
      <c r="B39" s="27" t="str">
        <f>Données!B33</f>
        <v>Saint-Oyens</v>
      </c>
      <c r="C39" s="26">
        <f>Ecrêtage!C33</f>
        <v>16425.302151898733</v>
      </c>
      <c r="D39" s="12">
        <f>Données!Z33</f>
        <v>456</v>
      </c>
      <c r="E39" s="8">
        <f>Population!K36</f>
        <v>-59809.859154929567</v>
      </c>
      <c r="F39" s="174">
        <f>Solidarité!I33</f>
        <v>-134987.38785217781</v>
      </c>
      <c r="G39" s="8">
        <f>DT!O33</f>
        <v>0</v>
      </c>
      <c r="H39" s="174">
        <f>Effort!K33+Aide!I33+Taux!J33</f>
        <v>0</v>
      </c>
      <c r="I39" s="240">
        <f t="shared" si="1"/>
        <v>-194797.24700710736</v>
      </c>
      <c r="J39" s="300">
        <f t="shared" si="2"/>
        <v>321994.47904469451</v>
      </c>
      <c r="K39" s="406">
        <f t="shared" si="3"/>
        <v>127197.23203758715</v>
      </c>
    </row>
    <row r="40" spans="1:11" x14ac:dyDescent="0.25">
      <c r="A40" s="38">
        <f>Données!A34</f>
        <v>5437</v>
      </c>
      <c r="B40" s="27" t="str">
        <f>Données!B34</f>
        <v>Saubraz</v>
      </c>
      <c r="C40" s="26">
        <f>Ecrêtage!C34</f>
        <v>12131.165499999999</v>
      </c>
      <c r="D40" s="12">
        <f>Données!Z34</f>
        <v>449</v>
      </c>
      <c r="E40" s="8">
        <f>Population!K37</f>
        <v>-58891.725352112662</v>
      </c>
      <c r="F40" s="174">
        <f>Solidarité!I34</f>
        <v>-239510.99080137935</v>
      </c>
      <c r="G40" s="8">
        <f>DT!O34</f>
        <v>-3586.0161608047201</v>
      </c>
      <c r="H40" s="174">
        <f>Effort!K34+Aide!I34+Taux!J34</f>
        <v>0</v>
      </c>
      <c r="I40" s="240">
        <f t="shared" si="1"/>
        <v>-301988.73231429671</v>
      </c>
      <c r="J40" s="300">
        <f t="shared" si="2"/>
        <v>237814.09189638103</v>
      </c>
      <c r="K40" s="406">
        <f t="shared" si="3"/>
        <v>-64174.640417915682</v>
      </c>
    </row>
    <row r="41" spans="1:11" x14ac:dyDescent="0.25">
      <c r="A41" s="38">
        <f>Données!A35</f>
        <v>5451</v>
      </c>
      <c r="B41" s="27" t="str">
        <f>Données!B35</f>
        <v>Avenches</v>
      </c>
      <c r="C41" s="26">
        <f>Ecrêtage!C35</f>
        <v>142603.64295739346</v>
      </c>
      <c r="D41" s="12">
        <f>Données!Z35</f>
        <v>4696</v>
      </c>
      <c r="E41" s="8">
        <f>Population!K38</f>
        <v>-1755471.8309859151</v>
      </c>
      <c r="F41" s="174">
        <f>Solidarité!I35</f>
        <v>-1453426.4450206324</v>
      </c>
      <c r="G41" s="8">
        <f>DT!O35</f>
        <v>-1243319.0240999635</v>
      </c>
      <c r="H41" s="174">
        <f>Effort!K35+Aide!I35+Taux!J35</f>
        <v>0</v>
      </c>
      <c r="I41" s="240">
        <f t="shared" si="1"/>
        <v>-4452217.3001065115</v>
      </c>
      <c r="J41" s="300">
        <f t="shared" si="2"/>
        <v>2795539.7897282233</v>
      </c>
      <c r="K41" s="406">
        <f t="shared" si="3"/>
        <v>-1656677.5103782881</v>
      </c>
    </row>
    <row r="42" spans="1:11" x14ac:dyDescent="0.25">
      <c r="A42" s="38">
        <f>Données!A36</f>
        <v>5456</v>
      </c>
      <c r="B42" s="27" t="str">
        <f>Données!B36</f>
        <v>Cudrefin</v>
      </c>
      <c r="C42" s="26">
        <f>Ecrêtage!C36</f>
        <v>64059.429152542369</v>
      </c>
      <c r="D42" s="12">
        <f>Données!Z36</f>
        <v>1876</v>
      </c>
      <c r="E42" s="8">
        <f>Population!K39</f>
        <v>-452876.05633802805</v>
      </c>
      <c r="F42" s="174">
        <f>Solidarité!I36</f>
        <v>-358564.85315852443</v>
      </c>
      <c r="G42" s="8">
        <f>DT!O36</f>
        <v>-152251.73013915497</v>
      </c>
      <c r="H42" s="174">
        <f>Effort!K36+Aide!I36+Taux!J36</f>
        <v>0</v>
      </c>
      <c r="I42" s="240">
        <f t="shared" si="1"/>
        <v>-963692.63963570748</v>
      </c>
      <c r="J42" s="300">
        <f t="shared" si="2"/>
        <v>1255793.1858494901</v>
      </c>
      <c r="K42" s="406">
        <f t="shared" si="3"/>
        <v>292100.54621378263</v>
      </c>
    </row>
    <row r="43" spans="1:11" x14ac:dyDescent="0.25">
      <c r="A43" s="38">
        <f>Données!A37</f>
        <v>5458</v>
      </c>
      <c r="B43" s="27" t="str">
        <f>Données!B37</f>
        <v>Faoug</v>
      </c>
      <c r="C43" s="26">
        <f>Ecrêtage!C37</f>
        <v>32630.608820512818</v>
      </c>
      <c r="D43" s="12">
        <f>Données!Z37</f>
        <v>903</v>
      </c>
      <c r="E43" s="8">
        <f>Population!K40</f>
        <v>-118439.26056338026</v>
      </c>
      <c r="F43" s="174">
        <f>Solidarité!I37</f>
        <v>-179206.2573162053</v>
      </c>
      <c r="G43" s="8">
        <f>DT!O37</f>
        <v>-110534.155605533</v>
      </c>
      <c r="H43" s="174">
        <f>Effort!K37+Aide!I37+Taux!J37</f>
        <v>0</v>
      </c>
      <c r="I43" s="240">
        <f t="shared" si="1"/>
        <v>-408179.67348511855</v>
      </c>
      <c r="J43" s="300">
        <f t="shared" si="2"/>
        <v>639676.26232420106</v>
      </c>
      <c r="K43" s="406">
        <f t="shared" si="3"/>
        <v>231496.58883908251</v>
      </c>
    </row>
    <row r="44" spans="1:11" x14ac:dyDescent="0.25">
      <c r="A44" s="38">
        <f>Données!A38</f>
        <v>5464</v>
      </c>
      <c r="B44" s="27" t="str">
        <f>Données!B38</f>
        <v>Vully-les-Lacs</v>
      </c>
      <c r="C44" s="26">
        <f>Ecrêtage!C38</f>
        <v>117932.28119402986</v>
      </c>
      <c r="D44" s="12">
        <f>Données!Z38</f>
        <v>3540</v>
      </c>
      <c r="E44" s="8">
        <f>Population!K41</f>
        <v>-1148978.8732394364</v>
      </c>
      <c r="F44" s="174">
        <f>Solidarité!I38</f>
        <v>-925325.39714580053</v>
      </c>
      <c r="G44" s="8">
        <f>DT!O38</f>
        <v>-387519.74742919963</v>
      </c>
      <c r="H44" s="174">
        <f>Effort!K38+Aide!I38+Taux!J38</f>
        <v>0</v>
      </c>
      <c r="I44" s="240">
        <f t="shared" si="1"/>
        <v>-2461824.0178144365</v>
      </c>
      <c r="J44" s="300">
        <f t="shared" si="2"/>
        <v>2311893.1447622958</v>
      </c>
      <c r="K44" s="406">
        <f t="shared" si="3"/>
        <v>-149930.8730521407</v>
      </c>
    </row>
    <row r="45" spans="1:11" x14ac:dyDescent="0.25">
      <c r="A45" s="38">
        <f>Données!A39</f>
        <v>5471</v>
      </c>
      <c r="B45" s="27" t="str">
        <f>Données!B39</f>
        <v>Bettens</v>
      </c>
      <c r="C45" s="26">
        <f>Ecrêtage!C39</f>
        <v>22692.008412698411</v>
      </c>
      <c r="D45" s="12">
        <f>Données!Z39</f>
        <v>650</v>
      </c>
      <c r="E45" s="8">
        <f>Population!K42</f>
        <v>-85255.281690140822</v>
      </c>
      <c r="F45" s="174">
        <f>Solidarité!I39</f>
        <v>-165172.12152577346</v>
      </c>
      <c r="G45" s="8">
        <f>DT!O39</f>
        <v>0</v>
      </c>
      <c r="H45" s="174">
        <f>Effort!K39+Aide!I39+Taux!J39</f>
        <v>0</v>
      </c>
      <c r="I45" s="240">
        <f t="shared" si="1"/>
        <v>-250427.40321591427</v>
      </c>
      <c r="J45" s="300">
        <f t="shared" si="2"/>
        <v>444844.26281802123</v>
      </c>
      <c r="K45" s="406">
        <f t="shared" si="3"/>
        <v>194416.85960210697</v>
      </c>
    </row>
    <row r="46" spans="1:11" x14ac:dyDescent="0.25">
      <c r="A46" s="38">
        <f>Données!A40</f>
        <v>5472</v>
      </c>
      <c r="B46" s="27" t="str">
        <f>Données!B40</f>
        <v>Bournens</v>
      </c>
      <c r="C46" s="26">
        <f>Ecrêtage!C40</f>
        <v>19974.815147058827</v>
      </c>
      <c r="D46" s="12">
        <f>Données!Z40</f>
        <v>514</v>
      </c>
      <c r="E46" s="8">
        <f>Population!K43</f>
        <v>-67417.253521126753</v>
      </c>
      <c r="F46" s="174">
        <f>Solidarité!I40</f>
        <v>-85793.095315652798</v>
      </c>
      <c r="G46" s="8">
        <f>DT!O40</f>
        <v>-7628.5708411356936</v>
      </c>
      <c r="H46" s="174">
        <f>Effort!K40+Aide!I40+Taux!J40</f>
        <v>0</v>
      </c>
      <c r="I46" s="240">
        <f t="shared" si="1"/>
        <v>-160838.91967791523</v>
      </c>
      <c r="J46" s="300">
        <f t="shared" si="2"/>
        <v>391577.58790743328</v>
      </c>
      <c r="K46" s="406">
        <f t="shared" si="3"/>
        <v>230738.66822951805</v>
      </c>
    </row>
    <row r="47" spans="1:11" x14ac:dyDescent="0.25">
      <c r="A47" s="38">
        <f>Données!A41</f>
        <v>5473</v>
      </c>
      <c r="B47" s="27" t="str">
        <f>Données!B41</f>
        <v>Boussens</v>
      </c>
      <c r="C47" s="26">
        <f>Ecrêtage!C41</f>
        <v>40042.684696969693</v>
      </c>
      <c r="D47" s="12">
        <f>Données!Z41</f>
        <v>1009</v>
      </c>
      <c r="E47" s="8">
        <f>Population!K44</f>
        <v>-134467.25352112672</v>
      </c>
      <c r="F47" s="174">
        <f>Solidarité!I41</f>
        <v>-144204.23799290534</v>
      </c>
      <c r="G47" s="8">
        <f>DT!O41</f>
        <v>0</v>
      </c>
      <c r="H47" s="174">
        <f>Effort!K41+Aide!I41+Taux!J41</f>
        <v>0</v>
      </c>
      <c r="I47" s="240">
        <f t="shared" si="1"/>
        <v>-278671.49151403207</v>
      </c>
      <c r="J47" s="300">
        <f t="shared" si="2"/>
        <v>784979.37385348184</v>
      </c>
      <c r="K47" s="406">
        <f t="shared" si="3"/>
        <v>506307.88233944977</v>
      </c>
    </row>
    <row r="48" spans="1:11" x14ac:dyDescent="0.25">
      <c r="A48" s="38">
        <f>Données!A42</f>
        <v>5474</v>
      </c>
      <c r="B48" s="27" t="str">
        <f>Données!B42</f>
        <v>La Chaux (Cossonay)</v>
      </c>
      <c r="C48" s="26">
        <f>Ecrêtage!C42</f>
        <v>13862.371951754385</v>
      </c>
      <c r="D48" s="12">
        <f>Données!Z42</f>
        <v>412</v>
      </c>
      <c r="E48" s="8">
        <f>Population!K45</f>
        <v>-54038.73239436619</v>
      </c>
      <c r="F48" s="174">
        <f>Solidarité!I42</f>
        <v>-135413.69533973146</v>
      </c>
      <c r="G48" s="8">
        <f>DT!O42</f>
        <v>-173470.88558123328</v>
      </c>
      <c r="H48" s="174">
        <f>Effort!K42+Aide!I42+Taux!J42</f>
        <v>0</v>
      </c>
      <c r="I48" s="240">
        <f t="shared" si="1"/>
        <v>-362923.31331533089</v>
      </c>
      <c r="J48" s="300">
        <f t="shared" si="2"/>
        <v>271751.91017189011</v>
      </c>
      <c r="K48" s="406">
        <f t="shared" si="3"/>
        <v>-91171.403143440781</v>
      </c>
    </row>
    <row r="49" spans="1:11" x14ac:dyDescent="0.25">
      <c r="A49" s="38">
        <f>Données!A43</f>
        <v>5475</v>
      </c>
      <c r="B49" s="27" t="str">
        <f>Données!B43</f>
        <v>Chavannes-le-Veyron</v>
      </c>
      <c r="C49" s="26">
        <f>Ecrêtage!C43</f>
        <v>4297.1488000000008</v>
      </c>
      <c r="D49" s="12">
        <f>Données!Z43</f>
        <v>163</v>
      </c>
      <c r="E49" s="8">
        <f>Population!K46</f>
        <v>-21379.4014084507</v>
      </c>
      <c r="F49" s="174">
        <f>Solidarité!I43</f>
        <v>-78817.574776034671</v>
      </c>
      <c r="G49" s="8">
        <f>DT!O43</f>
        <v>-49519.750785156721</v>
      </c>
      <c r="H49" s="174">
        <f>Effort!K43+Aide!I43+Taux!J43</f>
        <v>0</v>
      </c>
      <c r="I49" s="240">
        <f t="shared" si="1"/>
        <v>-149716.7269696421</v>
      </c>
      <c r="J49" s="300">
        <f t="shared" si="2"/>
        <v>84239.435989528269</v>
      </c>
      <c r="K49" s="406">
        <f t="shared" si="3"/>
        <v>-65477.29098011383</v>
      </c>
    </row>
    <row r="50" spans="1:11" x14ac:dyDescent="0.25">
      <c r="A50" s="38">
        <f>Données!A44</f>
        <v>5476</v>
      </c>
      <c r="B50" s="27" t="str">
        <f>Données!B44</f>
        <v>Chevilly</v>
      </c>
      <c r="C50" s="26">
        <f>Ecrêtage!C44</f>
        <v>13558.448137931036</v>
      </c>
      <c r="D50" s="12">
        <f>Données!Z44</f>
        <v>331</v>
      </c>
      <c r="E50" s="8">
        <f>Population!K47</f>
        <v>-43414.612676056327</v>
      </c>
      <c r="F50" s="174">
        <f>Solidarité!I44</f>
        <v>-48221.336951429534</v>
      </c>
      <c r="G50" s="8">
        <f>DT!O44</f>
        <v>0</v>
      </c>
      <c r="H50" s="174">
        <f>Effort!K44+Aide!I44+Taux!J44</f>
        <v>0</v>
      </c>
      <c r="I50" s="240">
        <f t="shared" si="1"/>
        <v>-91635.949627485854</v>
      </c>
      <c r="J50" s="300">
        <f t="shared" si="2"/>
        <v>265793.91992024577</v>
      </c>
      <c r="K50" s="406">
        <f t="shared" si="3"/>
        <v>174157.97029275991</v>
      </c>
    </row>
    <row r="51" spans="1:11" x14ac:dyDescent="0.25">
      <c r="A51" s="38">
        <f>Données!A45</f>
        <v>5477</v>
      </c>
      <c r="B51" s="27" t="str">
        <f>Données!B45</f>
        <v>Cossonay</v>
      </c>
      <c r="C51" s="26">
        <f>Ecrêtage!C45</f>
        <v>151484.78088235293</v>
      </c>
      <c r="D51" s="12">
        <f>Données!Z45</f>
        <v>4389</v>
      </c>
      <c r="E51" s="8">
        <f>Population!K48</f>
        <v>-1594404.9295774645</v>
      </c>
      <c r="F51" s="174">
        <f>Solidarité!I45</f>
        <v>-1084547.8127727206</v>
      </c>
      <c r="G51" s="8">
        <f>DT!O45</f>
        <v>-932192.10982667434</v>
      </c>
      <c r="H51" s="174">
        <f>Effort!K45+Aide!I45+Taux!J45</f>
        <v>0</v>
      </c>
      <c r="I51" s="240">
        <f t="shared" si="1"/>
        <v>-3611144.8521768595</v>
      </c>
      <c r="J51" s="300">
        <f t="shared" si="2"/>
        <v>2969641.7546738628</v>
      </c>
      <c r="K51" s="406">
        <f t="shared" si="3"/>
        <v>-641503.09750299668</v>
      </c>
    </row>
    <row r="52" spans="1:11" x14ac:dyDescent="0.25">
      <c r="A52" s="38">
        <f>Données!A46</f>
        <v>5479</v>
      </c>
      <c r="B52" s="27" t="str">
        <f>Données!B46</f>
        <v>Cuarnens</v>
      </c>
      <c r="C52" s="26">
        <f>Ecrêtage!C46</f>
        <v>14331.03077922078</v>
      </c>
      <c r="D52" s="12">
        <f>Données!Z46</f>
        <v>545</v>
      </c>
      <c r="E52" s="8">
        <f>Population!K49</f>
        <v>-71483.274647887316</v>
      </c>
      <c r="F52" s="174">
        <f>Solidarité!I46</f>
        <v>-278642.5613998092</v>
      </c>
      <c r="G52" s="8">
        <f>DT!O46</f>
        <v>-243547.2059187268</v>
      </c>
      <c r="H52" s="174">
        <f>Effort!K46+Aide!I46+Taux!J46</f>
        <v>0</v>
      </c>
      <c r="I52" s="240">
        <f t="shared" si="1"/>
        <v>-593673.04196642339</v>
      </c>
      <c r="J52" s="300">
        <f t="shared" si="2"/>
        <v>280939.29397793446</v>
      </c>
      <c r="K52" s="406">
        <f t="shared" si="3"/>
        <v>-312733.74798848893</v>
      </c>
    </row>
    <row r="53" spans="1:11" x14ac:dyDescent="0.25">
      <c r="A53" s="38">
        <f>Données!A47</f>
        <v>5480</v>
      </c>
      <c r="B53" s="27" t="str">
        <f>Données!B47</f>
        <v>Daillens</v>
      </c>
      <c r="C53" s="26">
        <f>Ecrêtage!C47</f>
        <v>42741.079141414142</v>
      </c>
      <c r="D53" s="12">
        <f>Données!Z47</f>
        <v>1057</v>
      </c>
      <c r="E53" s="8">
        <f>Population!K50</f>
        <v>-152095.42253521123</v>
      </c>
      <c r="F53" s="174">
        <f>Solidarité!I47</f>
        <v>-137274.01114436743</v>
      </c>
      <c r="G53" s="8">
        <f>DT!O47</f>
        <v>-96852.261524188594</v>
      </c>
      <c r="H53" s="174">
        <f>Effort!K47+Aide!I47+Taux!J47</f>
        <v>0</v>
      </c>
      <c r="I53" s="240">
        <f t="shared" si="1"/>
        <v>-386221.69520376727</v>
      </c>
      <c r="J53" s="300">
        <f t="shared" si="2"/>
        <v>837877.52485008619</v>
      </c>
      <c r="K53" s="406">
        <f t="shared" si="3"/>
        <v>451655.82964631892</v>
      </c>
    </row>
    <row r="54" spans="1:11" x14ac:dyDescent="0.25">
      <c r="A54" s="38">
        <f>Données!A48</f>
        <v>5481</v>
      </c>
      <c r="B54" s="27" t="str">
        <f>Données!B48</f>
        <v>Dizy</v>
      </c>
      <c r="C54" s="26">
        <f>Ecrêtage!C48</f>
        <v>8551.9890666666652</v>
      </c>
      <c r="D54" s="12">
        <f>Données!Z48</f>
        <v>232</v>
      </c>
      <c r="E54" s="8">
        <f>Population!K51</f>
        <v>-30429.577464788727</v>
      </c>
      <c r="F54" s="174">
        <f>Solidarité!I48</f>
        <v>-57517.15295621477</v>
      </c>
      <c r="G54" s="8">
        <f>DT!O48</f>
        <v>-31618.579557476402</v>
      </c>
      <c r="H54" s="174">
        <f>Effort!K48+Aide!I48+Taux!J48</f>
        <v>0</v>
      </c>
      <c r="I54" s="240">
        <f t="shared" si="1"/>
        <v>-119565.3099784799</v>
      </c>
      <c r="J54" s="300">
        <f t="shared" si="2"/>
        <v>167649.47389408809</v>
      </c>
      <c r="K54" s="406">
        <f t="shared" si="3"/>
        <v>48084.163915608195</v>
      </c>
    </row>
    <row r="55" spans="1:11" x14ac:dyDescent="0.25">
      <c r="A55" s="38">
        <f>Données!A49</f>
        <v>5482</v>
      </c>
      <c r="B55" s="27" t="str">
        <f>Données!B49</f>
        <v>Eclépens</v>
      </c>
      <c r="C55" s="26">
        <f>Ecrêtage!C49</f>
        <v>48311.561086956521</v>
      </c>
      <c r="D55" s="12">
        <f>Données!Z49</f>
        <v>1199</v>
      </c>
      <c r="E55" s="8">
        <f>Population!K52</f>
        <v>-204245.42253521123</v>
      </c>
      <c r="F55" s="174">
        <f>Solidarité!I49</f>
        <v>-77089.049818878048</v>
      </c>
      <c r="G55" s="8">
        <f>DT!O49</f>
        <v>-142867.70209826488</v>
      </c>
      <c r="H55" s="174">
        <f>Effort!K49+Aide!I49+Taux!J49</f>
        <v>0</v>
      </c>
      <c r="I55" s="240">
        <f t="shared" si="1"/>
        <v>-424202.17445235414</v>
      </c>
      <c r="J55" s="300">
        <f t="shared" si="2"/>
        <v>947078.82997648534</v>
      </c>
      <c r="K55" s="406">
        <f t="shared" si="3"/>
        <v>522876.6555241312</v>
      </c>
    </row>
    <row r="56" spans="1:11" x14ac:dyDescent="0.25">
      <c r="A56" s="38">
        <f>Données!A50</f>
        <v>5483</v>
      </c>
      <c r="B56" s="27" t="str">
        <f>Données!B50</f>
        <v>Ferreyres</v>
      </c>
      <c r="C56" s="26">
        <f>Ecrêtage!C50</f>
        <v>10284.191184210527</v>
      </c>
      <c r="D56" s="12">
        <f>Données!Z50</f>
        <v>308</v>
      </c>
      <c r="E56" s="8">
        <f>Population!K53</f>
        <v>-40397.887323943658</v>
      </c>
      <c r="F56" s="174">
        <f>Solidarité!I50</f>
        <v>-103050.77623340994</v>
      </c>
      <c r="G56" s="8">
        <f>DT!O50</f>
        <v>-449.56392161369365</v>
      </c>
      <c r="H56" s="174">
        <f>Effort!K50+Aide!I50+Taux!J50</f>
        <v>0</v>
      </c>
      <c r="I56" s="240">
        <f t="shared" si="1"/>
        <v>-143898.22747896731</v>
      </c>
      <c r="J56" s="300">
        <f t="shared" si="2"/>
        <v>201606.81076865981</v>
      </c>
      <c r="K56" s="406">
        <f t="shared" si="3"/>
        <v>57708.583289692499</v>
      </c>
    </row>
    <row r="57" spans="1:11" x14ac:dyDescent="0.25">
      <c r="A57" s="38">
        <f>Données!A51</f>
        <v>5484</v>
      </c>
      <c r="B57" s="27" t="str">
        <f>Données!B51</f>
        <v>Gollion</v>
      </c>
      <c r="C57" s="26">
        <f>Ecrêtage!C51</f>
        <v>32601.092837837834</v>
      </c>
      <c r="D57" s="12">
        <f>Données!Z51</f>
        <v>1033</v>
      </c>
      <c r="E57" s="8">
        <f>Population!K54</f>
        <v>-143281.33802816898</v>
      </c>
      <c r="F57" s="174">
        <f>Solidarité!I51</f>
        <v>-368984.8684275595</v>
      </c>
      <c r="G57" s="8">
        <f>DT!O51</f>
        <v>-277248.96902575198</v>
      </c>
      <c r="H57" s="174">
        <f>Effort!K51+Aide!I51+Taux!J51</f>
        <v>0</v>
      </c>
      <c r="I57" s="240">
        <f t="shared" si="1"/>
        <v>-789515.17548148055</v>
      </c>
      <c r="J57" s="300">
        <f t="shared" si="2"/>
        <v>639097.64383809757</v>
      </c>
      <c r="K57" s="406">
        <f t="shared" si="3"/>
        <v>-150417.53164338297</v>
      </c>
    </row>
    <row r="58" spans="1:11" x14ac:dyDescent="0.25">
      <c r="A58" s="38">
        <f>Données!A52</f>
        <v>5485</v>
      </c>
      <c r="B58" s="27" t="str">
        <f>Données!B52</f>
        <v>Grancy</v>
      </c>
      <c r="C58" s="26">
        <f>Ecrêtage!C52</f>
        <v>18961.04185714286</v>
      </c>
      <c r="D58" s="12">
        <f>Données!Z52</f>
        <v>489</v>
      </c>
      <c r="E58" s="8">
        <f>Population!K55</f>
        <v>-64138.204225352099</v>
      </c>
      <c r="F58" s="174">
        <f>Solidarité!I52</f>
        <v>-87317.77153093036</v>
      </c>
      <c r="G58" s="8">
        <f>DT!O52</f>
        <v>-73640.917798445735</v>
      </c>
      <c r="H58" s="174">
        <f>Effort!K52+Aide!I52+Taux!J52</f>
        <v>0</v>
      </c>
      <c r="I58" s="240">
        <f t="shared" si="1"/>
        <v>-225096.89355472819</v>
      </c>
      <c r="J58" s="300">
        <f t="shared" si="2"/>
        <v>371704.01728223887</v>
      </c>
      <c r="K58" s="406">
        <f t="shared" si="3"/>
        <v>146607.12372751068</v>
      </c>
    </row>
    <row r="59" spans="1:11" x14ac:dyDescent="0.25">
      <c r="A59" s="38">
        <f>Données!A53</f>
        <v>5486</v>
      </c>
      <c r="B59" s="27" t="str">
        <f>Données!B53</f>
        <v>L'Isle</v>
      </c>
      <c r="C59" s="26">
        <f>Ecrêtage!C53</f>
        <v>34755.462666666674</v>
      </c>
      <c r="D59" s="12">
        <f>Données!Z53</f>
        <v>1095</v>
      </c>
      <c r="E59" s="8">
        <f>Population!K56</f>
        <v>-166051.05633802814</v>
      </c>
      <c r="F59" s="174">
        <f>Solidarité!I53</f>
        <v>-397337.40995498956</v>
      </c>
      <c r="G59" s="8">
        <f>DT!O53</f>
        <v>-353501.02219895227</v>
      </c>
      <c r="H59" s="174">
        <f>Effort!K53+Aide!I53+Taux!J53</f>
        <v>0</v>
      </c>
      <c r="I59" s="240">
        <f t="shared" si="1"/>
        <v>-916889.48849197</v>
      </c>
      <c r="J59" s="300">
        <f t="shared" si="2"/>
        <v>681330.97289884544</v>
      </c>
      <c r="K59" s="406">
        <f t="shared" si="3"/>
        <v>-235558.51559312455</v>
      </c>
    </row>
    <row r="60" spans="1:11" x14ac:dyDescent="0.25">
      <c r="A60" s="38">
        <f>Données!A54</f>
        <v>5487</v>
      </c>
      <c r="B60" s="27" t="str">
        <f>Données!B54</f>
        <v>Lussery-Villars</v>
      </c>
      <c r="C60" s="26">
        <f>Ecrêtage!C54</f>
        <v>12042.578266666667</v>
      </c>
      <c r="D60" s="12">
        <f>Données!Z54</f>
        <v>482</v>
      </c>
      <c r="E60" s="8">
        <f>Population!K57</f>
        <v>-63220.070422535202</v>
      </c>
      <c r="F60" s="174">
        <f>Solidarité!I54</f>
        <v>-247976.94739539424</v>
      </c>
      <c r="G60" s="8">
        <f>DT!O54</f>
        <v>-4559.4592565086414</v>
      </c>
      <c r="H60" s="174">
        <f>Effort!K54+Aide!I54+Taux!J54</f>
        <v>0</v>
      </c>
      <c r="I60" s="240">
        <f t="shared" si="1"/>
        <v>-315756.47707443807</v>
      </c>
      <c r="J60" s="300">
        <f t="shared" si="2"/>
        <v>236077.46630597266</v>
      </c>
      <c r="K60" s="406">
        <f t="shared" si="3"/>
        <v>-79679.010768465407</v>
      </c>
    </row>
    <row r="61" spans="1:11" x14ac:dyDescent="0.25">
      <c r="A61" s="38">
        <f>Données!A55</f>
        <v>5488</v>
      </c>
      <c r="B61" s="27" t="str">
        <f>Données!B55</f>
        <v>Mauraz</v>
      </c>
      <c r="C61" s="26">
        <f>Ecrêtage!C55</f>
        <v>2131.605194805195</v>
      </c>
      <c r="D61" s="12">
        <f>Données!Z55</f>
        <v>65</v>
      </c>
      <c r="E61" s="8">
        <f>Population!K58</f>
        <v>-8525.5281690140837</v>
      </c>
      <c r="F61" s="174">
        <f>Solidarité!I55</f>
        <v>-23240.672041928225</v>
      </c>
      <c r="G61" s="8">
        <f>DT!O55</f>
        <v>0</v>
      </c>
      <c r="H61" s="174">
        <f>Effort!K55+Aide!I55+Taux!J55</f>
        <v>0</v>
      </c>
      <c r="I61" s="240">
        <f t="shared" si="1"/>
        <v>-31766.200210942308</v>
      </c>
      <c r="J61" s="300">
        <f t="shared" si="2"/>
        <v>41787.06107704209</v>
      </c>
      <c r="K61" s="406">
        <f t="shared" si="3"/>
        <v>10020.860866099782</v>
      </c>
    </row>
    <row r="62" spans="1:11" x14ac:dyDescent="0.25">
      <c r="A62" s="38">
        <f>Données!A56</f>
        <v>5489</v>
      </c>
      <c r="B62" s="27" t="str">
        <f>Données!B56</f>
        <v>Mex</v>
      </c>
      <c r="C62" s="26">
        <f>Ecrêtage!C56</f>
        <v>60289.963529411769</v>
      </c>
      <c r="D62" s="12">
        <f>Données!Z56</f>
        <v>817</v>
      </c>
      <c r="E62" s="8">
        <f>Population!K59</f>
        <v>-107159.33098591547</v>
      </c>
      <c r="F62" s="174">
        <f>Solidarité!I56</f>
        <v>0</v>
      </c>
      <c r="G62" s="8">
        <f>DT!O56</f>
        <v>0</v>
      </c>
      <c r="H62" s="174">
        <f>Effort!K56+Aide!I56+Taux!J56</f>
        <v>0</v>
      </c>
      <c r="I62" s="240">
        <f t="shared" si="1"/>
        <v>-107159.33098591547</v>
      </c>
      <c r="J62" s="300">
        <f t="shared" si="2"/>
        <v>1181898.2213385014</v>
      </c>
      <c r="K62" s="406">
        <f t="shared" si="3"/>
        <v>1074738.8903525861</v>
      </c>
    </row>
    <row r="63" spans="1:11" x14ac:dyDescent="0.25">
      <c r="A63" s="38">
        <f>Données!A57</f>
        <v>5490</v>
      </c>
      <c r="B63" s="27" t="str">
        <f>Données!B57</f>
        <v>Moiry</v>
      </c>
      <c r="C63" s="26">
        <f>Ecrêtage!C57</f>
        <v>8460.9402597402623</v>
      </c>
      <c r="D63" s="12">
        <f>Données!Z57</f>
        <v>296</v>
      </c>
      <c r="E63" s="8">
        <f>Population!K60</f>
        <v>-38823.943661971825</v>
      </c>
      <c r="F63" s="174">
        <f>Solidarité!I57</f>
        <v>-135310.22226426922</v>
      </c>
      <c r="G63" s="8">
        <f>DT!O57</f>
        <v>-37200.886981641313</v>
      </c>
      <c r="H63" s="174">
        <f>Effort!K57+Aide!I57+Taux!J57</f>
        <v>0</v>
      </c>
      <c r="I63" s="240">
        <f t="shared" si="1"/>
        <v>-211335.05290788237</v>
      </c>
      <c r="J63" s="300">
        <f t="shared" si="2"/>
        <v>165864.59268564597</v>
      </c>
      <c r="K63" s="406">
        <f t="shared" si="3"/>
        <v>-45470.460222236405</v>
      </c>
    </row>
    <row r="64" spans="1:11" x14ac:dyDescent="0.25">
      <c r="A64" s="38">
        <f>Données!A58</f>
        <v>5491</v>
      </c>
      <c r="B64" s="27" t="str">
        <f>Données!B58</f>
        <v>Mont-la-Ville</v>
      </c>
      <c r="C64" s="26">
        <f>Ecrêtage!C58</f>
        <v>13841.869078947369</v>
      </c>
      <c r="D64" s="12">
        <f>Données!Z58</f>
        <v>502</v>
      </c>
      <c r="E64" s="8">
        <f>Population!K61</f>
        <v>-65843.309859154921</v>
      </c>
      <c r="F64" s="174">
        <f>Solidarité!I58</f>
        <v>-235250.57946551338</v>
      </c>
      <c r="G64" s="8">
        <f>DT!O58</f>
        <v>-682624.8613983033</v>
      </c>
      <c r="H64" s="174">
        <f>Effort!K58+Aide!I58+Taux!J58</f>
        <v>0</v>
      </c>
      <c r="I64" s="240">
        <f t="shared" si="1"/>
        <v>-983718.75072297163</v>
      </c>
      <c r="J64" s="300">
        <f t="shared" si="2"/>
        <v>271349.98077130056</v>
      </c>
      <c r="K64" s="406">
        <f t="shared" si="3"/>
        <v>-712368.76995167113</v>
      </c>
    </row>
    <row r="65" spans="1:11" x14ac:dyDescent="0.25">
      <c r="A65" s="38">
        <f>Données!A59</f>
        <v>5492</v>
      </c>
      <c r="B65" s="27" t="str">
        <f>Données!B59</f>
        <v>Montricher</v>
      </c>
      <c r="C65" s="26">
        <f>Ecrêtage!C59</f>
        <v>149906.53015624997</v>
      </c>
      <c r="D65" s="12">
        <f>Données!Z59</f>
        <v>978</v>
      </c>
      <c r="E65" s="8">
        <f>Population!K62</f>
        <v>-128276.4084507042</v>
      </c>
      <c r="F65" s="174">
        <f>Solidarité!I59</f>
        <v>0</v>
      </c>
      <c r="G65" s="8">
        <f>DT!O59</f>
        <v>-41131.311940735235</v>
      </c>
      <c r="H65" s="174">
        <f>Effort!K59+Aide!I59+Taux!J59</f>
        <v>-295019.16266331461</v>
      </c>
      <c r="I65" s="240">
        <f t="shared" si="1"/>
        <v>-464426.88305475406</v>
      </c>
      <c r="J65" s="300">
        <f t="shared" si="2"/>
        <v>2938702.4139144788</v>
      </c>
      <c r="K65" s="406">
        <f t="shared" si="3"/>
        <v>2474275.5308597246</v>
      </c>
    </row>
    <row r="66" spans="1:11" x14ac:dyDescent="0.25">
      <c r="A66" s="38">
        <f>Données!A60</f>
        <v>5493</v>
      </c>
      <c r="B66" s="27" t="str">
        <f>Données!B60</f>
        <v>Orny</v>
      </c>
      <c r="C66" s="26">
        <f>Ecrêtage!C60</f>
        <v>14635.714141201266</v>
      </c>
      <c r="D66" s="12">
        <f>Données!Z60</f>
        <v>484</v>
      </c>
      <c r="E66" s="8">
        <f>Population!K63</f>
        <v>-63482.394366197172</v>
      </c>
      <c r="F66" s="174">
        <f>Solidarité!I60</f>
        <v>-181831.60948670053</v>
      </c>
      <c r="G66" s="8">
        <f>DT!O60</f>
        <v>-71361.076811463543</v>
      </c>
      <c r="H66" s="174">
        <f>Effort!K60+Aide!I60+Taux!J60</f>
        <v>0</v>
      </c>
      <c r="I66" s="240">
        <f t="shared" si="1"/>
        <v>-316675.08066436124</v>
      </c>
      <c r="J66" s="300">
        <f t="shared" si="2"/>
        <v>286912.17408127862</v>
      </c>
      <c r="K66" s="406">
        <f t="shared" si="3"/>
        <v>-29762.906583082629</v>
      </c>
    </row>
    <row r="67" spans="1:11" x14ac:dyDescent="0.25">
      <c r="A67" s="38">
        <f>Données!A61</f>
        <v>5495</v>
      </c>
      <c r="B67" s="27" t="str">
        <f>Données!B61</f>
        <v>Penthalaz</v>
      </c>
      <c r="C67" s="26">
        <f>Ecrêtage!C61</f>
        <v>103053.60797297298</v>
      </c>
      <c r="D67" s="12">
        <f>Données!Z61</f>
        <v>3214</v>
      </c>
      <c r="E67" s="8">
        <f>Population!K64</f>
        <v>-977943.66197183076</v>
      </c>
      <c r="F67" s="174">
        <f>Solidarité!I61</f>
        <v>-1112617.621658867</v>
      </c>
      <c r="G67" s="8">
        <f>DT!O61</f>
        <v>-598605.63325448788</v>
      </c>
      <c r="H67" s="174">
        <f>Effort!K61+Aide!I61+Taux!J61</f>
        <v>0</v>
      </c>
      <c r="I67" s="240">
        <f t="shared" si="1"/>
        <v>-2689166.9168851855</v>
      </c>
      <c r="J67" s="300">
        <f t="shared" si="2"/>
        <v>2020218.1065568863</v>
      </c>
      <c r="K67" s="406">
        <f t="shared" si="3"/>
        <v>-668948.81032829918</v>
      </c>
    </row>
    <row r="68" spans="1:11" x14ac:dyDescent="0.25">
      <c r="A68" s="38">
        <f>Données!A62</f>
        <v>5496</v>
      </c>
      <c r="B68" s="27" t="str">
        <f>Données!B62</f>
        <v>Penthaz</v>
      </c>
      <c r="C68" s="26">
        <f>Ecrêtage!C62</f>
        <v>61649.529352517988</v>
      </c>
      <c r="D68" s="12">
        <f>Données!Z62</f>
        <v>1923</v>
      </c>
      <c r="E68" s="8">
        <f>Population!K65</f>
        <v>-470136.97183098586</v>
      </c>
      <c r="F68" s="174">
        <f>Solidarité!I62</f>
        <v>-587382.16698582831</v>
      </c>
      <c r="G68" s="8">
        <f>DT!O62</f>
        <v>-159663.52649814379</v>
      </c>
      <c r="H68" s="174">
        <f>Effort!K62+Aide!I62+Taux!J62</f>
        <v>0</v>
      </c>
      <c r="I68" s="240">
        <f t="shared" si="1"/>
        <v>-1217182.665314958</v>
      </c>
      <c r="J68" s="300">
        <f t="shared" si="2"/>
        <v>1208550.5583786119</v>
      </c>
      <c r="K68" s="406">
        <f t="shared" si="3"/>
        <v>-8632.106936346041</v>
      </c>
    </row>
    <row r="69" spans="1:11" x14ac:dyDescent="0.25">
      <c r="A69" s="38">
        <f>Données!A63</f>
        <v>5497</v>
      </c>
      <c r="B69" s="27" t="str">
        <f>Données!B63</f>
        <v>Pompaples</v>
      </c>
      <c r="C69" s="26">
        <f>Ecrêtage!C63</f>
        <v>22949.555</v>
      </c>
      <c r="D69" s="12">
        <f>Données!Z63</f>
        <v>860</v>
      </c>
      <c r="E69" s="8">
        <f>Population!K66</f>
        <v>-112799.29577464786</v>
      </c>
      <c r="F69" s="174">
        <f>Solidarité!I63</f>
        <v>-317209.73666517669</v>
      </c>
      <c r="G69" s="8">
        <f>DT!O63</f>
        <v>-130413.10035477308</v>
      </c>
      <c r="H69" s="174">
        <f>Effort!K63+Aide!I63+Taux!J63</f>
        <v>0</v>
      </c>
      <c r="I69" s="240">
        <f t="shared" si="1"/>
        <v>-560422.13279459765</v>
      </c>
      <c r="J69" s="300">
        <f t="shared" si="2"/>
        <v>449893.09409314801</v>
      </c>
      <c r="K69" s="406">
        <f t="shared" si="3"/>
        <v>-110529.03870144964</v>
      </c>
    </row>
    <row r="70" spans="1:11" x14ac:dyDescent="0.25">
      <c r="A70" s="38">
        <f>Données!A64</f>
        <v>5498</v>
      </c>
      <c r="B70" s="27" t="str">
        <f>Données!B64</f>
        <v>La Sarraz</v>
      </c>
      <c r="C70" s="26">
        <f>Ecrêtage!C64</f>
        <v>73742.233181818185</v>
      </c>
      <c r="D70" s="12">
        <f>Données!Z64</f>
        <v>2608</v>
      </c>
      <c r="E70" s="8">
        <f>Population!K67</f>
        <v>-721705.63380281674</v>
      </c>
      <c r="F70" s="174">
        <f>Solidarité!I64</f>
        <v>-889895.93464357546</v>
      </c>
      <c r="G70" s="8">
        <f>DT!O64</f>
        <v>-491138.59032996517</v>
      </c>
      <c r="H70" s="174">
        <f>Effort!K64+Aide!I64+Taux!J64</f>
        <v>0</v>
      </c>
      <c r="I70" s="240">
        <f t="shared" si="1"/>
        <v>-2102740.1587763573</v>
      </c>
      <c r="J70" s="300">
        <f t="shared" si="2"/>
        <v>1445610.6644118628</v>
      </c>
      <c r="K70" s="406">
        <f t="shared" si="3"/>
        <v>-657129.49436449446</v>
      </c>
    </row>
    <row r="71" spans="1:11" x14ac:dyDescent="0.25">
      <c r="A71" s="38">
        <f>Données!A65</f>
        <v>5499</v>
      </c>
      <c r="B71" s="27" t="str">
        <f>Données!B65</f>
        <v>Senarclens</v>
      </c>
      <c r="C71" s="26">
        <f>Ecrêtage!C65</f>
        <v>20490.878394160583</v>
      </c>
      <c r="D71" s="12">
        <f>Données!Z65</f>
        <v>496</v>
      </c>
      <c r="E71" s="8">
        <f>Population!K68</f>
        <v>-65056.338028169004</v>
      </c>
      <c r="F71" s="174">
        <f>Solidarité!I65</f>
        <v>-61254.124169642819</v>
      </c>
      <c r="G71" s="8">
        <f>DT!O65</f>
        <v>-32662.188976201203</v>
      </c>
      <c r="H71" s="174">
        <f>Effort!K65+Aide!I65+Taux!J65</f>
        <v>0</v>
      </c>
      <c r="I71" s="240">
        <f t="shared" si="1"/>
        <v>-158972.65117401304</v>
      </c>
      <c r="J71" s="300">
        <f t="shared" si="2"/>
        <v>401694.26733700681</v>
      </c>
      <c r="K71" s="406">
        <f t="shared" si="3"/>
        <v>242721.61616299377</v>
      </c>
    </row>
    <row r="72" spans="1:11" x14ac:dyDescent="0.25">
      <c r="A72" s="38">
        <f>Données!A66</f>
        <v>5501</v>
      </c>
      <c r="B72" s="27" t="str">
        <f>Données!B66</f>
        <v>Sullens</v>
      </c>
      <c r="C72" s="26">
        <f>Ecrêtage!C66</f>
        <v>53839.001093749997</v>
      </c>
      <c r="D72" s="12">
        <f>Données!Z66</f>
        <v>1169</v>
      </c>
      <c r="E72" s="8">
        <f>Population!K69</f>
        <v>-193227.81690140843</v>
      </c>
      <c r="F72" s="174">
        <f>Solidarité!I66</f>
        <v>-35406.409267621952</v>
      </c>
      <c r="G72" s="8">
        <f>DT!O66</f>
        <v>0</v>
      </c>
      <c r="H72" s="174">
        <f>Effort!K66+Aide!I66+Taux!J66</f>
        <v>0</v>
      </c>
      <c r="I72" s="240">
        <f t="shared" si="1"/>
        <v>-228634.22616903039</v>
      </c>
      <c r="J72" s="300">
        <f t="shared" si="2"/>
        <v>1055436.3596571509</v>
      </c>
      <c r="K72" s="406">
        <f t="shared" si="3"/>
        <v>826802.13348812051</v>
      </c>
    </row>
    <row r="73" spans="1:11" x14ac:dyDescent="0.25">
      <c r="A73" s="38">
        <f>Données!A67</f>
        <v>5503</v>
      </c>
      <c r="B73" s="27" t="str">
        <f>Données!B67</f>
        <v>Vufflens-la-Ville</v>
      </c>
      <c r="C73" s="26">
        <f>Ecrêtage!C67</f>
        <v>75815.146368159199</v>
      </c>
      <c r="D73" s="12">
        <f>Données!Z67</f>
        <v>1334</v>
      </c>
      <c r="E73" s="8">
        <f>Population!K70</f>
        <v>-253824.6478873239</v>
      </c>
      <c r="F73" s="174">
        <f>Solidarité!I67</f>
        <v>0</v>
      </c>
      <c r="G73" s="8">
        <f>DT!O67</f>
        <v>0</v>
      </c>
      <c r="H73" s="174">
        <f>Effort!K67+Aide!I67+Taux!J67</f>
        <v>0</v>
      </c>
      <c r="I73" s="240">
        <f t="shared" si="1"/>
        <v>-253824.6478873239</v>
      </c>
      <c r="J73" s="300">
        <f t="shared" si="2"/>
        <v>1486247.1528836195</v>
      </c>
      <c r="K73" s="406">
        <f t="shared" si="3"/>
        <v>1232422.5049962956</v>
      </c>
    </row>
    <row r="74" spans="1:11" x14ac:dyDescent="0.25">
      <c r="A74" s="38">
        <f>Données!A68</f>
        <v>5511</v>
      </c>
      <c r="B74" s="27" t="str">
        <f>Données!B68</f>
        <v>Assens</v>
      </c>
      <c r="C74" s="26">
        <f>Ecrêtage!C68</f>
        <v>72829.098714285734</v>
      </c>
      <c r="D74" s="12">
        <f>Données!Z68</f>
        <v>1669</v>
      </c>
      <c r="E74" s="8">
        <f>Population!K71</f>
        <v>-376854.57746478869</v>
      </c>
      <c r="F74" s="174">
        <f>Solidarité!I68</f>
        <v>-139408.71237471205</v>
      </c>
      <c r="G74" s="8">
        <f>DT!O68</f>
        <v>-248891.19695228821</v>
      </c>
      <c r="H74" s="174">
        <f>Effort!K68+Aide!I68+Taux!J68</f>
        <v>0</v>
      </c>
      <c r="I74" s="240">
        <f t="shared" si="1"/>
        <v>-765154.48679178895</v>
      </c>
      <c r="J74" s="300">
        <f t="shared" si="2"/>
        <v>1427709.9734868635</v>
      </c>
      <c r="K74" s="406">
        <f t="shared" si="3"/>
        <v>662555.48669507459</v>
      </c>
    </row>
    <row r="75" spans="1:11" x14ac:dyDescent="0.25">
      <c r="A75" s="38">
        <f>Données!A69</f>
        <v>5512</v>
      </c>
      <c r="B75" s="27" t="str">
        <f>Données!B69</f>
        <v>Bercher</v>
      </c>
      <c r="C75" s="26">
        <f>Ecrêtage!C69</f>
        <v>41197.962531645571</v>
      </c>
      <c r="D75" s="12">
        <f>Données!Z69</f>
        <v>1359</v>
      </c>
      <c r="E75" s="8">
        <f>Population!K72</f>
        <v>-263005.98591549287</v>
      </c>
      <c r="F75" s="174">
        <f>Solidarité!I69</f>
        <v>-595366.14815115347</v>
      </c>
      <c r="G75" s="8">
        <f>DT!O69</f>
        <v>-241953.41225374441</v>
      </c>
      <c r="H75" s="174">
        <f>Effort!K69+Aide!I69+Taux!J69</f>
        <v>0</v>
      </c>
      <c r="I75" s="240">
        <f t="shared" si="1"/>
        <v>-1100325.5463203907</v>
      </c>
      <c r="J75" s="300">
        <f t="shared" si="2"/>
        <v>807626.93802540435</v>
      </c>
      <c r="K75" s="406">
        <f t="shared" si="3"/>
        <v>-292698.6082949863</v>
      </c>
    </row>
    <row r="76" spans="1:11" x14ac:dyDescent="0.25">
      <c r="A76" s="38">
        <f>Données!A70</f>
        <v>5514</v>
      </c>
      <c r="B76" s="27" t="str">
        <f>Données!B70</f>
        <v>Bottens</v>
      </c>
      <c r="C76" s="26">
        <f>Ecrêtage!C70</f>
        <v>45711.625241379304</v>
      </c>
      <c r="D76" s="12">
        <f>Données!Z70</f>
        <v>1356</v>
      </c>
      <c r="E76" s="8">
        <f>Population!K73</f>
        <v>-261904.22535211261</v>
      </c>
      <c r="F76" s="174">
        <f>Solidarité!I70</f>
        <v>-403754.62001572264</v>
      </c>
      <c r="G76" s="8">
        <f>DT!O70</f>
        <v>-42098.948127997144</v>
      </c>
      <c r="H76" s="174">
        <f>Effort!K70+Aide!I70+Taux!J70</f>
        <v>0</v>
      </c>
      <c r="I76" s="240">
        <f t="shared" si="1"/>
        <v>-707757.79349583236</v>
      </c>
      <c r="J76" s="300">
        <f t="shared" si="2"/>
        <v>896110.81852657185</v>
      </c>
      <c r="K76" s="406">
        <f t="shared" si="3"/>
        <v>188353.02503073949</v>
      </c>
    </row>
    <row r="77" spans="1:11" x14ac:dyDescent="0.25">
      <c r="A77" s="38">
        <f>Données!A71</f>
        <v>5515</v>
      </c>
      <c r="B77" s="27" t="str">
        <f>Données!B71</f>
        <v>Bretigny-sur-Morrens</v>
      </c>
      <c r="C77" s="26">
        <f>Ecrêtage!C71</f>
        <v>29284.807179487179</v>
      </c>
      <c r="D77" s="12">
        <f>Données!Z71</f>
        <v>878</v>
      </c>
      <c r="E77" s="8">
        <f>Population!K74</f>
        <v>-115160.21126760561</v>
      </c>
      <c r="F77" s="174">
        <f>Solidarité!I71</f>
        <v>-310198.48393415724</v>
      </c>
      <c r="G77" s="8">
        <f>DT!O71</f>
        <v>-43542.070178872462</v>
      </c>
      <c r="H77" s="174">
        <f>Effort!K71+Aide!I71+Taux!J71</f>
        <v>0</v>
      </c>
      <c r="I77" s="240">
        <f t="shared" ref="I77:I140" si="4">SUM(E77:H77)</f>
        <v>-468900.76538063528</v>
      </c>
      <c r="J77" s="300">
        <f t="shared" ref="J77:J140" si="5">C77*$J$11</f>
        <v>574086.62224172638</v>
      </c>
      <c r="K77" s="406">
        <f t="shared" ref="K77:K140" si="6">I77+J77</f>
        <v>105185.8568610911</v>
      </c>
    </row>
    <row r="78" spans="1:11" x14ac:dyDescent="0.25">
      <c r="A78" s="38">
        <f>Données!A72</f>
        <v>5516</v>
      </c>
      <c r="B78" s="27" t="str">
        <f>Données!B72</f>
        <v>Cugy</v>
      </c>
      <c r="C78" s="26">
        <f>Ecrêtage!C72</f>
        <v>110286.19364035087</v>
      </c>
      <c r="D78" s="12">
        <f>Données!Z72</f>
        <v>2697</v>
      </c>
      <c r="E78" s="8">
        <f>Population!K75</f>
        <v>-754391.19718309841</v>
      </c>
      <c r="F78" s="174">
        <f>Solidarité!I72</f>
        <v>-436105.65803830454</v>
      </c>
      <c r="G78" s="8">
        <f>DT!O72</f>
        <v>-189131.09518418793</v>
      </c>
      <c r="H78" s="174">
        <f>Effort!K72+Aide!I72+Taux!J72</f>
        <v>0</v>
      </c>
      <c r="I78" s="240">
        <f t="shared" si="4"/>
        <v>-1379627.9504055907</v>
      </c>
      <c r="J78" s="300">
        <f t="shared" si="5"/>
        <v>2162002.5700983535</v>
      </c>
      <c r="K78" s="406">
        <f t="shared" si="6"/>
        <v>782374.61969276285</v>
      </c>
    </row>
    <row r="79" spans="1:11" x14ac:dyDescent="0.25">
      <c r="A79" s="38">
        <f>Données!A73</f>
        <v>5518</v>
      </c>
      <c r="B79" s="27" t="str">
        <f>Données!B73</f>
        <v>Echallens</v>
      </c>
      <c r="C79" s="26">
        <f>Ecrêtage!C73</f>
        <v>193272.16565517243</v>
      </c>
      <c r="D79" s="12">
        <f>Données!Z73</f>
        <v>5816</v>
      </c>
      <c r="E79" s="8">
        <f>Population!K76</f>
        <v>-2428699.9999999995</v>
      </c>
      <c r="F79" s="174">
        <f>Solidarité!I73</f>
        <v>-1790224.3869792132</v>
      </c>
      <c r="G79" s="8">
        <f>DT!O73</f>
        <v>-1431899.8645648076</v>
      </c>
      <c r="H79" s="174">
        <f>Effort!K73+Aide!I73+Taux!J73</f>
        <v>0</v>
      </c>
      <c r="I79" s="240">
        <f t="shared" si="4"/>
        <v>-5650824.2515440211</v>
      </c>
      <c r="J79" s="300">
        <f t="shared" si="5"/>
        <v>3788823.4699404403</v>
      </c>
      <c r="K79" s="406">
        <f t="shared" si="6"/>
        <v>-1862000.7816035808</v>
      </c>
    </row>
    <row r="80" spans="1:11" x14ac:dyDescent="0.25">
      <c r="A80" s="38">
        <f>Données!A74</f>
        <v>5520</v>
      </c>
      <c r="B80" s="27" t="str">
        <f>Données!B74</f>
        <v>Essertines-sur-Yverdon</v>
      </c>
      <c r="C80" s="26">
        <f>Ecrêtage!C74</f>
        <v>31421.603918918918</v>
      </c>
      <c r="D80" s="12">
        <f>Données!Z74</f>
        <v>1081</v>
      </c>
      <c r="E80" s="8">
        <f>Population!K77</f>
        <v>-160909.50704225348</v>
      </c>
      <c r="F80" s="174">
        <f>Solidarité!I74</f>
        <v>-444995.97376965079</v>
      </c>
      <c r="G80" s="8">
        <f>DT!O74</f>
        <v>-391718.97211955982</v>
      </c>
      <c r="H80" s="174">
        <f>Effort!K74+Aide!I74+Taux!J74</f>
        <v>0</v>
      </c>
      <c r="I80" s="240">
        <f t="shared" si="4"/>
        <v>-997624.45293146418</v>
      </c>
      <c r="J80" s="300">
        <f t="shared" si="5"/>
        <v>615975.45610151556</v>
      </c>
      <c r="K80" s="406">
        <f t="shared" si="6"/>
        <v>-381648.99682994862</v>
      </c>
    </row>
    <row r="81" spans="1:11" x14ac:dyDescent="0.25">
      <c r="A81" s="38">
        <f>Données!A75</f>
        <v>5521</v>
      </c>
      <c r="B81" s="27" t="str">
        <f>Données!B75</f>
        <v>Etagnières</v>
      </c>
      <c r="C81" s="26">
        <f>Ecrêtage!C75</f>
        <v>47186.910273972615</v>
      </c>
      <c r="D81" s="12">
        <f>Données!Z75</f>
        <v>1154</v>
      </c>
      <c r="E81" s="8">
        <f>Population!K78</f>
        <v>-187719.01408450701</v>
      </c>
      <c r="F81" s="174">
        <f>Solidarité!I75</f>
        <v>-172217.66279618</v>
      </c>
      <c r="G81" s="8">
        <f>DT!O75</f>
        <v>-65032.182230237682</v>
      </c>
      <c r="H81" s="174">
        <f>Effort!K75+Aide!I75+Taux!J75</f>
        <v>0</v>
      </c>
      <c r="I81" s="240">
        <f t="shared" si="4"/>
        <v>-424968.85911092471</v>
      </c>
      <c r="J81" s="300">
        <f t="shared" si="5"/>
        <v>925031.6646162984</v>
      </c>
      <c r="K81" s="406">
        <f t="shared" si="6"/>
        <v>500062.80550537369</v>
      </c>
    </row>
    <row r="82" spans="1:11" x14ac:dyDescent="0.25">
      <c r="A82" s="38">
        <f>Données!A76</f>
        <v>5522</v>
      </c>
      <c r="B82" s="27" t="str">
        <f>Données!B76</f>
        <v>Fey</v>
      </c>
      <c r="C82" s="26">
        <f>Ecrêtage!C76</f>
        <v>24171.660400000001</v>
      </c>
      <c r="D82" s="12">
        <f>Données!Z76</f>
        <v>736</v>
      </c>
      <c r="E82" s="8">
        <f>Population!K79</f>
        <v>-96535.211267605613</v>
      </c>
      <c r="F82" s="174">
        <f>Solidarité!I76</f>
        <v>-248870.11467005673</v>
      </c>
      <c r="G82" s="8">
        <f>DT!O76</f>
        <v>-127889.27854676764</v>
      </c>
      <c r="H82" s="174">
        <f>Effort!K76+Aide!I76+Taux!J76</f>
        <v>0</v>
      </c>
      <c r="I82" s="240">
        <f t="shared" si="4"/>
        <v>-473294.60448442999</v>
      </c>
      <c r="J82" s="300">
        <f t="shared" si="5"/>
        <v>473850.71678840049</v>
      </c>
      <c r="K82" s="406">
        <f t="shared" si="6"/>
        <v>556.11230397049803</v>
      </c>
    </row>
    <row r="83" spans="1:11" x14ac:dyDescent="0.25">
      <c r="A83" s="38">
        <f>Données!A77</f>
        <v>5523</v>
      </c>
      <c r="B83" s="27" t="str">
        <f>Données!B77</f>
        <v>Froideville</v>
      </c>
      <c r="C83" s="26">
        <f>Ecrêtage!C77</f>
        <v>92223.451805555553</v>
      </c>
      <c r="D83" s="12">
        <f>Données!Z77</f>
        <v>2720</v>
      </c>
      <c r="E83" s="8">
        <f>Population!K80</f>
        <v>-762838.02816901391</v>
      </c>
      <c r="F83" s="174">
        <f>Solidarité!I77</f>
        <v>-787786.32181975362</v>
      </c>
      <c r="G83" s="8">
        <f>DT!O77</f>
        <v>-101538.15905141416</v>
      </c>
      <c r="H83" s="174">
        <f>Effort!K77+Aide!I77+Taux!J77</f>
        <v>0</v>
      </c>
      <c r="I83" s="240">
        <f t="shared" si="4"/>
        <v>-1652162.5090401815</v>
      </c>
      <c r="J83" s="300">
        <f t="shared" si="5"/>
        <v>1807908.4357300918</v>
      </c>
      <c r="K83" s="406">
        <f t="shared" si="6"/>
        <v>155745.92668991024</v>
      </c>
    </row>
    <row r="84" spans="1:11" x14ac:dyDescent="0.25">
      <c r="A84" s="38">
        <f>Données!A78</f>
        <v>5527</v>
      </c>
      <c r="B84" s="27" t="str">
        <f>Données!B78</f>
        <v>Morrens</v>
      </c>
      <c r="C84" s="26">
        <f>Ecrêtage!C78</f>
        <v>40722.210135135138</v>
      </c>
      <c r="D84" s="12">
        <f>Données!Z78</f>
        <v>1172</v>
      </c>
      <c r="E84" s="8">
        <f>Population!K81</f>
        <v>-194329.57746478869</v>
      </c>
      <c r="F84" s="174">
        <f>Solidarité!I78</f>
        <v>-337048.43016503769</v>
      </c>
      <c r="G84" s="8">
        <f>DT!O78</f>
        <v>-7758.294481601476</v>
      </c>
      <c r="H84" s="174">
        <f>Effort!K78+Aide!I78+Taux!J78</f>
        <v>0</v>
      </c>
      <c r="I84" s="240">
        <f t="shared" si="4"/>
        <v>-539136.30211142788</v>
      </c>
      <c r="J84" s="300">
        <f t="shared" si="5"/>
        <v>798300.49497723591</v>
      </c>
      <c r="K84" s="406">
        <f t="shared" si="6"/>
        <v>259164.19286580803</v>
      </c>
    </row>
    <row r="85" spans="1:11" x14ac:dyDescent="0.25">
      <c r="A85" s="38">
        <f>Données!A79</f>
        <v>5529</v>
      </c>
      <c r="B85" s="27" t="str">
        <f>Données!B79</f>
        <v>Oulens-sous-Echallens</v>
      </c>
      <c r="C85" s="26">
        <f>Ecrêtage!C79</f>
        <v>22676.673521126762</v>
      </c>
      <c r="D85" s="12">
        <f>Données!Z79</f>
        <v>606</v>
      </c>
      <c r="E85" s="8">
        <f>Population!K82</f>
        <v>-79484.154929577446</v>
      </c>
      <c r="F85" s="174">
        <f>Solidarité!I79</f>
        <v>-127836.9046916919</v>
      </c>
      <c r="G85" s="8">
        <f>DT!O79</f>
        <v>-92018.430450741085</v>
      </c>
      <c r="H85" s="174">
        <f>Effort!K79+Aide!I79+Taux!J79</f>
        <v>0</v>
      </c>
      <c r="I85" s="240">
        <f t="shared" si="4"/>
        <v>-299339.49007201043</v>
      </c>
      <c r="J85" s="300">
        <f t="shared" si="5"/>
        <v>444543.64427370729</v>
      </c>
      <c r="K85" s="406">
        <f t="shared" si="6"/>
        <v>145204.15420169686</v>
      </c>
    </row>
    <row r="86" spans="1:11" x14ac:dyDescent="0.25">
      <c r="A86" s="38">
        <f>Données!A80</f>
        <v>5530</v>
      </c>
      <c r="B86" s="27" t="str">
        <f>Données!B80</f>
        <v>Pailly</v>
      </c>
      <c r="C86" s="26">
        <f>Ecrêtage!C80</f>
        <v>20358.644320175437</v>
      </c>
      <c r="D86" s="12">
        <f>Données!Z80</f>
        <v>566</v>
      </c>
      <c r="E86" s="8">
        <f>Population!K83</f>
        <v>-74237.676056338008</v>
      </c>
      <c r="F86" s="174">
        <f>Solidarité!I80</f>
        <v>-155732.46152858049</v>
      </c>
      <c r="G86" s="8">
        <f>DT!O80</f>
        <v>-80024.946262214464</v>
      </c>
      <c r="H86" s="174">
        <f>Effort!K80+Aide!I80+Taux!J80</f>
        <v>0</v>
      </c>
      <c r="I86" s="240">
        <f t="shared" si="4"/>
        <v>-309995.08384713298</v>
      </c>
      <c r="J86" s="300">
        <f t="shared" si="5"/>
        <v>399102.00806706806</v>
      </c>
      <c r="K86" s="406">
        <f t="shared" si="6"/>
        <v>89106.924219935085</v>
      </c>
    </row>
    <row r="87" spans="1:11" x14ac:dyDescent="0.25">
      <c r="A87" s="38">
        <f>Données!A81</f>
        <v>5531</v>
      </c>
      <c r="B87" s="27" t="str">
        <f>Données!B81</f>
        <v>Penthéréaz</v>
      </c>
      <c r="C87" s="26">
        <f>Ecrêtage!C81</f>
        <v>17299.265810810808</v>
      </c>
      <c r="D87" s="12">
        <f>Données!Z81</f>
        <v>433</v>
      </c>
      <c r="E87" s="8">
        <f>Population!K84</f>
        <v>-56793.13380281689</v>
      </c>
      <c r="F87" s="174">
        <f>Solidarité!I81</f>
        <v>-75272.694515910494</v>
      </c>
      <c r="G87" s="8">
        <f>DT!O81</f>
        <v>-48297.225021551807</v>
      </c>
      <c r="H87" s="174">
        <f>Effort!K81+Aide!I81+Taux!J81</f>
        <v>0</v>
      </c>
      <c r="I87" s="240">
        <f t="shared" si="4"/>
        <v>-180363.05334027918</v>
      </c>
      <c r="J87" s="300">
        <f t="shared" si="5"/>
        <v>339127.28247521515</v>
      </c>
      <c r="K87" s="406">
        <f t="shared" si="6"/>
        <v>158764.22913493597</v>
      </c>
    </row>
    <row r="88" spans="1:11" x14ac:dyDescent="0.25">
      <c r="A88" s="38">
        <f>Données!A82</f>
        <v>5533</v>
      </c>
      <c r="B88" s="27" t="str">
        <f>Données!B82</f>
        <v>Poliez-Pittet</v>
      </c>
      <c r="C88" s="26">
        <f>Ecrêtage!C82</f>
        <v>28011.409726027396</v>
      </c>
      <c r="D88" s="12">
        <f>Données!Z82</f>
        <v>848</v>
      </c>
      <c r="E88" s="8">
        <f>Population!K85</f>
        <v>-111225.35211267603</v>
      </c>
      <c r="F88" s="174">
        <f>Solidarité!I82</f>
        <v>-268219.9654378203</v>
      </c>
      <c r="G88" s="8">
        <f>DT!O82</f>
        <v>-75142.534021635598</v>
      </c>
      <c r="H88" s="174">
        <f>Effort!K82+Aide!I82+Taux!J82</f>
        <v>0</v>
      </c>
      <c r="I88" s="240">
        <f t="shared" si="4"/>
        <v>-454587.85157213191</v>
      </c>
      <c r="J88" s="300">
        <f t="shared" si="5"/>
        <v>549123.49244041403</v>
      </c>
      <c r="K88" s="406">
        <f t="shared" si="6"/>
        <v>94535.64086828212</v>
      </c>
    </row>
    <row r="89" spans="1:11" x14ac:dyDescent="0.25">
      <c r="A89" s="38">
        <f>Données!A83</f>
        <v>5534</v>
      </c>
      <c r="B89" s="27" t="str">
        <f>Données!B83</f>
        <v>Rueyres</v>
      </c>
      <c r="C89" s="26">
        <f>Ecrêtage!C83</f>
        <v>15039.569474885846</v>
      </c>
      <c r="D89" s="12">
        <f>Données!Z83</f>
        <v>303</v>
      </c>
      <c r="E89" s="8">
        <f>Population!K86</f>
        <v>-39742.077464788723</v>
      </c>
      <c r="F89" s="174">
        <f>Solidarité!I83</f>
        <v>0</v>
      </c>
      <c r="G89" s="8">
        <f>DT!O83</f>
        <v>0</v>
      </c>
      <c r="H89" s="174">
        <f>Effort!K83+Aide!I83+Taux!J83</f>
        <v>0</v>
      </c>
      <c r="I89" s="240">
        <f t="shared" si="4"/>
        <v>-39742.077464788723</v>
      </c>
      <c r="J89" s="300">
        <f t="shared" si="5"/>
        <v>294829.17838211916</v>
      </c>
      <c r="K89" s="406">
        <f t="shared" si="6"/>
        <v>255087.10091733045</v>
      </c>
    </row>
    <row r="90" spans="1:11" x14ac:dyDescent="0.25">
      <c r="A90" s="38">
        <f>Données!A84</f>
        <v>5535</v>
      </c>
      <c r="B90" s="27" t="str">
        <f>Données!B84</f>
        <v>Saint-Barthélemy</v>
      </c>
      <c r="C90" s="26">
        <f>Ecrêtage!C84</f>
        <v>25492.320666666663</v>
      </c>
      <c r="D90" s="12">
        <f>Données!Z84</f>
        <v>814</v>
      </c>
      <c r="E90" s="8">
        <f>Population!K87</f>
        <v>-106765.84507042251</v>
      </c>
      <c r="F90" s="174">
        <f>Solidarité!I84</f>
        <v>-303096.0212941246</v>
      </c>
      <c r="G90" s="8">
        <f>DT!O84</f>
        <v>0</v>
      </c>
      <c r="H90" s="174">
        <f>Effort!K84+Aide!I84+Taux!J84</f>
        <v>0</v>
      </c>
      <c r="I90" s="240">
        <f t="shared" si="4"/>
        <v>-409861.86636454711</v>
      </c>
      <c r="J90" s="300">
        <f t="shared" si="5"/>
        <v>499740.36622241116</v>
      </c>
      <c r="K90" s="406">
        <f t="shared" si="6"/>
        <v>89878.499857864052</v>
      </c>
    </row>
    <row r="91" spans="1:11" x14ac:dyDescent="0.25">
      <c r="A91" s="38">
        <f>Données!A85</f>
        <v>5537</v>
      </c>
      <c r="B91" s="27" t="str">
        <f>Données!B85</f>
        <v>Villars-le-Terroir</v>
      </c>
      <c r="C91" s="26">
        <f>Ecrêtage!C85</f>
        <v>39162.025657894737</v>
      </c>
      <c r="D91" s="12">
        <f>Données!Z85</f>
        <v>1308</v>
      </c>
      <c r="E91" s="8">
        <f>Population!K88</f>
        <v>-244276.05633802811</v>
      </c>
      <c r="F91" s="174">
        <f>Solidarité!I85</f>
        <v>-541618.12669713015</v>
      </c>
      <c r="G91" s="8">
        <f>DT!O85</f>
        <v>-77249.651977782531</v>
      </c>
      <c r="H91" s="174">
        <f>Effort!K85+Aide!I85+Taux!J85</f>
        <v>0</v>
      </c>
      <c r="I91" s="240">
        <f t="shared" si="4"/>
        <v>-863143.83501294081</v>
      </c>
      <c r="J91" s="300">
        <f t="shared" si="5"/>
        <v>767715.31710246729</v>
      </c>
      <c r="K91" s="406">
        <f t="shared" si="6"/>
        <v>-95428.517910473514</v>
      </c>
    </row>
    <row r="92" spans="1:11" x14ac:dyDescent="0.25">
      <c r="A92" s="38">
        <f>Données!A86</f>
        <v>5539</v>
      </c>
      <c r="B92" s="27" t="str">
        <f>Données!B86</f>
        <v>Vuarrens</v>
      </c>
      <c r="C92" s="26">
        <f>Ecrêtage!C86</f>
        <v>34442.298537414965</v>
      </c>
      <c r="D92" s="12">
        <f>Données!Z86</f>
        <v>1106</v>
      </c>
      <c r="E92" s="8">
        <f>Population!K89</f>
        <v>-170090.84507042251</v>
      </c>
      <c r="F92" s="174">
        <f>Solidarité!I86</f>
        <v>-399711.34481617226</v>
      </c>
      <c r="G92" s="8">
        <f>DT!O86</f>
        <v>-15692.903601297994</v>
      </c>
      <c r="H92" s="174">
        <f>Effort!K86+Aide!I86+Taux!J86</f>
        <v>0</v>
      </c>
      <c r="I92" s="240">
        <f t="shared" si="4"/>
        <v>-585495.09348789277</v>
      </c>
      <c r="J92" s="300">
        <f t="shared" si="5"/>
        <v>675191.83952270646</v>
      </c>
      <c r="K92" s="406">
        <f t="shared" si="6"/>
        <v>89696.746034813696</v>
      </c>
    </row>
    <row r="93" spans="1:11" x14ac:dyDescent="0.25">
      <c r="A93" s="38">
        <f>Données!A87</f>
        <v>5540</v>
      </c>
      <c r="B93" s="27" t="str">
        <f>Données!B87</f>
        <v>Montilliez</v>
      </c>
      <c r="C93" s="26">
        <f>Ecrêtage!C87</f>
        <v>67462.536103448278</v>
      </c>
      <c r="D93" s="12">
        <f>Données!Z87</f>
        <v>1895</v>
      </c>
      <c r="E93" s="8">
        <f>Population!K90</f>
        <v>-459853.87323943654</v>
      </c>
      <c r="F93" s="174">
        <f>Solidarité!I87</f>
        <v>-489149.34589791548</v>
      </c>
      <c r="G93" s="8">
        <f>DT!O87</f>
        <v>-98701.923639538247</v>
      </c>
      <c r="H93" s="174">
        <f>Effort!K87+Aide!I87+Taux!J87</f>
        <v>0</v>
      </c>
      <c r="I93" s="240">
        <f t="shared" si="4"/>
        <v>-1047705.1427768902</v>
      </c>
      <c r="J93" s="300">
        <f t="shared" si="5"/>
        <v>1322506.2143013689</v>
      </c>
      <c r="K93" s="406">
        <f t="shared" si="6"/>
        <v>274801.07152447873</v>
      </c>
    </row>
    <row r="94" spans="1:11" x14ac:dyDescent="0.25">
      <c r="A94" s="38">
        <f>Données!A88</f>
        <v>5541</v>
      </c>
      <c r="B94" s="27" t="str">
        <f>Données!B88</f>
        <v>Goumoëns</v>
      </c>
      <c r="C94" s="26">
        <f>Ecrêtage!C88</f>
        <v>41725.831258278151</v>
      </c>
      <c r="D94" s="12">
        <f>Données!Z88</f>
        <v>1175</v>
      </c>
      <c r="E94" s="8">
        <f>Population!K91</f>
        <v>-195431.33802816898</v>
      </c>
      <c r="F94" s="174">
        <f>Solidarité!I88</f>
        <v>-331294.90382462001</v>
      </c>
      <c r="G94" s="8">
        <f>DT!O88</f>
        <v>-10951.234032369633</v>
      </c>
      <c r="H94" s="174">
        <f>Effort!K88+Aide!I88+Taux!J88</f>
        <v>0</v>
      </c>
      <c r="I94" s="240">
        <f t="shared" si="4"/>
        <v>-537677.47588515864</v>
      </c>
      <c r="J94" s="300">
        <f t="shared" si="5"/>
        <v>817975.04694079468</v>
      </c>
      <c r="K94" s="406">
        <f t="shared" si="6"/>
        <v>280297.57105563604</v>
      </c>
    </row>
    <row r="95" spans="1:11" x14ac:dyDescent="0.25">
      <c r="A95" s="38">
        <f>Données!A89</f>
        <v>5551</v>
      </c>
      <c r="B95" s="27" t="str">
        <f>Données!B89</f>
        <v>Bonvillars</v>
      </c>
      <c r="C95" s="26">
        <f>Ecrêtage!C89</f>
        <v>18574.407321428567</v>
      </c>
      <c r="D95" s="12">
        <f>Données!Z89</f>
        <v>501</v>
      </c>
      <c r="E95" s="8">
        <f>Population!K92</f>
        <v>-65712.147887323925</v>
      </c>
      <c r="F95" s="174">
        <f>Solidarité!I89</f>
        <v>-67914.011595352888</v>
      </c>
      <c r="G95" s="8">
        <f>DT!O89</f>
        <v>-115748.31232565001</v>
      </c>
      <c r="H95" s="174">
        <f>Effort!K89+Aide!I89+Taux!J89</f>
        <v>0</v>
      </c>
      <c r="I95" s="240">
        <f t="shared" si="4"/>
        <v>-249374.47180832684</v>
      </c>
      <c r="J95" s="300">
        <f t="shared" si="5"/>
        <v>364124.60201445821</v>
      </c>
      <c r="K95" s="406">
        <f t="shared" si="6"/>
        <v>114750.13020613138</v>
      </c>
    </row>
    <row r="96" spans="1:11" x14ac:dyDescent="0.25">
      <c r="A96" s="38">
        <f>Données!A90</f>
        <v>5552</v>
      </c>
      <c r="B96" s="27" t="str">
        <f>Données!B90</f>
        <v>Bullet</v>
      </c>
      <c r="C96" s="26">
        <f>Ecrêtage!C90</f>
        <v>19038.467972027971</v>
      </c>
      <c r="D96" s="12">
        <f>Données!Z90</f>
        <v>651</v>
      </c>
      <c r="E96" s="8">
        <f>Population!K93</f>
        <v>-85386.443661971818</v>
      </c>
      <c r="F96" s="174">
        <f>Solidarité!I90</f>
        <v>-247823.49667296742</v>
      </c>
      <c r="G96" s="8">
        <f>DT!O90</f>
        <v>-312774.54025022226</v>
      </c>
      <c r="H96" s="174">
        <f>Effort!K90+Aide!I90+Taux!J90</f>
        <v>0</v>
      </c>
      <c r="I96" s="240">
        <f t="shared" si="4"/>
        <v>-645984.48058516148</v>
      </c>
      <c r="J96" s="300">
        <f t="shared" si="5"/>
        <v>373221.84516122274</v>
      </c>
      <c r="K96" s="406">
        <f t="shared" si="6"/>
        <v>-272762.63542393874</v>
      </c>
    </row>
    <row r="97" spans="1:11" x14ac:dyDescent="0.25">
      <c r="A97" s="38">
        <f>Données!A91</f>
        <v>5553</v>
      </c>
      <c r="B97" s="27" t="str">
        <f>Données!B91</f>
        <v>Champagne</v>
      </c>
      <c r="C97" s="26">
        <f>Ecrêtage!C91</f>
        <v>38261.021999999997</v>
      </c>
      <c r="D97" s="12">
        <f>Données!Z91</f>
        <v>1077</v>
      </c>
      <c r="E97" s="8">
        <f>Population!K94</f>
        <v>-159440.49295774644</v>
      </c>
      <c r="F97" s="174">
        <f>Solidarité!I91</f>
        <v>-224816.08694088273</v>
      </c>
      <c r="G97" s="8">
        <f>DT!O91</f>
        <v>-287096.39679956844</v>
      </c>
      <c r="H97" s="174">
        <f>Effort!K91+Aide!I91+Taux!J91</f>
        <v>0</v>
      </c>
      <c r="I97" s="240">
        <f t="shared" si="4"/>
        <v>-671352.97669819766</v>
      </c>
      <c r="J97" s="300">
        <f t="shared" si="5"/>
        <v>750052.43329319486</v>
      </c>
      <c r="K97" s="406">
        <f t="shared" si="6"/>
        <v>78699.456594997202</v>
      </c>
    </row>
    <row r="98" spans="1:11" x14ac:dyDescent="0.25">
      <c r="A98" s="38">
        <f>Données!A92</f>
        <v>5554</v>
      </c>
      <c r="B98" s="27" t="str">
        <f>Données!B92</f>
        <v>Concise</v>
      </c>
      <c r="C98" s="26">
        <f>Ecrêtage!C92</f>
        <v>33906.908000000003</v>
      </c>
      <c r="D98" s="12">
        <f>Données!Z92</f>
        <v>1002</v>
      </c>
      <c r="E98" s="8">
        <f>Population!K95</f>
        <v>-131896.47887323942</v>
      </c>
      <c r="F98" s="174">
        <f>Solidarité!I92</f>
        <v>-316388.59111273114</v>
      </c>
      <c r="G98" s="8">
        <f>DT!O92</f>
        <v>-201429.92112380633</v>
      </c>
      <c r="H98" s="174">
        <f>Effort!K92+Aide!I92+Taux!J92</f>
        <v>0</v>
      </c>
      <c r="I98" s="240">
        <f t="shared" si="4"/>
        <v>-649714.99110977689</v>
      </c>
      <c r="J98" s="300">
        <f t="shared" si="5"/>
        <v>664696.27630042133</v>
      </c>
      <c r="K98" s="406">
        <f t="shared" si="6"/>
        <v>14981.285190644441</v>
      </c>
    </row>
    <row r="99" spans="1:11" x14ac:dyDescent="0.25">
      <c r="A99" s="38">
        <f>Données!A93</f>
        <v>5555</v>
      </c>
      <c r="B99" s="27" t="str">
        <f>Données!B93</f>
        <v>Corcelles-près-Concise</v>
      </c>
      <c r="C99" s="26">
        <f>Ecrêtage!C93</f>
        <v>13425.133333333333</v>
      </c>
      <c r="D99" s="12">
        <f>Données!Z93</f>
        <v>412</v>
      </c>
      <c r="E99" s="8">
        <f>Population!K96</f>
        <v>-54038.73239436619</v>
      </c>
      <c r="F99" s="174">
        <f>Solidarité!I93</f>
        <v>-119923.23980070617</v>
      </c>
      <c r="G99" s="8">
        <f>DT!O93</f>
        <v>-169736.95798626225</v>
      </c>
      <c r="H99" s="174">
        <f>Effort!K93+Aide!I93+Taux!J93</f>
        <v>0</v>
      </c>
      <c r="I99" s="240">
        <f t="shared" si="4"/>
        <v>-343698.93018133461</v>
      </c>
      <c r="J99" s="300">
        <f t="shared" si="5"/>
        <v>263180.47447745246</v>
      </c>
      <c r="K99" s="406">
        <f t="shared" si="6"/>
        <v>-80518.455703882151</v>
      </c>
    </row>
    <row r="100" spans="1:11" x14ac:dyDescent="0.25">
      <c r="A100" s="38">
        <f>Données!A94</f>
        <v>5556</v>
      </c>
      <c r="B100" s="27" t="str">
        <f>Données!B94</f>
        <v>Fiez</v>
      </c>
      <c r="C100" s="26">
        <f>Ecrêtage!C94</f>
        <v>13304.178019323672</v>
      </c>
      <c r="D100" s="12">
        <f>Données!Z94</f>
        <v>436</v>
      </c>
      <c r="E100" s="8">
        <f>Population!K97</f>
        <v>-57186.619718309848</v>
      </c>
      <c r="F100" s="174">
        <f>Solidarité!I94</f>
        <v>-144061.70330362633</v>
      </c>
      <c r="G100" s="8">
        <f>DT!O94</f>
        <v>-86944.320041925239</v>
      </c>
      <c r="H100" s="174">
        <f>Effort!K94+Aide!I94+Taux!J94</f>
        <v>0</v>
      </c>
      <c r="I100" s="240">
        <f t="shared" si="4"/>
        <v>-288192.64306386141</v>
      </c>
      <c r="J100" s="300">
        <f t="shared" si="5"/>
        <v>260809.31911226935</v>
      </c>
      <c r="K100" s="406">
        <f t="shared" si="6"/>
        <v>-27383.323951592058</v>
      </c>
    </row>
    <row r="101" spans="1:11" x14ac:dyDescent="0.25">
      <c r="A101" s="38">
        <f>Données!A95</f>
        <v>5557</v>
      </c>
      <c r="B101" s="27" t="str">
        <f>Données!B95</f>
        <v>Fontaines-sur-Grandson</v>
      </c>
      <c r="C101" s="26">
        <f>Ecrêtage!C95</f>
        <v>5098.6839130434782</v>
      </c>
      <c r="D101" s="12">
        <f>Données!Z95</f>
        <v>214</v>
      </c>
      <c r="E101" s="8">
        <f>Population!K98</f>
        <v>-28068.661971830981</v>
      </c>
      <c r="F101" s="174">
        <f>Solidarité!I95</f>
        <v>-97897.841722083671</v>
      </c>
      <c r="G101" s="8">
        <f>DT!O95</f>
        <v>-47909.275303414353</v>
      </c>
      <c r="H101" s="174">
        <f>Effort!K95+Aide!I95+Taux!J95</f>
        <v>0</v>
      </c>
      <c r="I101" s="240">
        <f t="shared" si="4"/>
        <v>-173875.77899732901</v>
      </c>
      <c r="J101" s="300">
        <f t="shared" si="5"/>
        <v>99952.381710324655</v>
      </c>
      <c r="K101" s="406">
        <f t="shared" si="6"/>
        <v>-73923.397287004351</v>
      </c>
    </row>
    <row r="102" spans="1:11" x14ac:dyDescent="0.25">
      <c r="A102" s="38">
        <f>Données!A96</f>
        <v>5559</v>
      </c>
      <c r="B102" s="27" t="str">
        <f>Données!B96</f>
        <v>Giez</v>
      </c>
      <c r="C102" s="26">
        <f>Ecrêtage!C96</f>
        <v>21009.564242424243</v>
      </c>
      <c r="D102" s="12">
        <f>Données!Z96</f>
        <v>450</v>
      </c>
      <c r="E102" s="8">
        <f>Population!K99</f>
        <v>-59022.887323943651</v>
      </c>
      <c r="F102" s="174">
        <f>Solidarité!I96</f>
        <v>-9549.5064751663795</v>
      </c>
      <c r="G102" s="8">
        <f>DT!O96</f>
        <v>-18608.077212876109</v>
      </c>
      <c r="H102" s="174">
        <f>Effort!K96+Aide!I96+Taux!J96</f>
        <v>0</v>
      </c>
      <c r="I102" s="240">
        <f t="shared" si="4"/>
        <v>-87180.471011986141</v>
      </c>
      <c r="J102" s="300">
        <f t="shared" si="5"/>
        <v>411862.359099033</v>
      </c>
      <c r="K102" s="406">
        <f t="shared" si="6"/>
        <v>324681.88808704686</v>
      </c>
    </row>
    <row r="103" spans="1:11" x14ac:dyDescent="0.25">
      <c r="A103" s="38">
        <f>Données!A97</f>
        <v>5560</v>
      </c>
      <c r="B103" s="27" t="str">
        <f>Données!B97</f>
        <v>Grandevent</v>
      </c>
      <c r="C103" s="26">
        <f>Ecrêtage!C97</f>
        <v>8996.1019718309853</v>
      </c>
      <c r="D103" s="12">
        <f>Données!Z97</f>
        <v>237</v>
      </c>
      <c r="E103" s="8">
        <f>Population!K100</f>
        <v>-31085.387323943658</v>
      </c>
      <c r="F103" s="174">
        <f>Solidarité!I97</f>
        <v>-47431.268933908614</v>
      </c>
      <c r="G103" s="8">
        <f>DT!O97</f>
        <v>-6801.4469348400662</v>
      </c>
      <c r="H103" s="174">
        <f>Effort!K97+Aide!I97+Taux!J97</f>
        <v>0</v>
      </c>
      <c r="I103" s="240">
        <f t="shared" si="4"/>
        <v>-85318.103192692332</v>
      </c>
      <c r="J103" s="300">
        <f t="shared" si="5"/>
        <v>176355.6701158045</v>
      </c>
      <c r="K103" s="406">
        <f t="shared" si="6"/>
        <v>91037.566923112172</v>
      </c>
    </row>
    <row r="104" spans="1:11" x14ac:dyDescent="0.25">
      <c r="A104" s="38">
        <f>Données!A98</f>
        <v>5561</v>
      </c>
      <c r="B104" s="27" t="str">
        <f>Données!B98</f>
        <v>Grandson</v>
      </c>
      <c r="C104" s="26">
        <f>Ecrêtage!C98</f>
        <v>132373.10913043478</v>
      </c>
      <c r="D104" s="12">
        <f>Données!Z98</f>
        <v>3358</v>
      </c>
      <c r="E104" s="8">
        <f>Population!K101</f>
        <v>-1053492.9577464787</v>
      </c>
      <c r="F104" s="174">
        <f>Solidarité!I98</f>
        <v>-541460.91664475051</v>
      </c>
      <c r="G104" s="8">
        <f>DT!O98</f>
        <v>-949513.55044293997</v>
      </c>
      <c r="H104" s="174">
        <f>Effort!K98+Aide!I98+Taux!J98</f>
        <v>0</v>
      </c>
      <c r="I104" s="240">
        <f t="shared" si="4"/>
        <v>-2544467.4248341694</v>
      </c>
      <c r="J104" s="300">
        <f t="shared" si="5"/>
        <v>2594984.854452352</v>
      </c>
      <c r="K104" s="406">
        <f t="shared" si="6"/>
        <v>50517.429618182592</v>
      </c>
    </row>
    <row r="105" spans="1:11" x14ac:dyDescent="0.25">
      <c r="A105" s="38">
        <f>Données!A99</f>
        <v>5562</v>
      </c>
      <c r="B105" s="27" t="str">
        <f>Données!B99</f>
        <v>Mauborget</v>
      </c>
      <c r="C105" s="26">
        <f>Ecrêtage!C99</f>
        <v>4559.8122619047608</v>
      </c>
      <c r="D105" s="12">
        <f>Données!Z99</f>
        <v>138</v>
      </c>
      <c r="E105" s="8">
        <f>Population!K102</f>
        <v>-18100.352112676053</v>
      </c>
      <c r="F105" s="174">
        <f>Solidarité!I99</f>
        <v>-40108.706373552908</v>
      </c>
      <c r="G105" s="8">
        <f>DT!O99</f>
        <v>-10532.817238195508</v>
      </c>
      <c r="H105" s="174">
        <f>Effort!K99+Aide!I99+Taux!J99</f>
        <v>0</v>
      </c>
      <c r="I105" s="240">
        <f t="shared" si="4"/>
        <v>-68741.875724424463</v>
      </c>
      <c r="J105" s="300">
        <f t="shared" si="5"/>
        <v>89388.576248742451</v>
      </c>
      <c r="K105" s="406">
        <f t="shared" si="6"/>
        <v>20646.700524317988</v>
      </c>
    </row>
    <row r="106" spans="1:11" x14ac:dyDescent="0.25">
      <c r="A106" s="38">
        <f>Données!A100</f>
        <v>5563</v>
      </c>
      <c r="B106" s="27" t="str">
        <f>Données!B100</f>
        <v>Mutrux</v>
      </c>
      <c r="C106" s="26">
        <f>Ecrêtage!C100</f>
        <v>2282.0827499999996</v>
      </c>
      <c r="D106" s="12">
        <f>Données!Z100</f>
        <v>151</v>
      </c>
      <c r="E106" s="8">
        <f>Population!K103</f>
        <v>-19805.457746478871</v>
      </c>
      <c r="F106" s="174">
        <f>Solidarité!I100</f>
        <v>-126450.33886218448</v>
      </c>
      <c r="G106" s="8">
        <f>DT!O100</f>
        <v>-44926.744537911363</v>
      </c>
      <c r="H106" s="174">
        <f>Effort!K100+Aide!I100+Taux!J100</f>
        <v>19328.365958004426</v>
      </c>
      <c r="I106" s="240">
        <f t="shared" si="4"/>
        <v>-171854.17518857028</v>
      </c>
      <c r="J106" s="300">
        <f t="shared" si="5"/>
        <v>44736.957617439635</v>
      </c>
      <c r="K106" s="406">
        <f t="shared" si="6"/>
        <v>-127117.21757113065</v>
      </c>
    </row>
    <row r="107" spans="1:11" x14ac:dyDescent="0.25">
      <c r="A107" s="38">
        <f>Données!A101</f>
        <v>5564</v>
      </c>
      <c r="B107" s="27" t="str">
        <f>Données!B101</f>
        <v>Novalles</v>
      </c>
      <c r="C107" s="26">
        <f>Ecrêtage!C101</f>
        <v>2548.8721381578953</v>
      </c>
      <c r="D107" s="12">
        <f>Données!Z101</f>
        <v>99</v>
      </c>
      <c r="E107" s="8">
        <f>Population!K104</f>
        <v>-12985.035211267603</v>
      </c>
      <c r="F107" s="174">
        <f>Solidarité!I101</f>
        <v>-50562.801690750879</v>
      </c>
      <c r="G107" s="8">
        <f>DT!O101</f>
        <v>-34483.013951677902</v>
      </c>
      <c r="H107" s="174">
        <f>Effort!K101+Aide!I101+Taux!J101</f>
        <v>0</v>
      </c>
      <c r="I107" s="240">
        <f t="shared" si="4"/>
        <v>-98030.850853696378</v>
      </c>
      <c r="J107" s="300">
        <f t="shared" si="5"/>
        <v>49966.980740309489</v>
      </c>
      <c r="K107" s="406">
        <f t="shared" si="6"/>
        <v>-48063.870113386889</v>
      </c>
    </row>
    <row r="108" spans="1:11" x14ac:dyDescent="0.25">
      <c r="A108" s="38">
        <f>Données!A102</f>
        <v>5565</v>
      </c>
      <c r="B108" s="27" t="str">
        <f>Données!B102</f>
        <v>Onnens</v>
      </c>
      <c r="C108" s="26">
        <f>Ecrêtage!C102</f>
        <v>19043.042992125989</v>
      </c>
      <c r="D108" s="12">
        <f>Données!Z102</f>
        <v>496</v>
      </c>
      <c r="E108" s="8">
        <f>Population!K105</f>
        <v>-65056.338028169004</v>
      </c>
      <c r="F108" s="174">
        <f>Solidarité!I102</f>
        <v>-75930.492721281698</v>
      </c>
      <c r="G108" s="8">
        <f>DT!O102</f>
        <v>-87302.063194651506</v>
      </c>
      <c r="H108" s="174">
        <f>Effort!K102+Aide!I102+Taux!J102</f>
        <v>0</v>
      </c>
      <c r="I108" s="240">
        <f t="shared" si="4"/>
        <v>-228288.89394410222</v>
      </c>
      <c r="J108" s="300">
        <f t="shared" si="5"/>
        <v>373311.53186527587</v>
      </c>
      <c r="K108" s="406">
        <f t="shared" si="6"/>
        <v>145022.63792117365</v>
      </c>
    </row>
    <row r="109" spans="1:11" x14ac:dyDescent="0.25">
      <c r="A109" s="38">
        <f>Données!A103</f>
        <v>5566</v>
      </c>
      <c r="B109" s="27" t="str">
        <f>Données!B103</f>
        <v>Provence</v>
      </c>
      <c r="C109" s="26">
        <f>Ecrêtage!C103</f>
        <v>8528.7641152263368</v>
      </c>
      <c r="D109" s="12">
        <f>Données!Z103</f>
        <v>403</v>
      </c>
      <c r="E109" s="8">
        <f>Population!K106</f>
        <v>-52858.274647887316</v>
      </c>
      <c r="F109" s="174">
        <f>Solidarité!I103</f>
        <v>-282146.56293758878</v>
      </c>
      <c r="G109" s="8">
        <f>DT!O103</f>
        <v>-327360.44314277678</v>
      </c>
      <c r="H109" s="174">
        <f>Effort!K103+Aide!I103+Taux!J103</f>
        <v>0</v>
      </c>
      <c r="I109" s="240">
        <f t="shared" si="4"/>
        <v>-662365.28072825284</v>
      </c>
      <c r="J109" s="300">
        <f t="shared" si="5"/>
        <v>167194.18204796506</v>
      </c>
      <c r="K109" s="406">
        <f t="shared" si="6"/>
        <v>-495171.09868028777</v>
      </c>
    </row>
    <row r="110" spans="1:11" x14ac:dyDescent="0.25">
      <c r="A110" s="38">
        <f>Données!A104</f>
        <v>5568</v>
      </c>
      <c r="B110" s="27" t="str">
        <f>Données!B104</f>
        <v>Sainte-Croix</v>
      </c>
      <c r="C110" s="26">
        <f>Ecrêtage!C104</f>
        <v>106003.06099999999</v>
      </c>
      <c r="D110" s="12">
        <f>Données!Z104</f>
        <v>4869</v>
      </c>
      <c r="E110" s="8">
        <f>Population!K107</f>
        <v>-1846235.9154929575</v>
      </c>
      <c r="F110" s="174">
        <f>Solidarité!I104</f>
        <v>-2488008.4733765288</v>
      </c>
      <c r="G110" s="8">
        <f>DT!O104</f>
        <v>-1846348.5961377472</v>
      </c>
      <c r="H110" s="174">
        <f>Effort!K104+Aide!I104+Taux!J104</f>
        <v>0</v>
      </c>
      <c r="I110" s="240">
        <f t="shared" si="4"/>
        <v>-6180592.9850072339</v>
      </c>
      <c r="J110" s="300">
        <f t="shared" si="5"/>
        <v>2078037.9008061248</v>
      </c>
      <c r="K110" s="406">
        <f t="shared" si="6"/>
        <v>-4102555.0842011091</v>
      </c>
    </row>
    <row r="111" spans="1:11" x14ac:dyDescent="0.25">
      <c r="A111" s="38">
        <f>Données!A105</f>
        <v>5571</v>
      </c>
      <c r="B111" s="27" t="str">
        <f>Données!B105</f>
        <v>Tévenon</v>
      </c>
      <c r="C111" s="26">
        <f>Ecrêtage!C105</f>
        <v>25906.923962703961</v>
      </c>
      <c r="D111" s="12">
        <f>Données!Z105</f>
        <v>867</v>
      </c>
      <c r="E111" s="8">
        <f>Population!K108</f>
        <v>-113717.42957746476</v>
      </c>
      <c r="F111" s="174">
        <f>Solidarité!I105</f>
        <v>-318801.04413127917</v>
      </c>
      <c r="G111" s="8">
        <f>DT!O105</f>
        <v>-177813.77338498621</v>
      </c>
      <c r="H111" s="174">
        <f>Effort!K105+Aide!I105+Taux!J105</f>
        <v>0</v>
      </c>
      <c r="I111" s="240">
        <f t="shared" si="4"/>
        <v>-610332.24709373014</v>
      </c>
      <c r="J111" s="300">
        <f t="shared" si="5"/>
        <v>507868.06890228612</v>
      </c>
      <c r="K111" s="406">
        <f t="shared" si="6"/>
        <v>-102464.17819144402</v>
      </c>
    </row>
    <row r="112" spans="1:11" x14ac:dyDescent="0.25">
      <c r="A112" s="38">
        <f>Données!A106</f>
        <v>5581</v>
      </c>
      <c r="B112" s="27" t="str">
        <f>Données!B106</f>
        <v>Belmont-sur-Lausanne</v>
      </c>
      <c r="C112" s="26">
        <f>Ecrêtage!C106</f>
        <v>233667.07055555552</v>
      </c>
      <c r="D112" s="12">
        <f>Données!Z106</f>
        <v>3835</v>
      </c>
      <c r="E112" s="8">
        <f>Population!K109</f>
        <v>-1303749.9999999998</v>
      </c>
      <c r="F112" s="174">
        <f>Solidarité!I106</f>
        <v>0</v>
      </c>
      <c r="G112" s="8">
        <f>DT!O106</f>
        <v>-1068856.2959010634</v>
      </c>
      <c r="H112" s="174">
        <f>Effort!K106+Aide!I106+Taux!J106</f>
        <v>0</v>
      </c>
      <c r="I112" s="240">
        <f t="shared" si="4"/>
        <v>-2372606.2959010629</v>
      </c>
      <c r="J112" s="300">
        <f t="shared" si="5"/>
        <v>4580707.6154601164</v>
      </c>
      <c r="K112" s="406">
        <f t="shared" si="6"/>
        <v>2208101.3195590535</v>
      </c>
    </row>
    <row r="113" spans="1:11" x14ac:dyDescent="0.25">
      <c r="A113" s="38">
        <f>Données!A107</f>
        <v>5582</v>
      </c>
      <c r="B113" s="27" t="str">
        <f>Données!B107</f>
        <v>Cheseaux-sur-Lausanne</v>
      </c>
      <c r="C113" s="26">
        <f>Ecrêtage!C107</f>
        <v>170421.56630136984</v>
      </c>
      <c r="D113" s="12">
        <f>Données!Z107</f>
        <v>4525</v>
      </c>
      <c r="E113" s="8">
        <f>Population!K110</f>
        <v>-1665757.0422535208</v>
      </c>
      <c r="F113" s="174">
        <f>Solidarité!I107</f>
        <v>-985813.65373750788</v>
      </c>
      <c r="G113" s="8">
        <f>DT!O107</f>
        <v>-475333.68002941395</v>
      </c>
      <c r="H113" s="174">
        <f>Effort!K107+Aide!I107+Taux!J107</f>
        <v>0</v>
      </c>
      <c r="I113" s="240">
        <f t="shared" si="4"/>
        <v>-3126904.3760204427</v>
      </c>
      <c r="J113" s="300">
        <f t="shared" si="5"/>
        <v>3340870.2592936484</v>
      </c>
      <c r="K113" s="406">
        <f t="shared" si="6"/>
        <v>213965.88327320572</v>
      </c>
    </row>
    <row r="114" spans="1:11" x14ac:dyDescent="0.25">
      <c r="A114" s="38">
        <f>Données!A108</f>
        <v>5583</v>
      </c>
      <c r="B114" s="27" t="str">
        <f>Données!B108</f>
        <v>Crissier</v>
      </c>
      <c r="C114" s="26">
        <f>Ecrêtage!C108</f>
        <v>340450.32850393705</v>
      </c>
      <c r="D114" s="12">
        <f>Données!Z108</f>
        <v>9161</v>
      </c>
      <c r="E114" s="8">
        <f>Population!K111</f>
        <v>-4576870.7746478869</v>
      </c>
      <c r="F114" s="174">
        <f>Solidarité!I108</f>
        <v>-1583726.3510960438</v>
      </c>
      <c r="G114" s="8">
        <f>DT!O108</f>
        <v>-3503819.3259430327</v>
      </c>
      <c r="H114" s="174">
        <f>Effort!K108+Aide!I108+Taux!J108</f>
        <v>0</v>
      </c>
      <c r="I114" s="240">
        <f t="shared" si="4"/>
        <v>-9664416.4516869634</v>
      </c>
      <c r="J114" s="300">
        <f t="shared" si="5"/>
        <v>6674040.157888243</v>
      </c>
      <c r="K114" s="406">
        <f t="shared" si="6"/>
        <v>-2990376.2937987205</v>
      </c>
    </row>
    <row r="115" spans="1:11" x14ac:dyDescent="0.25">
      <c r="A115" s="38">
        <f>Données!A109</f>
        <v>5584</v>
      </c>
      <c r="B115" s="27" t="str">
        <f>Données!B109</f>
        <v>Epalinges</v>
      </c>
      <c r="C115" s="26">
        <f>Ecrêtage!C109</f>
        <v>489743.06325581396</v>
      </c>
      <c r="D115" s="12">
        <f>Données!Z109</f>
        <v>9825</v>
      </c>
      <c r="E115" s="8">
        <f>Population!K112</f>
        <v>-5169093.3098591538</v>
      </c>
      <c r="F115" s="174">
        <f>Solidarité!I109</f>
        <v>0</v>
      </c>
      <c r="G115" s="8">
        <f>DT!O109</f>
        <v>-4359978.4322972773</v>
      </c>
      <c r="H115" s="174">
        <f>Effort!K109+Aide!I109+Taux!J109</f>
        <v>0</v>
      </c>
      <c r="I115" s="240">
        <f t="shared" si="4"/>
        <v>-9529071.7421564311</v>
      </c>
      <c r="J115" s="300">
        <f t="shared" si="5"/>
        <v>9600709.9936715309</v>
      </c>
      <c r="K115" s="406">
        <f t="shared" si="6"/>
        <v>71638.251515099779</v>
      </c>
    </row>
    <row r="116" spans="1:11" x14ac:dyDescent="0.25">
      <c r="A116" s="38">
        <f>Données!A110</f>
        <v>5585</v>
      </c>
      <c r="B116" s="27" t="str">
        <f>Données!B110</f>
        <v>Jouxtens-Mézery</v>
      </c>
      <c r="C116" s="26">
        <f>Ecrêtage!C110</f>
        <v>210572.62440677959</v>
      </c>
      <c r="D116" s="12">
        <f>Données!Z110</f>
        <v>1468</v>
      </c>
      <c r="E116" s="8">
        <f>Population!K113</f>
        <v>-303036.61971830984</v>
      </c>
      <c r="F116" s="174">
        <f>Solidarité!I110</f>
        <v>0</v>
      </c>
      <c r="G116" s="8">
        <f>DT!O110</f>
        <v>0</v>
      </c>
      <c r="H116" s="174">
        <f>Effort!K110+Aide!I110+Taux!J110</f>
        <v>0</v>
      </c>
      <c r="I116" s="240">
        <f t="shared" si="4"/>
        <v>-303036.61971830984</v>
      </c>
      <c r="J116" s="300">
        <f t="shared" si="5"/>
        <v>4127974.1383081465</v>
      </c>
      <c r="K116" s="406">
        <f t="shared" si="6"/>
        <v>3824937.5185898365</v>
      </c>
    </row>
    <row r="117" spans="1:11" x14ac:dyDescent="0.25">
      <c r="A117" s="38">
        <f>Données!A111</f>
        <v>5586</v>
      </c>
      <c r="B117" s="27" t="str">
        <f>Données!B111</f>
        <v>Lausanne</v>
      </c>
      <c r="C117" s="26">
        <f>Ecrêtage!C111</f>
        <v>6670835.0290021216</v>
      </c>
      <c r="D117" s="12">
        <f>Données!Z111</f>
        <v>141513</v>
      </c>
      <c r="E117" s="8">
        <f>Population!K114</f>
        <v>-149643900.35211268</v>
      </c>
      <c r="F117" s="174">
        <f>Solidarité!I111</f>
        <v>-2677591.7875386933</v>
      </c>
      <c r="G117" s="8">
        <f>DT!O111</f>
        <v>-48376827.471933357</v>
      </c>
      <c r="H117" s="174">
        <f>Effort!K111+Aide!I111+Taux!J111</f>
        <v>0</v>
      </c>
      <c r="I117" s="240">
        <f t="shared" si="4"/>
        <v>-200698319.61158475</v>
      </c>
      <c r="J117" s="300">
        <f t="shared" si="5"/>
        <v>130772148.36552253</v>
      </c>
      <c r="K117" s="406">
        <f t="shared" si="6"/>
        <v>-69926171.246062219</v>
      </c>
    </row>
    <row r="118" spans="1:11" x14ac:dyDescent="0.25">
      <c r="A118" s="38">
        <f>Données!A112</f>
        <v>5587</v>
      </c>
      <c r="B118" s="27" t="str">
        <f>Données!B112</f>
        <v>Le Mont-sur-Lausanne</v>
      </c>
      <c r="C118" s="26">
        <f>Ecrêtage!C112</f>
        <v>484022.6825170067</v>
      </c>
      <c r="D118" s="12">
        <f>Données!Z112</f>
        <v>9297</v>
      </c>
      <c r="E118" s="8">
        <f>Population!K115</f>
        <v>-4698169.3661971819</v>
      </c>
      <c r="F118" s="174">
        <f>Solidarité!I112</f>
        <v>0</v>
      </c>
      <c r="G118" s="8">
        <f>DT!O112</f>
        <v>-2379918.8218067936</v>
      </c>
      <c r="H118" s="174">
        <f>Effort!K112+Aide!I112+Taux!J112</f>
        <v>0</v>
      </c>
      <c r="I118" s="240">
        <f t="shared" si="4"/>
        <v>-7078088.1880039759</v>
      </c>
      <c r="J118" s="300">
        <f t="shared" si="5"/>
        <v>9488570.1378018707</v>
      </c>
      <c r="K118" s="406">
        <f t="shared" si="6"/>
        <v>2410481.9497978948</v>
      </c>
    </row>
    <row r="119" spans="1:11" x14ac:dyDescent="0.25">
      <c r="A119" s="38">
        <f>Données!A113</f>
        <v>5588</v>
      </c>
      <c r="B119" s="27" t="str">
        <f>Données!B113</f>
        <v>Paudex</v>
      </c>
      <c r="C119" s="26">
        <f>Ecrêtage!C113</f>
        <v>137544.82844253487</v>
      </c>
      <c r="D119" s="12">
        <f>Données!Z113</f>
        <v>1550</v>
      </c>
      <c r="E119" s="8">
        <f>Population!K116</f>
        <v>-333151.40845070418</v>
      </c>
      <c r="F119" s="174">
        <f>Solidarité!I113</f>
        <v>0</v>
      </c>
      <c r="G119" s="8">
        <f>DT!O113</f>
        <v>0</v>
      </c>
      <c r="H119" s="174">
        <f>Effort!K113+Aide!I113+Taux!J113</f>
        <v>0</v>
      </c>
      <c r="I119" s="240">
        <f t="shared" si="4"/>
        <v>-333151.40845070418</v>
      </c>
      <c r="J119" s="300">
        <f t="shared" si="5"/>
        <v>2696368.990358342</v>
      </c>
      <c r="K119" s="406">
        <f t="shared" si="6"/>
        <v>2363217.5819076379</v>
      </c>
    </row>
    <row r="120" spans="1:11" x14ac:dyDescent="0.25">
      <c r="A120" s="38">
        <f>Données!A114</f>
        <v>5589</v>
      </c>
      <c r="B120" s="27" t="str">
        <f>Données!B114</f>
        <v>Prilly</v>
      </c>
      <c r="C120" s="26">
        <f>Ecrêtage!C114</f>
        <v>404173.00015915121</v>
      </c>
      <c r="D120" s="12">
        <f>Données!Z114</f>
        <v>12318</v>
      </c>
      <c r="E120" s="8">
        <f>Population!K117</f>
        <v>-7442654.9295774633</v>
      </c>
      <c r="F120" s="174">
        <f>Solidarité!I114</f>
        <v>-3899982.4038195312</v>
      </c>
      <c r="G120" s="8">
        <f>DT!O114</f>
        <v>-3377514.0971668437</v>
      </c>
      <c r="H120" s="174">
        <f>Effort!K114+Aide!I114+Taux!J114</f>
        <v>0</v>
      </c>
      <c r="I120" s="240">
        <f t="shared" si="4"/>
        <v>-14720151.430563837</v>
      </c>
      <c r="J120" s="300">
        <f t="shared" si="5"/>
        <v>7923231.6962359818</v>
      </c>
      <c r="K120" s="406">
        <f t="shared" si="6"/>
        <v>-6796919.7343278555</v>
      </c>
    </row>
    <row r="121" spans="1:11" x14ac:dyDescent="0.25">
      <c r="A121" s="38">
        <f>Données!A115</f>
        <v>5590</v>
      </c>
      <c r="B121" s="27" t="str">
        <f>Données!B115</f>
        <v>Pully</v>
      </c>
      <c r="C121" s="26">
        <f>Ecrêtage!C115</f>
        <v>1396409.3683606556</v>
      </c>
      <c r="D121" s="12">
        <f>Données!Z115</f>
        <v>19005</v>
      </c>
      <c r="E121" s="8">
        <f>Population!K118</f>
        <v>-14669417.253521126</v>
      </c>
      <c r="F121" s="174">
        <f>Solidarité!I115</f>
        <v>0</v>
      </c>
      <c r="G121" s="8">
        <f>DT!O115</f>
        <v>-4435766.2890721178</v>
      </c>
      <c r="H121" s="174">
        <f>Effort!K115+Aide!I115+Taux!J115</f>
        <v>0</v>
      </c>
      <c r="I121" s="240">
        <f t="shared" si="4"/>
        <v>-19105183.542593244</v>
      </c>
      <c r="J121" s="300">
        <f t="shared" si="5"/>
        <v>27374601.875828698</v>
      </c>
      <c r="K121" s="406">
        <f t="shared" si="6"/>
        <v>8269418.3332354538</v>
      </c>
    </row>
    <row r="122" spans="1:11" x14ac:dyDescent="0.25">
      <c r="A122" s="38">
        <f>Données!A116</f>
        <v>5591</v>
      </c>
      <c r="B122" s="27" t="str">
        <f>Données!B116</f>
        <v>Renens</v>
      </c>
      <c r="C122" s="26">
        <f>Ecrêtage!C116</f>
        <v>592837.71432282007</v>
      </c>
      <c r="D122" s="12">
        <f>Données!Z116</f>
        <v>21116</v>
      </c>
      <c r="E122" s="8">
        <f>Population!K119</f>
        <v>-16995233.802816898</v>
      </c>
      <c r="F122" s="174">
        <f>Solidarité!I116</f>
        <v>-9906971.680944128</v>
      </c>
      <c r="G122" s="8">
        <f>DT!O116</f>
        <v>-7426992.7976502273</v>
      </c>
      <c r="H122" s="174">
        <f>Effort!K116+Aide!I116+Taux!J116</f>
        <v>0</v>
      </c>
      <c r="I122" s="240">
        <f t="shared" si="4"/>
        <v>-34329198.281411253</v>
      </c>
      <c r="J122" s="300">
        <f t="shared" si="5"/>
        <v>11621732.691191759</v>
      </c>
      <c r="K122" s="406">
        <f t="shared" si="6"/>
        <v>-22707465.590219494</v>
      </c>
    </row>
    <row r="123" spans="1:11" x14ac:dyDescent="0.25">
      <c r="A123" s="38">
        <f>Données!A117</f>
        <v>5592</v>
      </c>
      <c r="B123" s="27" t="str">
        <f>Données!B117</f>
        <v>Romanel-sur-Lausanne</v>
      </c>
      <c r="C123" s="26">
        <f>Ecrêtage!C117</f>
        <v>113600.3384397163</v>
      </c>
      <c r="D123" s="12">
        <f>Données!Z117</f>
        <v>3798</v>
      </c>
      <c r="E123" s="8">
        <f>Population!K120</f>
        <v>-1284338.0281690138</v>
      </c>
      <c r="F123" s="174">
        <f>Solidarité!I117</f>
        <v>-1355537.5621760329</v>
      </c>
      <c r="G123" s="8">
        <f>DT!O117</f>
        <v>-325464.63560810371</v>
      </c>
      <c r="H123" s="174">
        <f>Effort!K117+Aide!I117+Taux!J117</f>
        <v>0</v>
      </c>
      <c r="I123" s="240">
        <f t="shared" si="4"/>
        <v>-2965340.2259531501</v>
      </c>
      <c r="J123" s="300">
        <f t="shared" si="5"/>
        <v>2226971.6232263651</v>
      </c>
      <c r="K123" s="406">
        <f t="shared" si="6"/>
        <v>-738368.602726785</v>
      </c>
    </row>
    <row r="124" spans="1:11" x14ac:dyDescent="0.25">
      <c r="A124" s="38">
        <f>Données!A118</f>
        <v>5601</v>
      </c>
      <c r="B124" s="27" t="str">
        <f>Données!B118</f>
        <v>Chexbres</v>
      </c>
      <c r="C124" s="26">
        <f>Ecrêtage!C118</f>
        <v>106014.1851851852</v>
      </c>
      <c r="D124" s="12">
        <f>Données!Z118</f>
        <v>2204</v>
      </c>
      <c r="E124" s="8">
        <f>Population!K121</f>
        <v>-573335.21126760554</v>
      </c>
      <c r="F124" s="174">
        <f>Solidarité!I118</f>
        <v>0</v>
      </c>
      <c r="G124" s="8">
        <f>DT!O118</f>
        <v>-350821.89452023496</v>
      </c>
      <c r="H124" s="174">
        <f>Effort!K118+Aide!I118+Taux!J118</f>
        <v>0</v>
      </c>
      <c r="I124" s="240">
        <f t="shared" si="4"/>
        <v>-924157.10578784044</v>
      </c>
      <c r="J124" s="300">
        <f t="shared" si="5"/>
        <v>2078255.9744939257</v>
      </c>
      <c r="K124" s="406">
        <f t="shared" si="6"/>
        <v>1154098.8687060853</v>
      </c>
    </row>
    <row r="125" spans="1:11" x14ac:dyDescent="0.25">
      <c r="A125" s="38">
        <f>Données!A119</f>
        <v>5604</v>
      </c>
      <c r="B125" s="27" t="str">
        <f>Données!B119</f>
        <v>Forel (Lavaux)</v>
      </c>
      <c r="C125" s="26">
        <f>Ecrêtage!C119</f>
        <v>70958.245217391304</v>
      </c>
      <c r="D125" s="12">
        <f>Données!Z119</f>
        <v>2067</v>
      </c>
      <c r="E125" s="8">
        <f>Population!K122</f>
        <v>-523021.47887323936</v>
      </c>
      <c r="F125" s="174">
        <f>Solidarité!I119</f>
        <v>-533186.11306556512</v>
      </c>
      <c r="G125" s="8">
        <f>DT!O119</f>
        <v>-418415.67831154069</v>
      </c>
      <c r="H125" s="174">
        <f>Effort!K119+Aide!I119+Taux!J119</f>
        <v>0</v>
      </c>
      <c r="I125" s="240">
        <f t="shared" si="4"/>
        <v>-1474623.2702503451</v>
      </c>
      <c r="J125" s="300">
        <f t="shared" si="5"/>
        <v>1391034.5752792372</v>
      </c>
      <c r="K125" s="406">
        <f t="shared" si="6"/>
        <v>-83588.694971107878</v>
      </c>
    </row>
    <row r="126" spans="1:11" x14ac:dyDescent="0.25">
      <c r="A126" s="38">
        <f>Données!A120</f>
        <v>5606</v>
      </c>
      <c r="B126" s="27" t="str">
        <f>Données!B120</f>
        <v>Lutry</v>
      </c>
      <c r="C126" s="26">
        <f>Ecrêtage!C120</f>
        <v>1017485.9645767196</v>
      </c>
      <c r="D126" s="12">
        <f>Données!Z120</f>
        <v>10713</v>
      </c>
      <c r="E126" s="8">
        <f>Population!K123</f>
        <v>-5961101.7605633792</v>
      </c>
      <c r="F126" s="174">
        <f>Solidarité!I120</f>
        <v>0</v>
      </c>
      <c r="G126" s="8">
        <f>DT!O120</f>
        <v>-1940298.8829950441</v>
      </c>
      <c r="H126" s="174">
        <f>Effort!K120+Aide!I120+Taux!J120</f>
        <v>0</v>
      </c>
      <c r="I126" s="240">
        <f t="shared" si="4"/>
        <v>-7901400.643558423</v>
      </c>
      <c r="J126" s="300">
        <f t="shared" si="5"/>
        <v>19946352.284380745</v>
      </c>
      <c r="K126" s="406">
        <f t="shared" si="6"/>
        <v>12044951.640822321</v>
      </c>
    </row>
    <row r="127" spans="1:11" x14ac:dyDescent="0.25">
      <c r="A127" s="38">
        <f>Données!A121</f>
        <v>5607</v>
      </c>
      <c r="B127" s="27" t="str">
        <f>Données!B121</f>
        <v>Puidoux</v>
      </c>
      <c r="C127" s="26">
        <f>Ecrêtage!C121</f>
        <v>117488.86391621709</v>
      </c>
      <c r="D127" s="12">
        <f>Données!Z121</f>
        <v>2991</v>
      </c>
      <c r="E127" s="8">
        <f>Population!K124</f>
        <v>-862363.73239436606</v>
      </c>
      <c r="F127" s="174">
        <f>Solidarité!I121</f>
        <v>-483126.70858189813</v>
      </c>
      <c r="G127" s="8">
        <f>DT!O121</f>
        <v>-1056506.7663868368</v>
      </c>
      <c r="H127" s="174">
        <f>Effort!K121+Aide!I121+Taux!J121</f>
        <v>0</v>
      </c>
      <c r="I127" s="240">
        <f t="shared" si="4"/>
        <v>-2401997.2073631007</v>
      </c>
      <c r="J127" s="300">
        <f t="shared" si="5"/>
        <v>2303200.5853166091</v>
      </c>
      <c r="K127" s="406">
        <f t="shared" si="6"/>
        <v>-98796.622046491597</v>
      </c>
    </row>
    <row r="128" spans="1:11" x14ac:dyDescent="0.25">
      <c r="A128" s="38">
        <f>Données!A122</f>
        <v>5609</v>
      </c>
      <c r="B128" s="27" t="str">
        <f>Données!B122</f>
        <v>Rivaz</v>
      </c>
      <c r="C128" s="26">
        <f>Ecrêtage!C122</f>
        <v>14930.074677419358</v>
      </c>
      <c r="D128" s="12">
        <f>Données!Z122</f>
        <v>332</v>
      </c>
      <c r="E128" s="8">
        <f>Population!K125</f>
        <v>-43545.774647887316</v>
      </c>
      <c r="F128" s="174">
        <f>Solidarité!I122</f>
        <v>-14963.964555820319</v>
      </c>
      <c r="G128" s="8">
        <f>DT!O122</f>
        <v>-74419.185309940818</v>
      </c>
      <c r="H128" s="174">
        <f>Effort!K122+Aide!I122+Taux!J122</f>
        <v>0</v>
      </c>
      <c r="I128" s="240">
        <f t="shared" si="4"/>
        <v>-132928.92451364844</v>
      </c>
      <c r="J128" s="300">
        <f t="shared" si="5"/>
        <v>292682.68999838794</v>
      </c>
      <c r="K128" s="406">
        <f t="shared" si="6"/>
        <v>159753.7654847395</v>
      </c>
    </row>
    <row r="129" spans="1:11" x14ac:dyDescent="0.25">
      <c r="A129" s="38">
        <f>Données!A123</f>
        <v>5610</v>
      </c>
      <c r="B129" s="27" t="str">
        <f>Données!B123</f>
        <v>St-Saphorin (Lavaux)</v>
      </c>
      <c r="C129" s="26">
        <f>Ecrêtage!C123</f>
        <v>21326.365740740741</v>
      </c>
      <c r="D129" s="12">
        <f>Données!Z123</f>
        <v>402</v>
      </c>
      <c r="E129" s="8">
        <f>Population!K126</f>
        <v>-52727.112676056327</v>
      </c>
      <c r="F129" s="174">
        <f>Solidarité!I123</f>
        <v>0</v>
      </c>
      <c r="G129" s="8">
        <f>DT!O123</f>
        <v>-6972.9198425400582</v>
      </c>
      <c r="H129" s="174">
        <f>Effort!K123+Aide!I123+Taux!J123</f>
        <v>0</v>
      </c>
      <c r="I129" s="240">
        <f t="shared" si="4"/>
        <v>-59700.032518596388</v>
      </c>
      <c r="J129" s="300">
        <f t="shared" si="5"/>
        <v>418072.79787620989</v>
      </c>
      <c r="K129" s="406">
        <f t="shared" si="6"/>
        <v>358372.76535761351</v>
      </c>
    </row>
    <row r="130" spans="1:11" x14ac:dyDescent="0.25">
      <c r="A130" s="38">
        <f>Données!A124</f>
        <v>5611</v>
      </c>
      <c r="B130" s="27" t="str">
        <f>Données!B124</f>
        <v>Savigny</v>
      </c>
      <c r="C130" s="26">
        <f>Ecrêtage!C124</f>
        <v>139625.83456521737</v>
      </c>
      <c r="D130" s="12">
        <f>Données!Z124</f>
        <v>3421</v>
      </c>
      <c r="E130" s="8">
        <f>Population!K127</f>
        <v>-1086545.7746478871</v>
      </c>
      <c r="F130" s="174">
        <f>Solidarité!I124</f>
        <v>-461026.77954024583</v>
      </c>
      <c r="G130" s="8">
        <f>DT!O124</f>
        <v>-751868.74201365549</v>
      </c>
      <c r="H130" s="174">
        <f>Effort!K124+Aide!I124+Taux!J124</f>
        <v>0</v>
      </c>
      <c r="I130" s="240">
        <f t="shared" si="4"/>
        <v>-2299441.2962017884</v>
      </c>
      <c r="J130" s="300">
        <f t="shared" si="5"/>
        <v>2737164.1292340378</v>
      </c>
      <c r="K130" s="406">
        <f t="shared" si="6"/>
        <v>437722.83303224947</v>
      </c>
    </row>
    <row r="131" spans="1:11" x14ac:dyDescent="0.25">
      <c r="A131" s="38">
        <f>Données!A125</f>
        <v>5613</v>
      </c>
      <c r="B131" s="27" t="str">
        <f>Données!B125</f>
        <v>Bourg-en-Lavaux</v>
      </c>
      <c r="C131" s="26">
        <f>Ecrêtage!C125</f>
        <v>367203.96533333336</v>
      </c>
      <c r="D131" s="12">
        <f>Données!Z125</f>
        <v>5389</v>
      </c>
      <c r="E131" s="8">
        <f>Population!K128</f>
        <v>-2159870.4225352108</v>
      </c>
      <c r="F131" s="174">
        <f>Solidarité!I125</f>
        <v>0</v>
      </c>
      <c r="G131" s="8">
        <f>DT!O125</f>
        <v>0</v>
      </c>
      <c r="H131" s="174">
        <f>Effort!K125+Aide!I125+Taux!J125</f>
        <v>0</v>
      </c>
      <c r="I131" s="240">
        <f t="shared" si="4"/>
        <v>-2159870.4225352108</v>
      </c>
      <c r="J131" s="300">
        <f t="shared" si="5"/>
        <v>7198506.8175433641</v>
      </c>
      <c r="K131" s="406">
        <f t="shared" si="6"/>
        <v>5038636.3950081533</v>
      </c>
    </row>
    <row r="132" spans="1:11" x14ac:dyDescent="0.25">
      <c r="A132" s="38">
        <f>Données!A126</f>
        <v>5621</v>
      </c>
      <c r="B132" s="27" t="str">
        <f>Données!B126</f>
        <v>Aclens</v>
      </c>
      <c r="C132" s="26">
        <f>Ecrêtage!C126</f>
        <v>39195.040043988265</v>
      </c>
      <c r="D132" s="12">
        <f>Données!Z126</f>
        <v>557</v>
      </c>
      <c r="E132" s="8">
        <f>Population!K129</f>
        <v>-73057.218309859149</v>
      </c>
      <c r="F132" s="174">
        <f>Solidarité!I126</f>
        <v>0</v>
      </c>
      <c r="G132" s="8">
        <f>DT!O126</f>
        <v>0</v>
      </c>
      <c r="H132" s="174">
        <f>Effort!K126+Aide!I126+Taux!J126</f>
        <v>0</v>
      </c>
      <c r="I132" s="240">
        <f t="shared" si="4"/>
        <v>-73057.218309859149</v>
      </c>
      <c r="J132" s="300">
        <f t="shared" si="5"/>
        <v>768362.51676752418</v>
      </c>
      <c r="K132" s="406">
        <f t="shared" si="6"/>
        <v>695305.29845766502</v>
      </c>
    </row>
    <row r="133" spans="1:11" x14ac:dyDescent="0.25">
      <c r="A133" s="38">
        <f>Données!A127</f>
        <v>5622</v>
      </c>
      <c r="B133" s="27" t="str">
        <f>Données!B127</f>
        <v>Bremblens</v>
      </c>
      <c r="C133" s="26">
        <f>Ecrêtage!C127</f>
        <v>30851.898676470591</v>
      </c>
      <c r="D133" s="12">
        <f>Données!Z127</f>
        <v>604</v>
      </c>
      <c r="E133" s="8">
        <f>Population!K130</f>
        <v>-79221.830985915483</v>
      </c>
      <c r="F133" s="174">
        <f>Solidarité!I127</f>
        <v>0</v>
      </c>
      <c r="G133" s="8">
        <f>DT!O127</f>
        <v>0</v>
      </c>
      <c r="H133" s="174">
        <f>Effort!K127+Aide!I127+Taux!J127</f>
        <v>0</v>
      </c>
      <c r="I133" s="240">
        <f t="shared" si="4"/>
        <v>-79221.830985915483</v>
      </c>
      <c r="J133" s="300">
        <f t="shared" si="5"/>
        <v>604807.20232726308</v>
      </c>
      <c r="K133" s="406">
        <f t="shared" si="6"/>
        <v>525585.37134134758</v>
      </c>
    </row>
    <row r="134" spans="1:11" x14ac:dyDescent="0.25">
      <c r="A134" s="38">
        <f>Données!A128</f>
        <v>5623</v>
      </c>
      <c r="B134" s="27" t="str">
        <f>Données!B128</f>
        <v>Buchillon</v>
      </c>
      <c r="C134" s="26">
        <f>Ecrêtage!C128</f>
        <v>88400.607692307691</v>
      </c>
      <c r="D134" s="12">
        <f>Données!Z128</f>
        <v>670</v>
      </c>
      <c r="E134" s="8">
        <f>Population!K131</f>
        <v>-87878.521126760548</v>
      </c>
      <c r="F134" s="174">
        <f>Solidarité!I128</f>
        <v>0</v>
      </c>
      <c r="G134" s="8">
        <f>DT!O128</f>
        <v>0</v>
      </c>
      <c r="H134" s="174">
        <f>Effort!K128+Aide!I128+Taux!J128</f>
        <v>0</v>
      </c>
      <c r="I134" s="240">
        <f t="shared" si="4"/>
        <v>-87878.521126760548</v>
      </c>
      <c r="J134" s="300">
        <f t="shared" si="5"/>
        <v>1732967.0625163254</v>
      </c>
      <c r="K134" s="406">
        <f t="shared" si="6"/>
        <v>1645088.5413895648</v>
      </c>
    </row>
    <row r="135" spans="1:11" x14ac:dyDescent="0.25">
      <c r="A135" s="38">
        <f>Données!A129</f>
        <v>5624</v>
      </c>
      <c r="B135" s="27" t="str">
        <f>Données!B129</f>
        <v>Bussigny</v>
      </c>
      <c r="C135" s="26">
        <f>Ecrêtage!C129</f>
        <v>394274.86895999993</v>
      </c>
      <c r="D135" s="12">
        <f>Données!Z129</f>
        <v>10392</v>
      </c>
      <c r="E135" s="8">
        <f>Population!K132</f>
        <v>-5674801.4084507031</v>
      </c>
      <c r="F135" s="174">
        <f>Solidarité!I129</f>
        <v>-1614522.2580315815</v>
      </c>
      <c r="G135" s="8">
        <f>DT!O129</f>
        <v>-2622216.6449354501</v>
      </c>
      <c r="H135" s="174">
        <f>Effort!K129+Aide!I129+Taux!J129</f>
        <v>0</v>
      </c>
      <c r="I135" s="240">
        <f t="shared" si="4"/>
        <v>-9911540.3114177343</v>
      </c>
      <c r="J135" s="300">
        <f t="shared" si="5"/>
        <v>7729193.0374939675</v>
      </c>
      <c r="K135" s="406">
        <f t="shared" si="6"/>
        <v>-2182347.2739237668</v>
      </c>
    </row>
    <row r="136" spans="1:11" x14ac:dyDescent="0.25">
      <c r="A136" s="38">
        <f>Données!A130</f>
        <v>5627</v>
      </c>
      <c r="B136" s="27" t="str">
        <f>Données!B130</f>
        <v>Chavannes-près-Renens</v>
      </c>
      <c r="C136" s="26">
        <f>Ecrêtage!C130</f>
        <v>188678.11200000002</v>
      </c>
      <c r="D136" s="12">
        <f>Données!Z130</f>
        <v>8725</v>
      </c>
      <c r="E136" s="8">
        <f>Population!K133</f>
        <v>-4260140.8450704217</v>
      </c>
      <c r="F136" s="174">
        <f>Solidarité!I130</f>
        <v>-5495461.6844473323</v>
      </c>
      <c r="G136" s="8">
        <f>DT!O130</f>
        <v>-2306015.0712777539</v>
      </c>
      <c r="H136" s="174">
        <f>Effort!K130+Aide!I130+Taux!J130</f>
        <v>819466.69623950077</v>
      </c>
      <c r="I136" s="240">
        <f t="shared" si="4"/>
        <v>-11242150.904556008</v>
      </c>
      <c r="J136" s="300">
        <f t="shared" si="5"/>
        <v>3698763.640311698</v>
      </c>
      <c r="K136" s="406">
        <f t="shared" si="6"/>
        <v>-7543387.2642443106</v>
      </c>
    </row>
    <row r="137" spans="1:11" x14ac:dyDescent="0.25">
      <c r="A137" s="38">
        <f>Données!A131</f>
        <v>5628</v>
      </c>
      <c r="B137" s="27" t="str">
        <f>Données!B131</f>
        <v>Chigny</v>
      </c>
      <c r="C137" s="26">
        <f>Ecrêtage!C131</f>
        <v>27627.246129032257</v>
      </c>
      <c r="D137" s="12">
        <f>Données!Z131</f>
        <v>419</v>
      </c>
      <c r="E137" s="8">
        <f>Population!K134</f>
        <v>-54956.866197183088</v>
      </c>
      <c r="F137" s="174">
        <f>Solidarité!I131</f>
        <v>0</v>
      </c>
      <c r="G137" s="8">
        <f>DT!O131</f>
        <v>0</v>
      </c>
      <c r="H137" s="174">
        <f>Effort!K131+Aide!I131+Taux!J131</f>
        <v>0</v>
      </c>
      <c r="I137" s="240">
        <f t="shared" si="4"/>
        <v>-54956.866197183088</v>
      </c>
      <c r="J137" s="300">
        <f t="shared" si="5"/>
        <v>541592.51638052543</v>
      </c>
      <c r="K137" s="406">
        <f t="shared" si="6"/>
        <v>486635.65018334234</v>
      </c>
    </row>
    <row r="138" spans="1:11" x14ac:dyDescent="0.25">
      <c r="A138" s="38">
        <f>Données!A132</f>
        <v>5629</v>
      </c>
      <c r="B138" s="27" t="str">
        <f>Données!B132</f>
        <v>Clarmont</v>
      </c>
      <c r="C138" s="26">
        <f>Ecrêtage!C132</f>
        <v>9964.5079166666674</v>
      </c>
      <c r="D138" s="12">
        <f>Données!Z132</f>
        <v>213</v>
      </c>
      <c r="E138" s="8">
        <f>Population!K135</f>
        <v>-27937.499999999996</v>
      </c>
      <c r="F138" s="174">
        <f>Solidarité!I132</f>
        <v>-4966.032605348938</v>
      </c>
      <c r="G138" s="8">
        <f>DT!O132</f>
        <v>-52867.82528975181</v>
      </c>
      <c r="H138" s="174">
        <f>Effort!K132+Aide!I132+Taux!J132</f>
        <v>0</v>
      </c>
      <c r="I138" s="240">
        <f t="shared" si="4"/>
        <v>-85771.357895100751</v>
      </c>
      <c r="J138" s="300">
        <f t="shared" si="5"/>
        <v>195339.87904100257</v>
      </c>
      <c r="K138" s="406">
        <f t="shared" si="6"/>
        <v>109568.52114590182</v>
      </c>
    </row>
    <row r="139" spans="1:11" x14ac:dyDescent="0.25">
      <c r="A139" s="38">
        <f>Données!A133</f>
        <v>5631</v>
      </c>
      <c r="B139" s="27" t="str">
        <f>Données!B133</f>
        <v>Denens</v>
      </c>
      <c r="C139" s="26">
        <f>Ecrêtage!C133</f>
        <v>41714.033529411769</v>
      </c>
      <c r="D139" s="12">
        <f>Données!Z133</f>
        <v>715</v>
      </c>
      <c r="E139" s="8">
        <f>Population!K136</f>
        <v>-93780.809859154906</v>
      </c>
      <c r="F139" s="174">
        <f>Solidarité!I133</f>
        <v>0</v>
      </c>
      <c r="G139" s="8">
        <f>DT!O133</f>
        <v>0</v>
      </c>
      <c r="H139" s="174">
        <f>Effort!K133+Aide!I133+Taux!J133</f>
        <v>0</v>
      </c>
      <c r="I139" s="240">
        <f t="shared" si="4"/>
        <v>-93780.809859154906</v>
      </c>
      <c r="J139" s="300">
        <f t="shared" si="5"/>
        <v>817743.76939563232</v>
      </c>
      <c r="K139" s="406">
        <f t="shared" si="6"/>
        <v>723962.95953647746</v>
      </c>
    </row>
    <row r="140" spans="1:11" x14ac:dyDescent="0.25">
      <c r="A140" s="38">
        <f>Données!A134</f>
        <v>5632</v>
      </c>
      <c r="B140" s="27" t="str">
        <f>Données!B134</f>
        <v>Denges</v>
      </c>
      <c r="C140" s="26">
        <f>Ecrêtage!C134</f>
        <v>81638.998870967742</v>
      </c>
      <c r="D140" s="12">
        <f>Données!Z134</f>
        <v>1778</v>
      </c>
      <c r="E140" s="8">
        <f>Population!K137</f>
        <v>-416885.21126760554</v>
      </c>
      <c r="F140" s="174">
        <f>Solidarité!I134</f>
        <v>-54339.919173641727</v>
      </c>
      <c r="G140" s="8">
        <f>DT!O134</f>
        <v>-172337.78363602032</v>
      </c>
      <c r="H140" s="174">
        <f>Effort!K134+Aide!I134+Taux!J134</f>
        <v>0</v>
      </c>
      <c r="I140" s="240">
        <f t="shared" si="4"/>
        <v>-643562.91407726752</v>
      </c>
      <c r="J140" s="300">
        <f t="shared" si="5"/>
        <v>1600415.4242087351</v>
      </c>
      <c r="K140" s="406">
        <f t="shared" si="6"/>
        <v>956852.5101314676</v>
      </c>
    </row>
    <row r="141" spans="1:11" x14ac:dyDescent="0.25">
      <c r="A141" s="38">
        <f>Données!A135</f>
        <v>5633</v>
      </c>
      <c r="B141" s="27" t="str">
        <f>Données!B135</f>
        <v>Echandens</v>
      </c>
      <c r="C141" s="26">
        <f>Ecrêtage!C135</f>
        <v>149828.14198347108</v>
      </c>
      <c r="D141" s="12">
        <f>Données!Z135</f>
        <v>2891</v>
      </c>
      <c r="E141" s="8">
        <f>Population!K138</f>
        <v>-825638.38028169004</v>
      </c>
      <c r="F141" s="174">
        <f>Solidarité!I135</f>
        <v>0</v>
      </c>
      <c r="G141" s="8">
        <f>DT!O135</f>
        <v>-839344.32791264122</v>
      </c>
      <c r="H141" s="174">
        <f>Effort!K135+Aide!I135+Taux!J135</f>
        <v>0</v>
      </c>
      <c r="I141" s="240">
        <f t="shared" ref="I141:I204" si="7">SUM(E141:H141)</f>
        <v>-1664982.7081943313</v>
      </c>
      <c r="J141" s="300">
        <f t="shared" ref="J141:J204" si="8">C141*$J$11</f>
        <v>2937165.7262710016</v>
      </c>
      <c r="K141" s="406">
        <f t="shared" ref="K141:K204" si="9">I141+J141</f>
        <v>1272183.0180766704</v>
      </c>
    </row>
    <row r="142" spans="1:11" x14ac:dyDescent="0.25">
      <c r="A142" s="38">
        <f>Données!A136</f>
        <v>5634</v>
      </c>
      <c r="B142" s="27" t="str">
        <f>Données!B136</f>
        <v>Echichens</v>
      </c>
      <c r="C142" s="26">
        <f>Ecrêtage!C136</f>
        <v>183136.60893939398</v>
      </c>
      <c r="D142" s="12">
        <f>Données!Z136</f>
        <v>3211</v>
      </c>
      <c r="E142" s="8">
        <f>Population!K139</f>
        <v>-976369.71830985905</v>
      </c>
      <c r="F142" s="174">
        <f>Solidarité!I136</f>
        <v>0</v>
      </c>
      <c r="G142" s="8">
        <f>DT!O136</f>
        <v>-63231.909763283911</v>
      </c>
      <c r="H142" s="174">
        <f>Effort!K136+Aide!I136+Taux!J136</f>
        <v>0</v>
      </c>
      <c r="I142" s="240">
        <f t="shared" si="7"/>
        <v>-1039601.628073143</v>
      </c>
      <c r="J142" s="300">
        <f t="shared" si="8"/>
        <v>3590130.4246409498</v>
      </c>
      <c r="K142" s="406">
        <f t="shared" si="9"/>
        <v>2550528.796567807</v>
      </c>
    </row>
    <row r="143" spans="1:11" x14ac:dyDescent="0.25">
      <c r="A143" s="38">
        <f>Données!A137</f>
        <v>5635</v>
      </c>
      <c r="B143" s="27" t="str">
        <f>Données!B137</f>
        <v>Ecublens</v>
      </c>
      <c r="C143" s="26">
        <f>Ecrêtage!C137</f>
        <v>516098.45949333342</v>
      </c>
      <c r="D143" s="12">
        <f>Données!Z137</f>
        <v>13129</v>
      </c>
      <c r="E143" s="8">
        <f>Population!K140</f>
        <v>-8293633.8028168995</v>
      </c>
      <c r="F143" s="174">
        <f>Solidarité!I137</f>
        <v>-1759513.0850490145</v>
      </c>
      <c r="G143" s="8">
        <f>DT!O137</f>
        <v>-3692839.0498829908</v>
      </c>
      <c r="H143" s="174">
        <f>Effort!K137+Aide!I137+Taux!J137</f>
        <v>0</v>
      </c>
      <c r="I143" s="240">
        <f t="shared" si="7"/>
        <v>-13745985.937748905</v>
      </c>
      <c r="J143" s="300">
        <f t="shared" si="8"/>
        <v>10117369.717982026</v>
      </c>
      <c r="K143" s="406">
        <f t="shared" si="9"/>
        <v>-3628616.2197668795</v>
      </c>
    </row>
    <row r="144" spans="1:11" x14ac:dyDescent="0.25">
      <c r="A144" s="38">
        <f>Données!A138</f>
        <v>5636</v>
      </c>
      <c r="B144" s="27" t="str">
        <f>Données!B138</f>
        <v>Etoy</v>
      </c>
      <c r="C144" s="26">
        <f>Ecrêtage!C138</f>
        <v>189426.47833333336</v>
      </c>
      <c r="D144" s="12">
        <f>Données!Z138</f>
        <v>2938</v>
      </c>
      <c r="E144" s="8">
        <f>Population!K141</f>
        <v>-842899.29577464773</v>
      </c>
      <c r="F144" s="174">
        <f>Solidarité!I138</f>
        <v>0</v>
      </c>
      <c r="G144" s="8">
        <f>DT!O138</f>
        <v>0</v>
      </c>
      <c r="H144" s="174">
        <f>Effort!K138+Aide!I138+Taux!J138</f>
        <v>0</v>
      </c>
      <c r="I144" s="240">
        <f t="shared" si="7"/>
        <v>-842899.29577464773</v>
      </c>
      <c r="J144" s="300">
        <f t="shared" si="8"/>
        <v>3713434.2884013224</v>
      </c>
      <c r="K144" s="406">
        <f t="shared" si="9"/>
        <v>2870534.9926266745</v>
      </c>
    </row>
    <row r="145" spans="1:11" x14ac:dyDescent="0.25">
      <c r="A145" s="38">
        <f>Données!A139</f>
        <v>5637</v>
      </c>
      <c r="B145" s="27" t="str">
        <f>Données!B139</f>
        <v>Lavigny</v>
      </c>
      <c r="C145" s="26">
        <f>Ecrêtage!C139</f>
        <v>36293.251369863014</v>
      </c>
      <c r="D145" s="12">
        <f>Données!Z139</f>
        <v>1038</v>
      </c>
      <c r="E145" s="8">
        <f>Population!K142</f>
        <v>-145117.6056338028</v>
      </c>
      <c r="F145" s="174">
        <f>Solidarité!I139</f>
        <v>-285672.61227860878</v>
      </c>
      <c r="G145" s="8">
        <f>DT!O139</f>
        <v>-269164.48713911488</v>
      </c>
      <c r="H145" s="174">
        <f>Effort!K139+Aide!I139+Taux!J139</f>
        <v>0</v>
      </c>
      <c r="I145" s="240">
        <f t="shared" si="7"/>
        <v>-699954.70505152643</v>
      </c>
      <c r="J145" s="300">
        <f t="shared" si="8"/>
        <v>711477.11376050883</v>
      </c>
      <c r="K145" s="406">
        <f t="shared" si="9"/>
        <v>11522.408708982402</v>
      </c>
    </row>
    <row r="146" spans="1:11" x14ac:dyDescent="0.25">
      <c r="A146" s="38">
        <f>Données!A140</f>
        <v>5638</v>
      </c>
      <c r="B146" s="27" t="str">
        <f>Données!B140</f>
        <v>Lonay</v>
      </c>
      <c r="C146" s="26">
        <f>Ecrêtage!C140</f>
        <v>153885.49272727271</v>
      </c>
      <c r="D146" s="12">
        <f>Données!Z140</f>
        <v>2675</v>
      </c>
      <c r="E146" s="8">
        <f>Population!K143</f>
        <v>-746311.61971830972</v>
      </c>
      <c r="F146" s="174">
        <f>Solidarité!I140</f>
        <v>0</v>
      </c>
      <c r="G146" s="8">
        <f>DT!O140</f>
        <v>-488583.30632813502</v>
      </c>
      <c r="H146" s="174">
        <f>Effort!K140+Aide!I140+Taux!J140</f>
        <v>0</v>
      </c>
      <c r="I146" s="240">
        <f t="shared" si="7"/>
        <v>-1234894.9260464448</v>
      </c>
      <c r="J146" s="300">
        <f t="shared" si="8"/>
        <v>3016704.2654692582</v>
      </c>
      <c r="K146" s="406">
        <f t="shared" si="9"/>
        <v>1781809.3394228134</v>
      </c>
    </row>
    <row r="147" spans="1:11" x14ac:dyDescent="0.25">
      <c r="A147" s="38">
        <f>Données!A141</f>
        <v>5639</v>
      </c>
      <c r="B147" s="27" t="str">
        <f>Données!B141</f>
        <v>Lully</v>
      </c>
      <c r="C147" s="26">
        <f>Ecrêtage!C141</f>
        <v>52241.230983606554</v>
      </c>
      <c r="D147" s="12">
        <f>Données!Z141</f>
        <v>825</v>
      </c>
      <c r="E147" s="8">
        <f>Population!K144</f>
        <v>-108208.62676056336</v>
      </c>
      <c r="F147" s="174">
        <f>Solidarité!I141</f>
        <v>0</v>
      </c>
      <c r="G147" s="8">
        <f>DT!O141</f>
        <v>0</v>
      </c>
      <c r="H147" s="174">
        <f>Effort!K141+Aide!I141+Taux!J141</f>
        <v>0</v>
      </c>
      <c r="I147" s="240">
        <f t="shared" si="7"/>
        <v>-108208.62676056336</v>
      </c>
      <c r="J147" s="300">
        <f t="shared" si="8"/>
        <v>1024114.369383179</v>
      </c>
      <c r="K147" s="406">
        <f t="shared" si="9"/>
        <v>915905.74262261565</v>
      </c>
    </row>
    <row r="148" spans="1:11" x14ac:dyDescent="0.25">
      <c r="A148" s="38">
        <f>Données!A142</f>
        <v>5640</v>
      </c>
      <c r="B148" s="27" t="str">
        <f>Données!B142</f>
        <v>Lussy-sur-Morges</v>
      </c>
      <c r="C148" s="26">
        <f>Ecrêtage!C142</f>
        <v>57770.543875968993</v>
      </c>
      <c r="D148" s="12">
        <f>Données!Z142</f>
        <v>730</v>
      </c>
      <c r="E148" s="8">
        <f>Population!K145</f>
        <v>-95748.239436619697</v>
      </c>
      <c r="F148" s="174">
        <f>Solidarité!I142</f>
        <v>0</v>
      </c>
      <c r="G148" s="8">
        <f>DT!O142</f>
        <v>0</v>
      </c>
      <c r="H148" s="174">
        <f>Effort!K142+Aide!I142+Taux!J142</f>
        <v>0</v>
      </c>
      <c r="I148" s="240">
        <f t="shared" si="7"/>
        <v>-95748.239436619697</v>
      </c>
      <c r="J148" s="300">
        <f t="shared" si="8"/>
        <v>1132508.6142979092</v>
      </c>
      <c r="K148" s="406">
        <f t="shared" si="9"/>
        <v>1036760.3748612895</v>
      </c>
    </row>
    <row r="149" spans="1:11" x14ac:dyDescent="0.25">
      <c r="A149" s="38">
        <f>Données!A143</f>
        <v>5642</v>
      </c>
      <c r="B149" s="27" t="str">
        <f>Données!B143</f>
        <v>Morges</v>
      </c>
      <c r="C149" s="26">
        <f>Ecrêtage!C143</f>
        <v>920688.7619402986</v>
      </c>
      <c r="D149" s="12">
        <f>Données!Z143</f>
        <v>17530</v>
      </c>
      <c r="E149" s="8">
        <f>Population!K146</f>
        <v>-13044320.422535209</v>
      </c>
      <c r="F149" s="174">
        <f>Solidarité!I143</f>
        <v>0</v>
      </c>
      <c r="G149" s="8">
        <f>DT!O143</f>
        <v>-1653666.930452426</v>
      </c>
      <c r="H149" s="174">
        <f>Effort!K143+Aide!I143+Taux!J143</f>
        <v>0</v>
      </c>
      <c r="I149" s="240">
        <f t="shared" si="7"/>
        <v>-14697987.352987636</v>
      </c>
      <c r="J149" s="300">
        <f t="shared" si="8"/>
        <v>18048782.026758719</v>
      </c>
      <c r="K149" s="406">
        <f t="shared" si="9"/>
        <v>3350794.6737710834</v>
      </c>
    </row>
    <row r="150" spans="1:11" x14ac:dyDescent="0.25">
      <c r="A150" s="38">
        <f>Données!A144</f>
        <v>5643</v>
      </c>
      <c r="B150" s="27" t="str">
        <f>Données!B144</f>
        <v>Préverenges</v>
      </c>
      <c r="C150" s="26">
        <f>Ecrêtage!C144</f>
        <v>252718.14639999994</v>
      </c>
      <c r="D150" s="12">
        <f>Données!Z144</f>
        <v>5209</v>
      </c>
      <c r="E150" s="8">
        <f>Population!K147</f>
        <v>-2046546.4788732391</v>
      </c>
      <c r="F150" s="174">
        <f>Solidarité!I144</f>
        <v>0</v>
      </c>
      <c r="G150" s="8">
        <f>DT!O144</f>
        <v>0</v>
      </c>
      <c r="H150" s="174">
        <f>Effort!K144+Aide!I144+Taux!J144</f>
        <v>0</v>
      </c>
      <c r="I150" s="240">
        <f t="shared" si="7"/>
        <v>-2046546.4788732391</v>
      </c>
      <c r="J150" s="300">
        <f t="shared" si="8"/>
        <v>4954176.6198682776</v>
      </c>
      <c r="K150" s="406">
        <f t="shared" si="9"/>
        <v>2907630.1409950387</v>
      </c>
    </row>
    <row r="151" spans="1:11" x14ac:dyDescent="0.25">
      <c r="A151" s="38">
        <f>Données!A145</f>
        <v>5645</v>
      </c>
      <c r="B151" s="27" t="str">
        <f>Données!B145</f>
        <v>Romanel-sur-Morges</v>
      </c>
      <c r="C151" s="26">
        <f>Ecrêtage!C145</f>
        <v>23767.8325</v>
      </c>
      <c r="D151" s="12">
        <f>Données!Z145</f>
        <v>458</v>
      </c>
      <c r="E151" s="8">
        <f>Population!K148</f>
        <v>-60072.183098591537</v>
      </c>
      <c r="F151" s="174">
        <f>Solidarité!I145</f>
        <v>0</v>
      </c>
      <c r="G151" s="8">
        <f>DT!O145</f>
        <v>-27066.29162408346</v>
      </c>
      <c r="H151" s="174">
        <f>Effort!K145+Aide!I145+Taux!J145</f>
        <v>0</v>
      </c>
      <c r="I151" s="240">
        <f t="shared" si="7"/>
        <v>-87138.47472267499</v>
      </c>
      <c r="J151" s="300">
        <f t="shared" si="8"/>
        <v>465934.25028557994</v>
      </c>
      <c r="K151" s="406">
        <f t="shared" si="9"/>
        <v>378795.77556290495</v>
      </c>
    </row>
    <row r="152" spans="1:11" x14ac:dyDescent="0.25">
      <c r="A152" s="38">
        <f>Données!A146</f>
        <v>5646</v>
      </c>
      <c r="B152" s="27" t="str">
        <f>Données!B146</f>
        <v>Saint-Prex</v>
      </c>
      <c r="C152" s="26">
        <f>Ecrêtage!C146</f>
        <v>515439.56415254233</v>
      </c>
      <c r="D152" s="12">
        <f>Données!Z146</f>
        <v>5876</v>
      </c>
      <c r="E152" s="8">
        <f>Population!K149</f>
        <v>-2466474.6478873235</v>
      </c>
      <c r="F152" s="174">
        <f>Solidarité!I146</f>
        <v>0</v>
      </c>
      <c r="G152" s="8">
        <f>DT!O146</f>
        <v>0</v>
      </c>
      <c r="H152" s="174">
        <f>Effort!K146+Aide!I146+Taux!J146</f>
        <v>0</v>
      </c>
      <c r="I152" s="240">
        <f t="shared" si="7"/>
        <v>-2466474.6478873235</v>
      </c>
      <c r="J152" s="300">
        <f t="shared" si="8"/>
        <v>10104453.020313943</v>
      </c>
      <c r="K152" s="406">
        <f t="shared" si="9"/>
        <v>7637978.3724266198</v>
      </c>
    </row>
    <row r="153" spans="1:11" x14ac:dyDescent="0.25">
      <c r="A153" s="38">
        <f>Données!A147</f>
        <v>5648</v>
      </c>
      <c r="B153" s="27" t="str">
        <f>Données!B147</f>
        <v>Saint-Sulpice</v>
      </c>
      <c r="C153" s="26">
        <f>Ecrêtage!C147</f>
        <v>417026.83077272732</v>
      </c>
      <c r="D153" s="12">
        <f>Données!Z147</f>
        <v>5036</v>
      </c>
      <c r="E153" s="8">
        <f>Population!K150</f>
        <v>-1937629.5774647885</v>
      </c>
      <c r="F153" s="174">
        <f>Solidarité!I147</f>
        <v>0</v>
      </c>
      <c r="G153" s="8">
        <f>DT!O147</f>
        <v>-1603.426482332497</v>
      </c>
      <c r="H153" s="174">
        <f>Effort!K147+Aide!I147+Taux!J147</f>
        <v>0</v>
      </c>
      <c r="I153" s="240">
        <f t="shared" si="7"/>
        <v>-1939233.0039471209</v>
      </c>
      <c r="J153" s="300">
        <f t="shared" si="8"/>
        <v>8175212.6006888561</v>
      </c>
      <c r="K153" s="406">
        <f t="shared" si="9"/>
        <v>6235979.596741735</v>
      </c>
    </row>
    <row r="154" spans="1:11" x14ac:dyDescent="0.25">
      <c r="A154" s="38">
        <f>Données!A148</f>
        <v>5649</v>
      </c>
      <c r="B154" s="27" t="str">
        <f>Données!B148</f>
        <v>Tolochenaz</v>
      </c>
      <c r="C154" s="26">
        <f>Ecrêtage!C148</f>
        <v>329645.65999999997</v>
      </c>
      <c r="D154" s="12">
        <f>Données!Z148</f>
        <v>1890</v>
      </c>
      <c r="E154" s="8">
        <f>Population!K151</f>
        <v>-458017.60563380271</v>
      </c>
      <c r="F154" s="174">
        <f>Solidarité!I148</f>
        <v>0</v>
      </c>
      <c r="G154" s="8">
        <f>DT!O148</f>
        <v>0</v>
      </c>
      <c r="H154" s="174">
        <f>Effort!K148+Aide!I148+Taux!J148</f>
        <v>-1338423.304930253</v>
      </c>
      <c r="I154" s="240">
        <f t="shared" si="7"/>
        <v>-1796440.9105640557</v>
      </c>
      <c r="J154" s="300">
        <f t="shared" si="8"/>
        <v>6462230.1361302156</v>
      </c>
      <c r="K154" s="406">
        <f t="shared" si="9"/>
        <v>4665789.2255661599</v>
      </c>
    </row>
    <row r="155" spans="1:11" x14ac:dyDescent="0.25">
      <c r="A155" s="38">
        <f>Données!A149</f>
        <v>5650</v>
      </c>
      <c r="B155" s="27" t="str">
        <f>Données!B149</f>
        <v>Vaux-sur-Morges</v>
      </c>
      <c r="C155" s="26">
        <f>Ecrêtage!C149</f>
        <v>90407.731785714292</v>
      </c>
      <c r="D155" s="12">
        <f>Données!Z149</f>
        <v>185</v>
      </c>
      <c r="E155" s="8">
        <f>Population!K152</f>
        <v>-24264.964788732388</v>
      </c>
      <c r="F155" s="174">
        <f>Solidarité!I149</f>
        <v>0</v>
      </c>
      <c r="G155" s="8">
        <f>DT!O149</f>
        <v>0</v>
      </c>
      <c r="H155" s="174">
        <f>Effort!K149+Aide!I149+Taux!J149</f>
        <v>-1094678.1773174892</v>
      </c>
      <c r="I155" s="240">
        <f t="shared" si="7"/>
        <v>-1118943.1421062215</v>
      </c>
      <c r="J155" s="300">
        <f t="shared" si="8"/>
        <v>1772313.8502257864</v>
      </c>
      <c r="K155" s="406">
        <f t="shared" si="9"/>
        <v>653370.70811956492</v>
      </c>
    </row>
    <row r="156" spans="1:11" x14ac:dyDescent="0.25">
      <c r="A156" s="38">
        <f>Données!A150</f>
        <v>5651</v>
      </c>
      <c r="B156" s="27" t="str">
        <f>Données!B150</f>
        <v>Villars-Sainte-Croix</v>
      </c>
      <c r="C156" s="26">
        <f>Ecrêtage!C150</f>
        <v>55772.548264462814</v>
      </c>
      <c r="D156" s="12">
        <f>Données!Z150</f>
        <v>978</v>
      </c>
      <c r="E156" s="8">
        <f>Population!K153</f>
        <v>-128276.4084507042</v>
      </c>
      <c r="F156" s="174">
        <f>Solidarité!I150</f>
        <v>0</v>
      </c>
      <c r="G156" s="8">
        <f>DT!O150</f>
        <v>-98331.258383046399</v>
      </c>
      <c r="H156" s="174">
        <f>Effort!K150+Aide!I150+Taux!J150</f>
        <v>0</v>
      </c>
      <c r="I156" s="240">
        <f t="shared" si="7"/>
        <v>-226607.66683375061</v>
      </c>
      <c r="J156" s="300">
        <f t="shared" si="8"/>
        <v>1093340.7773771042</v>
      </c>
      <c r="K156" s="406">
        <f t="shared" si="9"/>
        <v>866733.11054335348</v>
      </c>
    </row>
    <row r="157" spans="1:11" x14ac:dyDescent="0.25">
      <c r="A157" s="38">
        <f>Données!A151</f>
        <v>5652</v>
      </c>
      <c r="B157" s="27" t="str">
        <f>Données!B151</f>
        <v>Villars-sous-Yens</v>
      </c>
      <c r="C157" s="26">
        <f>Ecrêtage!C151</f>
        <v>25957.116337719301</v>
      </c>
      <c r="D157" s="12">
        <f>Données!Z151</f>
        <v>615</v>
      </c>
      <c r="E157" s="8">
        <f>Population!K154</f>
        <v>-80664.61267605632</v>
      </c>
      <c r="F157" s="174">
        <f>Solidarité!I151</f>
        <v>-80815.648882925438</v>
      </c>
      <c r="G157" s="8">
        <f>DT!O151</f>
        <v>-187713.14410017573</v>
      </c>
      <c r="H157" s="174">
        <f>Effort!K151+Aide!I151+Taux!J151</f>
        <v>0</v>
      </c>
      <c r="I157" s="240">
        <f t="shared" si="7"/>
        <v>-349193.40565915749</v>
      </c>
      <c r="J157" s="300">
        <f t="shared" si="8"/>
        <v>508852.01839043671</v>
      </c>
      <c r="K157" s="406">
        <f t="shared" si="9"/>
        <v>159658.61273127922</v>
      </c>
    </row>
    <row r="158" spans="1:11" x14ac:dyDescent="0.25">
      <c r="A158" s="38">
        <f>Données!A152</f>
        <v>5653</v>
      </c>
      <c r="B158" s="27" t="str">
        <f>Données!B152</f>
        <v>Vufflens-le-Château</v>
      </c>
      <c r="C158" s="26">
        <f>Ecrêtage!C152</f>
        <v>71346.485811965817</v>
      </c>
      <c r="D158" s="12">
        <f>Données!Z152</f>
        <v>884</v>
      </c>
      <c r="E158" s="8">
        <f>Population!K155</f>
        <v>-115947.18309859153</v>
      </c>
      <c r="F158" s="174">
        <f>Solidarité!I152</f>
        <v>0</v>
      </c>
      <c r="G158" s="8">
        <f>DT!O152</f>
        <v>0</v>
      </c>
      <c r="H158" s="174">
        <f>Effort!K152+Aide!I152+Taux!J152</f>
        <v>0</v>
      </c>
      <c r="I158" s="240">
        <f t="shared" si="7"/>
        <v>-115947.18309859153</v>
      </c>
      <c r="J158" s="300">
        <f t="shared" si="8"/>
        <v>1398645.475026343</v>
      </c>
      <c r="K158" s="406">
        <f t="shared" si="9"/>
        <v>1282698.2919277514</v>
      </c>
    </row>
    <row r="159" spans="1:11" x14ac:dyDescent="0.25">
      <c r="A159" s="38">
        <f>Données!A153</f>
        <v>5654</v>
      </c>
      <c r="B159" s="27" t="str">
        <f>Données!B153</f>
        <v>Vullierens</v>
      </c>
      <c r="C159" s="26">
        <f>Ecrêtage!C153</f>
        <v>20741.139078947366</v>
      </c>
      <c r="D159" s="12">
        <f>Données!Z153</f>
        <v>562</v>
      </c>
      <c r="E159" s="8">
        <f>Population!K156</f>
        <v>-73713.028169014069</v>
      </c>
      <c r="F159" s="174">
        <f>Solidarité!I153</f>
        <v>-142501.78206841293</v>
      </c>
      <c r="G159" s="8">
        <f>DT!O153</f>
        <v>-44325.284391641297</v>
      </c>
      <c r="H159" s="174">
        <f>Effort!K153+Aide!I153+Taux!J153</f>
        <v>0</v>
      </c>
      <c r="I159" s="240">
        <f t="shared" si="7"/>
        <v>-260540.09462906831</v>
      </c>
      <c r="J159" s="300">
        <f t="shared" si="8"/>
        <v>406600.26894830586</v>
      </c>
      <c r="K159" s="406">
        <f t="shared" si="9"/>
        <v>146060.17431923756</v>
      </c>
    </row>
    <row r="160" spans="1:11" x14ac:dyDescent="0.25">
      <c r="A160" s="38">
        <f>Données!A154</f>
        <v>5655</v>
      </c>
      <c r="B160" s="27" t="str">
        <f>Données!B154</f>
        <v>Yens</v>
      </c>
      <c r="C160" s="26">
        <f>Ecrêtage!C154</f>
        <v>81487.913146853141</v>
      </c>
      <c r="D160" s="12">
        <f>Données!Z154</f>
        <v>1513</v>
      </c>
      <c r="E160" s="8">
        <f>Population!K157</f>
        <v>-319563.02816901403</v>
      </c>
      <c r="F160" s="174">
        <f>Solidarité!I154</f>
        <v>0</v>
      </c>
      <c r="G160" s="8">
        <f>DT!O154</f>
        <v>0</v>
      </c>
      <c r="H160" s="174">
        <f>Effort!K154+Aide!I154+Taux!J154</f>
        <v>0</v>
      </c>
      <c r="I160" s="240">
        <f t="shared" si="7"/>
        <v>-319563.02816901403</v>
      </c>
      <c r="J160" s="300">
        <f t="shared" si="8"/>
        <v>1597453.6053893627</v>
      </c>
      <c r="K160" s="406">
        <f t="shared" si="9"/>
        <v>1277890.5772203486</v>
      </c>
    </row>
    <row r="161" spans="1:11" x14ac:dyDescent="0.25">
      <c r="A161" s="38">
        <f>Données!A155</f>
        <v>5656</v>
      </c>
      <c r="B161" s="27" t="str">
        <f>Données!B155</f>
        <v>Hautemorges</v>
      </c>
      <c r="C161" s="26">
        <f>Ecrêtage!C155</f>
        <v>168931.37668965515</v>
      </c>
      <c r="D161" s="12">
        <f>Données!Z155</f>
        <v>4257</v>
      </c>
      <c r="E161" s="8">
        <f>Population!K158</f>
        <v>-1525151.4084507041</v>
      </c>
      <c r="F161" s="174">
        <f>Solidarité!I155</f>
        <v>-734346.39253230602</v>
      </c>
      <c r="G161" s="8">
        <f>DT!O155</f>
        <v>-978360.41284881555</v>
      </c>
      <c r="H161" s="174">
        <f>Effort!K155+Aide!I155+Taux!J155</f>
        <v>0</v>
      </c>
      <c r="I161" s="240">
        <f t="shared" si="7"/>
        <v>-3237858.2138318252</v>
      </c>
      <c r="J161" s="300">
        <f t="shared" si="8"/>
        <v>3311657.2303177146</v>
      </c>
      <c r="K161" s="406">
        <f t="shared" si="9"/>
        <v>73799.016485889442</v>
      </c>
    </row>
    <row r="162" spans="1:11" x14ac:dyDescent="0.25">
      <c r="A162" s="38">
        <f>Données!A156</f>
        <v>5661</v>
      </c>
      <c r="B162" s="27" t="str">
        <f>Données!B156</f>
        <v>Boulens</v>
      </c>
      <c r="C162" s="26">
        <f>Ecrêtage!C156</f>
        <v>11008.663776223777</v>
      </c>
      <c r="D162" s="12">
        <f>Données!Z156</f>
        <v>383</v>
      </c>
      <c r="E162" s="8">
        <f>Population!K159</f>
        <v>-50235.035211267597</v>
      </c>
      <c r="F162" s="174">
        <f>Solidarité!I156</f>
        <v>-149720.22234670486</v>
      </c>
      <c r="G162" s="8">
        <f>DT!O156</f>
        <v>-14528.310682851896</v>
      </c>
      <c r="H162" s="174">
        <f>Effort!K156+Aide!I156+Taux!J156</f>
        <v>0</v>
      </c>
      <c r="I162" s="240">
        <f t="shared" si="7"/>
        <v>-214483.56824082436</v>
      </c>
      <c r="J162" s="300">
        <f t="shared" si="8"/>
        <v>215809.05634625483</v>
      </c>
      <c r="K162" s="406">
        <f t="shared" si="9"/>
        <v>1325.4881054304715</v>
      </c>
    </row>
    <row r="163" spans="1:11" x14ac:dyDescent="0.25">
      <c r="A163" s="38">
        <f>Données!A157</f>
        <v>5663</v>
      </c>
      <c r="B163" s="27" t="str">
        <f>Données!B157</f>
        <v>Bussy-sur-Moudon</v>
      </c>
      <c r="C163" s="26">
        <f>Ecrêtage!C157</f>
        <v>6463.7352866242045</v>
      </c>
      <c r="D163" s="12">
        <f>Données!Z157</f>
        <v>246</v>
      </c>
      <c r="E163" s="8">
        <f>Population!K160</f>
        <v>-32265.845070422529</v>
      </c>
      <c r="F163" s="174">
        <f>Solidarité!I157</f>
        <v>-130842.27017585508</v>
      </c>
      <c r="G163" s="8">
        <f>DT!O157</f>
        <v>0</v>
      </c>
      <c r="H163" s="174">
        <f>Effort!K157+Aide!I157+Taux!J157</f>
        <v>0</v>
      </c>
      <c r="I163" s="240">
        <f t="shared" si="7"/>
        <v>-163108.11524627762</v>
      </c>
      <c r="J163" s="300">
        <f t="shared" si="8"/>
        <v>126712.25509594519</v>
      </c>
      <c r="K163" s="406">
        <f t="shared" si="9"/>
        <v>-36395.860150332432</v>
      </c>
    </row>
    <row r="164" spans="1:11" x14ac:dyDescent="0.25">
      <c r="A164" s="38">
        <f>Données!A158</f>
        <v>5665</v>
      </c>
      <c r="B164" s="27" t="str">
        <f>Données!B158</f>
        <v>Chavannes-sur-Moudon</v>
      </c>
      <c r="C164" s="26">
        <f>Ecrêtage!C158</f>
        <v>5786.518857142858</v>
      </c>
      <c r="D164" s="12">
        <f>Données!Z158</f>
        <v>218</v>
      </c>
      <c r="E164" s="8">
        <f>Population!K161</f>
        <v>-28593.309859154924</v>
      </c>
      <c r="F164" s="174">
        <f>Solidarité!I158</f>
        <v>-91055.476228691608</v>
      </c>
      <c r="G164" s="8">
        <f>DT!O158</f>
        <v>-25007.315796068127</v>
      </c>
      <c r="H164" s="174">
        <f>Effort!K158+Aide!I158+Taux!J158</f>
        <v>0</v>
      </c>
      <c r="I164" s="240">
        <f t="shared" si="7"/>
        <v>-144656.10188391467</v>
      </c>
      <c r="J164" s="300">
        <f t="shared" si="8"/>
        <v>113436.39877410901</v>
      </c>
      <c r="K164" s="406">
        <f t="shared" si="9"/>
        <v>-31219.703109805661</v>
      </c>
    </row>
    <row r="165" spans="1:11" x14ac:dyDescent="0.25">
      <c r="A165" s="38">
        <f>Données!A159</f>
        <v>5669</v>
      </c>
      <c r="B165" s="27" t="str">
        <f>Données!B159</f>
        <v>Curtilles</v>
      </c>
      <c r="C165" s="26">
        <f>Ecrêtage!C159</f>
        <v>8428.0239726027376</v>
      </c>
      <c r="D165" s="12">
        <f>Données!Z159</f>
        <v>294</v>
      </c>
      <c r="E165" s="8">
        <f>Population!K162</f>
        <v>-38561.619718309848</v>
      </c>
      <c r="F165" s="174">
        <f>Solidarité!I159</f>
        <v>-120279.79389001793</v>
      </c>
      <c r="G165" s="8">
        <f>DT!O159</f>
        <v>0</v>
      </c>
      <c r="H165" s="174">
        <f>Effort!K159+Aide!I159+Taux!J159</f>
        <v>0</v>
      </c>
      <c r="I165" s="240">
        <f t="shared" si="7"/>
        <v>-158841.41360832777</v>
      </c>
      <c r="J165" s="300">
        <f t="shared" si="8"/>
        <v>165219.31610985356</v>
      </c>
      <c r="K165" s="406">
        <f t="shared" si="9"/>
        <v>6377.9025015257939</v>
      </c>
    </row>
    <row r="166" spans="1:11" x14ac:dyDescent="0.25">
      <c r="A166" s="38">
        <f>Données!A160</f>
        <v>5671</v>
      </c>
      <c r="B166" s="27" t="str">
        <f>Données!B160</f>
        <v>Dompierre</v>
      </c>
      <c r="C166" s="26">
        <f>Ecrêtage!C160</f>
        <v>6751.3058974358974</v>
      </c>
      <c r="D166" s="12">
        <f>Données!Z160</f>
        <v>248</v>
      </c>
      <c r="E166" s="8">
        <f>Population!K163</f>
        <v>-32528.169014084502</v>
      </c>
      <c r="F166" s="174">
        <f>Solidarité!I160</f>
        <v>-124526.27894805356</v>
      </c>
      <c r="G166" s="8">
        <f>DT!O160</f>
        <v>-10773.855819897748</v>
      </c>
      <c r="H166" s="174">
        <f>Effort!K160+Aide!I160+Taux!J160</f>
        <v>0</v>
      </c>
      <c r="I166" s="240">
        <f t="shared" si="7"/>
        <v>-167828.3037820358</v>
      </c>
      <c r="J166" s="300">
        <f t="shared" si="8"/>
        <v>132349.66426872998</v>
      </c>
      <c r="K166" s="406">
        <f t="shared" si="9"/>
        <v>-35478.639513305825</v>
      </c>
    </row>
    <row r="167" spans="1:11" x14ac:dyDescent="0.25">
      <c r="A167" s="38">
        <f>Données!A161</f>
        <v>5673</v>
      </c>
      <c r="B167" s="27" t="str">
        <f>Données!B161</f>
        <v>Hermenches</v>
      </c>
      <c r="C167" s="26">
        <f>Ecrêtage!C161</f>
        <v>9674.9504761904736</v>
      </c>
      <c r="D167" s="12">
        <f>Données!Z161</f>
        <v>374</v>
      </c>
      <c r="E167" s="8">
        <f>Population!K164</f>
        <v>-49054.577464788723</v>
      </c>
      <c r="F167" s="174">
        <f>Solidarité!I161</f>
        <v>-177666.10787867653</v>
      </c>
      <c r="G167" s="8">
        <f>DT!O161</f>
        <v>-73944.730896709079</v>
      </c>
      <c r="H167" s="174">
        <f>Effort!K161+Aide!I161+Taux!J161</f>
        <v>0</v>
      </c>
      <c r="I167" s="240">
        <f t="shared" si="7"/>
        <v>-300665.41624017432</v>
      </c>
      <c r="J167" s="300">
        <f t="shared" si="8"/>
        <v>189663.52092366532</v>
      </c>
      <c r="K167" s="406">
        <f t="shared" si="9"/>
        <v>-111001.89531650901</v>
      </c>
    </row>
    <row r="168" spans="1:11" x14ac:dyDescent="0.25">
      <c r="A168" s="38">
        <f>Données!A162</f>
        <v>5674</v>
      </c>
      <c r="B168" s="27" t="str">
        <f>Données!B162</f>
        <v>Lovatens</v>
      </c>
      <c r="C168" s="26">
        <f>Ecrêtage!C162</f>
        <v>3538.9423999999999</v>
      </c>
      <c r="D168" s="12">
        <f>Données!Z162</f>
        <v>143</v>
      </c>
      <c r="E168" s="8">
        <f>Population!K165</f>
        <v>-18756.161971830981</v>
      </c>
      <c r="F168" s="174">
        <f>Solidarité!I162</f>
        <v>-74329.723282125007</v>
      </c>
      <c r="G168" s="8">
        <f>DT!O162</f>
        <v>-19075.895895322501</v>
      </c>
      <c r="H168" s="174">
        <f>Effort!K162+Aide!I162+Taux!J162</f>
        <v>0</v>
      </c>
      <c r="I168" s="240">
        <f t="shared" si="7"/>
        <v>-112161.78114927848</v>
      </c>
      <c r="J168" s="300">
        <f t="shared" si="8"/>
        <v>69375.887513001057</v>
      </c>
      <c r="K168" s="406">
        <f t="shared" si="9"/>
        <v>-42785.893636277426</v>
      </c>
    </row>
    <row r="169" spans="1:11" x14ac:dyDescent="0.25">
      <c r="A169" s="38">
        <f>Données!A163</f>
        <v>5675</v>
      </c>
      <c r="B169" s="27" t="str">
        <f>Données!B163</f>
        <v>Lucens</v>
      </c>
      <c r="C169" s="26">
        <f>Ecrêtage!C163</f>
        <v>92799.568476128188</v>
      </c>
      <c r="D169" s="12">
        <f>Données!Z163</f>
        <v>4420</v>
      </c>
      <c r="E169" s="8">
        <f>Population!K166</f>
        <v>-1610669.0140845068</v>
      </c>
      <c r="F169" s="174">
        <f>Solidarité!I163</f>
        <v>-2292492.3971258234</v>
      </c>
      <c r="G169" s="8">
        <f>DT!O163</f>
        <v>-660644.99504993996</v>
      </c>
      <c r="H169" s="174">
        <f>Effort!K163+Aide!I163+Taux!J163</f>
        <v>0</v>
      </c>
      <c r="I169" s="240">
        <f t="shared" si="7"/>
        <v>-4563806.4062602706</v>
      </c>
      <c r="J169" s="300">
        <f t="shared" si="8"/>
        <v>1819202.3763525817</v>
      </c>
      <c r="K169" s="406">
        <f t="shared" si="9"/>
        <v>-2744604.029907689</v>
      </c>
    </row>
    <row r="170" spans="1:11" x14ac:dyDescent="0.25">
      <c r="A170" s="38">
        <f>Données!A164</f>
        <v>5678</v>
      </c>
      <c r="B170" s="27" t="str">
        <f>Données!B164</f>
        <v>Moudon</v>
      </c>
      <c r="C170" s="26">
        <f>Ecrêtage!C164</f>
        <v>130665.93158620689</v>
      </c>
      <c r="D170" s="12">
        <f>Données!Z164</f>
        <v>6132</v>
      </c>
      <c r="E170" s="8">
        <f>Population!K167</f>
        <v>-2627646.4788732389</v>
      </c>
      <c r="F170" s="174">
        <f>Solidarité!I164</f>
        <v>-3420628.7440173002</v>
      </c>
      <c r="G170" s="8">
        <f>DT!O164</f>
        <v>-1329380.0350139532</v>
      </c>
      <c r="H170" s="174">
        <f>Effort!K164+Aide!I164+Taux!J164</f>
        <v>0</v>
      </c>
      <c r="I170" s="240">
        <f t="shared" si="7"/>
        <v>-7377655.2579044923</v>
      </c>
      <c r="J170" s="300">
        <f t="shared" si="8"/>
        <v>2561518.0884283907</v>
      </c>
      <c r="K170" s="406">
        <f t="shared" si="9"/>
        <v>-4816137.1694761012</v>
      </c>
    </row>
    <row r="171" spans="1:11" x14ac:dyDescent="0.25">
      <c r="A171" s="38">
        <f>Données!A165</f>
        <v>5680</v>
      </c>
      <c r="B171" s="27" t="str">
        <f>Données!B165</f>
        <v>Ogens</v>
      </c>
      <c r="C171" s="26">
        <f>Ecrêtage!C165</f>
        <v>10095.699401709404</v>
      </c>
      <c r="D171" s="12">
        <f>Données!Z165</f>
        <v>324</v>
      </c>
      <c r="E171" s="8">
        <f>Population!K168</f>
        <v>-42496.47887323943</v>
      </c>
      <c r="F171" s="174">
        <f>Solidarité!I165</f>
        <v>-131727.97315415315</v>
      </c>
      <c r="G171" s="8">
        <f>DT!O165</f>
        <v>-15224.613327285726</v>
      </c>
      <c r="H171" s="174">
        <f>Effort!K165+Aide!I165+Taux!J165</f>
        <v>0</v>
      </c>
      <c r="I171" s="240">
        <f t="shared" si="7"/>
        <v>-189449.06535467831</v>
      </c>
      <c r="J171" s="300">
        <f t="shared" si="8"/>
        <v>197911.69985079829</v>
      </c>
      <c r="K171" s="406">
        <f t="shared" si="9"/>
        <v>8462.6344961199793</v>
      </c>
    </row>
    <row r="172" spans="1:11" x14ac:dyDescent="0.25">
      <c r="A172" s="38">
        <f>Données!A166</f>
        <v>5683</v>
      </c>
      <c r="B172" s="27" t="str">
        <f>Données!B166</f>
        <v>Prévonloup</v>
      </c>
      <c r="C172" s="26">
        <f>Ecrêtage!C166</f>
        <v>5181.5288275862076</v>
      </c>
      <c r="D172" s="12">
        <f>Données!Z166</f>
        <v>220</v>
      </c>
      <c r="E172" s="8">
        <f>Population!K169</f>
        <v>-28855.633802816898</v>
      </c>
      <c r="F172" s="174">
        <f>Solidarité!I166</f>
        <v>-112372.26205713644</v>
      </c>
      <c r="G172" s="8">
        <f>DT!O166</f>
        <v>0</v>
      </c>
      <c r="H172" s="174">
        <f>Effort!K166+Aide!I166+Taux!J166</f>
        <v>0</v>
      </c>
      <c r="I172" s="240">
        <f t="shared" si="7"/>
        <v>-141227.89585995334</v>
      </c>
      <c r="J172" s="300">
        <f t="shared" si="8"/>
        <v>101576.43738083814</v>
      </c>
      <c r="K172" s="406">
        <f t="shared" si="9"/>
        <v>-39651.458479115201</v>
      </c>
    </row>
    <row r="173" spans="1:11" x14ac:dyDescent="0.25">
      <c r="A173" s="38">
        <f>Données!A167</f>
        <v>5684</v>
      </c>
      <c r="B173" s="27" t="str">
        <f>Données!B167</f>
        <v>Rossenges</v>
      </c>
      <c r="C173" s="26">
        <f>Ecrêtage!C167</f>
        <v>3699.9676666666669</v>
      </c>
      <c r="D173" s="12">
        <f>Données!Z167</f>
        <v>93</v>
      </c>
      <c r="E173" s="8">
        <f>Population!K170</f>
        <v>-12198.063380281688</v>
      </c>
      <c r="F173" s="174">
        <f>Solidarité!I167</f>
        <v>-16956.644728067349</v>
      </c>
      <c r="G173" s="8">
        <f>DT!O167</f>
        <v>0</v>
      </c>
      <c r="H173" s="174">
        <f>Effort!K167+Aide!I167+Taux!J167</f>
        <v>0</v>
      </c>
      <c r="I173" s="240">
        <f t="shared" si="7"/>
        <v>-29154.708108349038</v>
      </c>
      <c r="J173" s="300">
        <f t="shared" si="8"/>
        <v>72532.556801265731</v>
      </c>
      <c r="K173" s="406">
        <f t="shared" si="9"/>
        <v>43377.848692916697</v>
      </c>
    </row>
    <row r="174" spans="1:11" x14ac:dyDescent="0.25">
      <c r="A174" s="38">
        <f>Données!A168</f>
        <v>5688</v>
      </c>
      <c r="B174" s="27" t="str">
        <f>Données!B168</f>
        <v>Syens</v>
      </c>
      <c r="C174" s="26">
        <f>Ecrêtage!C168</f>
        <v>5276.9227692307695</v>
      </c>
      <c r="D174" s="12">
        <f>Données!Z168</f>
        <v>164</v>
      </c>
      <c r="E174" s="8">
        <f>Population!K171</f>
        <v>-21510.563380281685</v>
      </c>
      <c r="F174" s="174">
        <f>Solidarité!I168</f>
        <v>-43492.646572241843</v>
      </c>
      <c r="G174" s="8">
        <f>DT!O168</f>
        <v>-18009.969157406224</v>
      </c>
      <c r="H174" s="174">
        <f>Effort!K168+Aide!I168+Taux!J168</f>
        <v>0</v>
      </c>
      <c r="I174" s="240">
        <f t="shared" si="7"/>
        <v>-83013.179109929741</v>
      </c>
      <c r="J174" s="300">
        <f t="shared" si="8"/>
        <v>103446.49872033745</v>
      </c>
      <c r="K174" s="406">
        <f t="shared" si="9"/>
        <v>20433.319610407707</v>
      </c>
    </row>
    <row r="175" spans="1:11" x14ac:dyDescent="0.25">
      <c r="A175" s="38">
        <f>Données!A169</f>
        <v>5690</v>
      </c>
      <c r="B175" s="27" t="str">
        <f>Données!B169</f>
        <v>Villars-le-Comte</v>
      </c>
      <c r="C175" s="26">
        <f>Ecrêtage!C169</f>
        <v>4331.3648095238095</v>
      </c>
      <c r="D175" s="12">
        <f>Données!Z169</f>
        <v>138</v>
      </c>
      <c r="E175" s="8">
        <f>Population!K172</f>
        <v>-18100.352112676053</v>
      </c>
      <c r="F175" s="174">
        <f>Solidarité!I169</f>
        <v>-44574.787549830886</v>
      </c>
      <c r="G175" s="8">
        <f>DT!O169</f>
        <v>0</v>
      </c>
      <c r="H175" s="174">
        <f>Effort!K169+Aide!I169+Taux!J169</f>
        <v>0</v>
      </c>
      <c r="I175" s="240">
        <f t="shared" si="7"/>
        <v>-62675.139662506939</v>
      </c>
      <c r="J175" s="300">
        <f t="shared" si="8"/>
        <v>84910.1917576548</v>
      </c>
      <c r="K175" s="406">
        <f t="shared" si="9"/>
        <v>22235.052095147861</v>
      </c>
    </row>
    <row r="176" spans="1:11" x14ac:dyDescent="0.25">
      <c r="A176" s="38">
        <f>Données!A170</f>
        <v>5692</v>
      </c>
      <c r="B176" s="27" t="str">
        <f>Données!B170</f>
        <v>Vucherens</v>
      </c>
      <c r="C176" s="26">
        <f>Ecrêtage!C170</f>
        <v>18948.19272727273</v>
      </c>
      <c r="D176" s="12">
        <f>Données!Z170</f>
        <v>637</v>
      </c>
      <c r="E176" s="8">
        <f>Population!K173</f>
        <v>-83550.176056338008</v>
      </c>
      <c r="F176" s="174">
        <f>Solidarité!I170</f>
        <v>-273685.9584290582</v>
      </c>
      <c r="G176" s="8">
        <f>DT!O170</f>
        <v>-97542.08175607484</v>
      </c>
      <c r="H176" s="174">
        <f>Effort!K170+Aide!I170+Taux!J170</f>
        <v>0</v>
      </c>
      <c r="I176" s="240">
        <f t="shared" si="7"/>
        <v>-454778.21624147106</v>
      </c>
      <c r="J176" s="300">
        <f t="shared" si="8"/>
        <v>371452.12852911587</v>
      </c>
      <c r="K176" s="406">
        <f t="shared" si="9"/>
        <v>-83326.087712355191</v>
      </c>
    </row>
    <row r="177" spans="1:11" x14ac:dyDescent="0.25">
      <c r="A177" s="38">
        <f>Données!A171</f>
        <v>5693</v>
      </c>
      <c r="B177" s="27" t="str">
        <f>Données!B171</f>
        <v>Montanaire</v>
      </c>
      <c r="C177" s="26">
        <f>Ecrêtage!C171</f>
        <v>80076.194857142837</v>
      </c>
      <c r="D177" s="12">
        <f>Données!Z171</f>
        <v>2820</v>
      </c>
      <c r="E177" s="8">
        <f>Population!K174</f>
        <v>-799563.38028169004</v>
      </c>
      <c r="F177" s="174">
        <f>Solidarité!I171</f>
        <v>-1075764.2695143153</v>
      </c>
      <c r="G177" s="8">
        <f>DT!O171</f>
        <v>-639862.5761215454</v>
      </c>
      <c r="H177" s="174">
        <f>Effort!K171+Aide!I171+Taux!J171</f>
        <v>0</v>
      </c>
      <c r="I177" s="240">
        <f t="shared" si="7"/>
        <v>-2515190.2259175507</v>
      </c>
      <c r="J177" s="300">
        <f t="shared" si="8"/>
        <v>1569778.8940781562</v>
      </c>
      <c r="K177" s="406">
        <f t="shared" si="9"/>
        <v>-945411.33183939452</v>
      </c>
    </row>
    <row r="178" spans="1:11" x14ac:dyDescent="0.25">
      <c r="A178" s="38">
        <f>Données!A172</f>
        <v>5701</v>
      </c>
      <c r="B178" s="27" t="str">
        <f>Données!B172</f>
        <v>Arnex-sur-Nyon</v>
      </c>
      <c r="C178" s="26">
        <f>Ecrêtage!C172</f>
        <v>12996.777571428571</v>
      </c>
      <c r="D178" s="12">
        <f>Données!Z172</f>
        <v>240</v>
      </c>
      <c r="E178" s="8">
        <f>Population!K175</f>
        <v>-31478.873239436612</v>
      </c>
      <c r="F178" s="174">
        <f>Solidarité!I172</f>
        <v>0</v>
      </c>
      <c r="G178" s="8">
        <f>DT!O172</f>
        <v>0</v>
      </c>
      <c r="H178" s="174">
        <f>Effort!K172+Aide!I172+Taux!J172</f>
        <v>0</v>
      </c>
      <c r="I178" s="240">
        <f t="shared" si="7"/>
        <v>-31478.873239436612</v>
      </c>
      <c r="J178" s="300">
        <f t="shared" si="8"/>
        <v>254783.17443847735</v>
      </c>
      <c r="K178" s="406">
        <f t="shared" si="9"/>
        <v>223304.30119904072</v>
      </c>
    </row>
    <row r="179" spans="1:11" x14ac:dyDescent="0.25">
      <c r="A179" s="38">
        <f>Données!A173</f>
        <v>5702</v>
      </c>
      <c r="B179" s="27" t="str">
        <f>Données!B173</f>
        <v>Arzier-Le Muids</v>
      </c>
      <c r="C179" s="26">
        <f>Ecrêtage!C173</f>
        <v>187982.65953125001</v>
      </c>
      <c r="D179" s="12">
        <f>Données!Z173</f>
        <v>2954</v>
      </c>
      <c r="E179" s="8">
        <f>Population!K176</f>
        <v>-848775.3521126759</v>
      </c>
      <c r="F179" s="174">
        <f>Solidarité!I173</f>
        <v>0</v>
      </c>
      <c r="G179" s="8">
        <f>DT!O173</f>
        <v>-534142.54559053492</v>
      </c>
      <c r="H179" s="174">
        <f>Effort!K173+Aide!I173+Taux!J173</f>
        <v>0</v>
      </c>
      <c r="I179" s="240">
        <f t="shared" si="7"/>
        <v>-1382917.8977032108</v>
      </c>
      <c r="J179" s="300">
        <f t="shared" si="8"/>
        <v>3685130.2926079775</v>
      </c>
      <c r="K179" s="406">
        <f t="shared" si="9"/>
        <v>2302212.3949047667</v>
      </c>
    </row>
    <row r="180" spans="1:11" x14ac:dyDescent="0.25">
      <c r="A180" s="38">
        <f>Données!A174</f>
        <v>5703</v>
      </c>
      <c r="B180" s="27" t="str">
        <f>Données!B174</f>
        <v>Bassins</v>
      </c>
      <c r="C180" s="26">
        <f>Ecrêtage!C174</f>
        <v>65440.672492610829</v>
      </c>
      <c r="D180" s="12">
        <f>Données!Z174</f>
        <v>1478</v>
      </c>
      <c r="E180" s="8">
        <f>Population!K177</f>
        <v>-306709.15492957737</v>
      </c>
      <c r="F180" s="174">
        <f>Solidarité!I174</f>
        <v>-112589.34314991077</v>
      </c>
      <c r="G180" s="8">
        <f>DT!O174</f>
        <v>0</v>
      </c>
      <c r="H180" s="174">
        <f>Effort!K174+Aide!I174+Taux!J174</f>
        <v>0</v>
      </c>
      <c r="I180" s="240">
        <f t="shared" si="7"/>
        <v>-419298.49807948817</v>
      </c>
      <c r="J180" s="300">
        <f t="shared" si="8"/>
        <v>1282870.4795032865</v>
      </c>
      <c r="K180" s="406">
        <f t="shared" si="9"/>
        <v>863571.98142379837</v>
      </c>
    </row>
    <row r="181" spans="1:11" x14ac:dyDescent="0.25">
      <c r="A181" s="38">
        <f>Données!A175</f>
        <v>5704</v>
      </c>
      <c r="B181" s="27" t="str">
        <f>Données!B175</f>
        <v>Begnins</v>
      </c>
      <c r="C181" s="26">
        <f>Ecrêtage!C175</f>
        <v>129766.74997333332</v>
      </c>
      <c r="D181" s="12">
        <f>Données!Z175</f>
        <v>1938</v>
      </c>
      <c r="E181" s="8">
        <f>Population!K178</f>
        <v>-475645.77464788721</v>
      </c>
      <c r="F181" s="174">
        <f>Solidarité!I175</f>
        <v>0</v>
      </c>
      <c r="G181" s="8">
        <f>DT!O175</f>
        <v>0</v>
      </c>
      <c r="H181" s="174">
        <f>Effort!K175+Aide!I175+Taux!J175</f>
        <v>0</v>
      </c>
      <c r="I181" s="240">
        <f t="shared" si="7"/>
        <v>-475645.77464788721</v>
      </c>
      <c r="J181" s="300">
        <f t="shared" si="8"/>
        <v>2543890.9231971977</v>
      </c>
      <c r="K181" s="406">
        <f t="shared" si="9"/>
        <v>2068245.1485493104</v>
      </c>
    </row>
    <row r="182" spans="1:11" x14ac:dyDescent="0.25">
      <c r="A182" s="38">
        <f>Données!A176</f>
        <v>5705</v>
      </c>
      <c r="B182" s="27" t="str">
        <f>Données!B176</f>
        <v>Bogis-Bossey</v>
      </c>
      <c r="C182" s="26">
        <f>Ecrêtage!C176</f>
        <v>51043.487651006704</v>
      </c>
      <c r="D182" s="12">
        <f>Données!Z176</f>
        <v>923</v>
      </c>
      <c r="E182" s="8">
        <f>Population!K179</f>
        <v>-121062.49999999997</v>
      </c>
      <c r="F182" s="174">
        <f>Solidarité!I176</f>
        <v>0</v>
      </c>
      <c r="G182" s="8">
        <f>DT!O176</f>
        <v>0</v>
      </c>
      <c r="H182" s="174">
        <f>Effort!K176+Aide!I176+Taux!J176</f>
        <v>0</v>
      </c>
      <c r="I182" s="240">
        <f t="shared" si="7"/>
        <v>-121062.49999999997</v>
      </c>
      <c r="J182" s="300">
        <f t="shared" si="8"/>
        <v>1000634.3300607266</v>
      </c>
      <c r="K182" s="406">
        <f t="shared" si="9"/>
        <v>879571.83006072661</v>
      </c>
    </row>
    <row r="183" spans="1:11" x14ac:dyDescent="0.25">
      <c r="A183" s="38">
        <f>Données!A177</f>
        <v>5706</v>
      </c>
      <c r="B183" s="27" t="str">
        <f>Données!B177</f>
        <v>Borex</v>
      </c>
      <c r="C183" s="26">
        <f>Ecrêtage!C177</f>
        <v>69138.234561403515</v>
      </c>
      <c r="D183" s="12">
        <f>Données!Z177</f>
        <v>1131</v>
      </c>
      <c r="E183" s="8">
        <f>Population!K180</f>
        <v>-179272.18309859151</v>
      </c>
      <c r="F183" s="174">
        <f>Solidarité!I177</f>
        <v>0</v>
      </c>
      <c r="G183" s="8">
        <f>DT!O177</f>
        <v>0</v>
      </c>
      <c r="H183" s="174">
        <f>Effort!K177+Aide!I177+Taux!J177</f>
        <v>0</v>
      </c>
      <c r="I183" s="240">
        <f t="shared" si="7"/>
        <v>-179272.18309859151</v>
      </c>
      <c r="J183" s="300">
        <f t="shared" si="8"/>
        <v>1355355.8780101684</v>
      </c>
      <c r="K183" s="406">
        <f t="shared" si="9"/>
        <v>1176083.6949115768</v>
      </c>
    </row>
    <row r="184" spans="1:11" x14ac:dyDescent="0.25">
      <c r="A184" s="38">
        <f>Données!A178</f>
        <v>5707</v>
      </c>
      <c r="B184" s="27" t="str">
        <f>Données!B178</f>
        <v>Chavannes-de-Bogis</v>
      </c>
      <c r="C184" s="26">
        <f>Ecrêtage!C178</f>
        <v>86795.072643678155</v>
      </c>
      <c r="D184" s="12">
        <f>Données!Z178</f>
        <v>1314</v>
      </c>
      <c r="E184" s="8">
        <f>Population!K181</f>
        <v>-246479.57746478869</v>
      </c>
      <c r="F184" s="174">
        <f>Solidarité!I178</f>
        <v>0</v>
      </c>
      <c r="G184" s="8">
        <f>DT!O178</f>
        <v>0</v>
      </c>
      <c r="H184" s="174">
        <f>Effort!K178+Aide!I178+Taux!J178</f>
        <v>0</v>
      </c>
      <c r="I184" s="240">
        <f t="shared" si="7"/>
        <v>-246479.57746478869</v>
      </c>
      <c r="J184" s="300">
        <f t="shared" si="8"/>
        <v>1701492.851765706</v>
      </c>
      <c r="K184" s="406">
        <f t="shared" si="9"/>
        <v>1455013.2743009173</v>
      </c>
    </row>
    <row r="185" spans="1:11" x14ac:dyDescent="0.25">
      <c r="A185" s="38">
        <f>Données!A179</f>
        <v>5708</v>
      </c>
      <c r="B185" s="27" t="str">
        <f>Données!B179</f>
        <v>Chavannes-des-Bois</v>
      </c>
      <c r="C185" s="26">
        <f>Ecrêtage!C179</f>
        <v>68805.474411764691</v>
      </c>
      <c r="D185" s="12">
        <f>Données!Z179</f>
        <v>1019</v>
      </c>
      <c r="E185" s="8">
        <f>Population!K182</f>
        <v>-138139.78873239434</v>
      </c>
      <c r="F185" s="174">
        <f>Solidarité!I179</f>
        <v>0</v>
      </c>
      <c r="G185" s="8">
        <f>DT!O179</f>
        <v>0</v>
      </c>
      <c r="H185" s="174">
        <f>Effort!K179+Aide!I179+Taux!J179</f>
        <v>0</v>
      </c>
      <c r="I185" s="240">
        <f t="shared" si="7"/>
        <v>-138139.78873239434</v>
      </c>
      <c r="J185" s="300">
        <f t="shared" si="8"/>
        <v>1348832.5927738356</v>
      </c>
      <c r="K185" s="406">
        <f t="shared" si="9"/>
        <v>1210692.8040414413</v>
      </c>
    </row>
    <row r="186" spans="1:11" x14ac:dyDescent="0.25">
      <c r="A186" s="38">
        <f>Données!A180</f>
        <v>5709</v>
      </c>
      <c r="B186" s="27" t="str">
        <f>Données!B180</f>
        <v>Chéserex</v>
      </c>
      <c r="C186" s="26">
        <f>Ecrêtage!C180</f>
        <v>90983.181403508803</v>
      </c>
      <c r="D186" s="12">
        <f>Données!Z180</f>
        <v>1251</v>
      </c>
      <c r="E186" s="8">
        <f>Population!K183</f>
        <v>-223342.60563380277</v>
      </c>
      <c r="F186" s="174">
        <f>Solidarité!I180</f>
        <v>0</v>
      </c>
      <c r="G186" s="8">
        <f>DT!O180</f>
        <v>0</v>
      </c>
      <c r="H186" s="174">
        <f>Effort!K180+Aide!I180+Taux!J180</f>
        <v>0</v>
      </c>
      <c r="I186" s="240">
        <f t="shared" si="7"/>
        <v>-223342.60563380277</v>
      </c>
      <c r="J186" s="300">
        <f t="shared" si="8"/>
        <v>1783594.7142357549</v>
      </c>
      <c r="K186" s="406">
        <f t="shared" si="9"/>
        <v>1560252.1086019522</v>
      </c>
    </row>
    <row r="187" spans="1:11" x14ac:dyDescent="0.25">
      <c r="A187" s="38">
        <f>Données!A181</f>
        <v>5710</v>
      </c>
      <c r="B187" s="27" t="str">
        <f>Données!B181</f>
        <v>Coinsins</v>
      </c>
      <c r="C187" s="26">
        <f>Ecrêtage!C181</f>
        <v>33546.798235294118</v>
      </c>
      <c r="D187" s="12">
        <f>Données!Z181</f>
        <v>499</v>
      </c>
      <c r="E187" s="8">
        <f>Population!K184</f>
        <v>-65449.823943661962</v>
      </c>
      <c r="F187" s="174">
        <f>Solidarité!I181</f>
        <v>0</v>
      </c>
      <c r="G187" s="8">
        <f>DT!O181</f>
        <v>0</v>
      </c>
      <c r="H187" s="174">
        <f>Effort!K181+Aide!I181+Taux!J181</f>
        <v>0</v>
      </c>
      <c r="I187" s="240">
        <f t="shared" si="7"/>
        <v>-65449.823943661962</v>
      </c>
      <c r="J187" s="300">
        <f t="shared" si="8"/>
        <v>657636.84110628848</v>
      </c>
      <c r="K187" s="406">
        <f t="shared" si="9"/>
        <v>592187.01716262649</v>
      </c>
    </row>
    <row r="188" spans="1:11" x14ac:dyDescent="0.25">
      <c r="A188" s="38">
        <f>Données!A182</f>
        <v>5711</v>
      </c>
      <c r="B188" s="27" t="str">
        <f>Données!B182</f>
        <v>Commugny</v>
      </c>
      <c r="C188" s="26">
        <f>Ecrêtage!C182</f>
        <v>305460.14325236168</v>
      </c>
      <c r="D188" s="12">
        <f>Données!Z182</f>
        <v>2983</v>
      </c>
      <c r="E188" s="8">
        <f>Population!K185</f>
        <v>-859425.70422535192</v>
      </c>
      <c r="F188" s="174">
        <f>Solidarité!I182</f>
        <v>0</v>
      </c>
      <c r="G188" s="8">
        <f>DT!O182</f>
        <v>0</v>
      </c>
      <c r="H188" s="174">
        <f>Effort!K182+Aide!I182+Taux!J182</f>
        <v>0</v>
      </c>
      <c r="I188" s="240">
        <f t="shared" si="7"/>
        <v>-859425.70422535192</v>
      </c>
      <c r="J188" s="300">
        <f t="shared" si="8"/>
        <v>5988107.7855296638</v>
      </c>
      <c r="K188" s="406">
        <f t="shared" si="9"/>
        <v>5128682.0813043118</v>
      </c>
    </row>
    <row r="189" spans="1:11" x14ac:dyDescent="0.25">
      <c r="A189" s="38">
        <f>Données!A183</f>
        <v>5712</v>
      </c>
      <c r="B189" s="27" t="str">
        <f>Données!B183</f>
        <v>Coppet</v>
      </c>
      <c r="C189" s="26">
        <f>Ecrêtage!C183</f>
        <v>422775.96742138366</v>
      </c>
      <c r="D189" s="12">
        <f>Données!Z183</f>
        <v>3184</v>
      </c>
      <c r="E189" s="8">
        <f>Population!K186</f>
        <v>-962204.22535211255</v>
      </c>
      <c r="F189" s="174">
        <f>Solidarité!I183</f>
        <v>0</v>
      </c>
      <c r="G189" s="8">
        <f>DT!O183</f>
        <v>0</v>
      </c>
      <c r="H189" s="174">
        <f>Effort!K183+Aide!I183+Taux!J183</f>
        <v>0</v>
      </c>
      <c r="I189" s="240">
        <f t="shared" si="7"/>
        <v>-962204.22535211255</v>
      </c>
      <c r="J189" s="300">
        <f t="shared" si="8"/>
        <v>8287916.1749075418</v>
      </c>
      <c r="K189" s="406">
        <f t="shared" si="9"/>
        <v>7325711.9495554296</v>
      </c>
    </row>
    <row r="190" spans="1:11" x14ac:dyDescent="0.25">
      <c r="A190" s="38">
        <f>Données!A184</f>
        <v>5713</v>
      </c>
      <c r="B190" s="27" t="str">
        <f>Données!B184</f>
        <v>Crans</v>
      </c>
      <c r="C190" s="26">
        <f>Ecrêtage!C184</f>
        <v>284268.21966101695</v>
      </c>
      <c r="D190" s="12">
        <f>Données!Z184</f>
        <v>2357</v>
      </c>
      <c r="E190" s="8">
        <f>Population!K187</f>
        <v>-629524.99999999988</v>
      </c>
      <c r="F190" s="174">
        <f>Solidarité!I184</f>
        <v>0</v>
      </c>
      <c r="G190" s="8">
        <f>DT!O184</f>
        <v>0</v>
      </c>
      <c r="H190" s="174">
        <f>Effort!K184+Aide!I184+Taux!J184</f>
        <v>0</v>
      </c>
      <c r="I190" s="240">
        <f t="shared" si="7"/>
        <v>-629524.99999999988</v>
      </c>
      <c r="J190" s="300">
        <f t="shared" si="8"/>
        <v>5572670.5330733238</v>
      </c>
      <c r="K190" s="406">
        <f t="shared" si="9"/>
        <v>4943145.5330733238</v>
      </c>
    </row>
    <row r="191" spans="1:11" x14ac:dyDescent="0.25">
      <c r="A191" s="38">
        <f>Données!A185</f>
        <v>5714</v>
      </c>
      <c r="B191" s="27" t="str">
        <f>Données!B185</f>
        <v>Crassier</v>
      </c>
      <c r="C191" s="26">
        <f>Ecrêtage!C185</f>
        <v>62524.177894736851</v>
      </c>
      <c r="D191" s="12">
        <f>Données!Z185</f>
        <v>1233</v>
      </c>
      <c r="E191" s="8">
        <f>Population!K188</f>
        <v>-216732.0422535211</v>
      </c>
      <c r="F191" s="174">
        <f>Solidarité!I185</f>
        <v>0</v>
      </c>
      <c r="G191" s="8">
        <f>DT!O185</f>
        <v>0</v>
      </c>
      <c r="H191" s="174">
        <f>Effort!K185+Aide!I185+Taux!J185</f>
        <v>0</v>
      </c>
      <c r="I191" s="240">
        <f t="shared" si="7"/>
        <v>-216732.0422535211</v>
      </c>
      <c r="J191" s="300">
        <f t="shared" si="8"/>
        <v>1225696.7879635824</v>
      </c>
      <c r="K191" s="406">
        <f t="shared" si="9"/>
        <v>1008964.7457100614</v>
      </c>
    </row>
    <row r="192" spans="1:11" x14ac:dyDescent="0.25">
      <c r="A192" s="38">
        <f>Données!A186</f>
        <v>5715</v>
      </c>
      <c r="B192" s="27" t="str">
        <f>Données!B186</f>
        <v>Duillier</v>
      </c>
      <c r="C192" s="26">
        <f>Ecrêtage!C186</f>
        <v>60549.503181818189</v>
      </c>
      <c r="D192" s="12">
        <f>Données!Z186</f>
        <v>1116</v>
      </c>
      <c r="E192" s="8">
        <f>Population!K189</f>
        <v>-173763.3802816901</v>
      </c>
      <c r="F192" s="174">
        <f>Solidarité!I186</f>
        <v>0</v>
      </c>
      <c r="G192" s="8">
        <f>DT!O186</f>
        <v>0</v>
      </c>
      <c r="H192" s="174">
        <f>Effort!K186+Aide!I186+Taux!J186</f>
        <v>0</v>
      </c>
      <c r="I192" s="240">
        <f t="shared" si="7"/>
        <v>-173763.3802816901</v>
      </c>
      <c r="J192" s="300">
        <f t="shared" si="8"/>
        <v>1186986.1237950407</v>
      </c>
      <c r="K192" s="406">
        <f t="shared" si="9"/>
        <v>1013222.7435133506</v>
      </c>
    </row>
    <row r="193" spans="1:11" x14ac:dyDescent="0.25">
      <c r="A193" s="38">
        <f>Données!A187</f>
        <v>5716</v>
      </c>
      <c r="B193" s="27" t="str">
        <f>Données!B187</f>
        <v>Eysins</v>
      </c>
      <c r="C193" s="26">
        <f>Ecrêtage!C187</f>
        <v>232449.31983193275</v>
      </c>
      <c r="D193" s="12">
        <f>Données!Z187</f>
        <v>1768</v>
      </c>
      <c r="E193" s="8">
        <f>Population!K190</f>
        <v>-413212.67605633801</v>
      </c>
      <c r="F193" s="174">
        <f>Solidarité!I187</f>
        <v>0</v>
      </c>
      <c r="G193" s="8">
        <f>DT!O187</f>
        <v>0</v>
      </c>
      <c r="H193" s="174">
        <f>Effort!K187+Aide!I187+Taux!J187</f>
        <v>0</v>
      </c>
      <c r="I193" s="240">
        <f t="shared" si="7"/>
        <v>-413212.67605633801</v>
      </c>
      <c r="J193" s="300">
        <f t="shared" si="8"/>
        <v>4556835.3599464558</v>
      </c>
      <c r="K193" s="406">
        <f t="shared" si="9"/>
        <v>4143622.6838901178</v>
      </c>
    </row>
    <row r="194" spans="1:11" x14ac:dyDescent="0.25">
      <c r="A194" s="38">
        <f>Données!A188</f>
        <v>5717</v>
      </c>
      <c r="B194" s="27" t="str">
        <f>Données!B188</f>
        <v>Founex</v>
      </c>
      <c r="C194" s="26">
        <f>Ecrêtage!C188</f>
        <v>361580.60666666663</v>
      </c>
      <c r="D194" s="12">
        <f>Données!Z188</f>
        <v>3763</v>
      </c>
      <c r="E194" s="8">
        <f>Population!K191</f>
        <v>-1265975.3521126758</v>
      </c>
      <c r="F194" s="174">
        <f>Solidarité!I188</f>
        <v>0</v>
      </c>
      <c r="G194" s="8">
        <f>DT!O188</f>
        <v>0</v>
      </c>
      <c r="H194" s="174">
        <f>Effort!K188+Aide!I188+Taux!J188</f>
        <v>0</v>
      </c>
      <c r="I194" s="240">
        <f t="shared" si="7"/>
        <v>-1265975.3521126758</v>
      </c>
      <c r="J194" s="300">
        <f t="shared" si="8"/>
        <v>7088268.9401752753</v>
      </c>
      <c r="K194" s="406">
        <f t="shared" si="9"/>
        <v>5822293.5880625993</v>
      </c>
    </row>
    <row r="195" spans="1:11" x14ac:dyDescent="0.25">
      <c r="A195" s="38">
        <f>Données!A189</f>
        <v>5718</v>
      </c>
      <c r="B195" s="27" t="str">
        <f>Données!B189</f>
        <v>Genolier</v>
      </c>
      <c r="C195" s="26">
        <f>Ecrêtage!C189</f>
        <v>212690.22036363633</v>
      </c>
      <c r="D195" s="12">
        <f>Données!Z189</f>
        <v>2026</v>
      </c>
      <c r="E195" s="8">
        <f>Population!K192</f>
        <v>-507964.08450704219</v>
      </c>
      <c r="F195" s="174">
        <f>Solidarité!I189</f>
        <v>0</v>
      </c>
      <c r="G195" s="8">
        <f>DT!O189</f>
        <v>0</v>
      </c>
      <c r="H195" s="174">
        <f>Effort!K189+Aide!I189+Taux!J189</f>
        <v>0</v>
      </c>
      <c r="I195" s="240">
        <f t="shared" si="7"/>
        <v>-507964.08450704219</v>
      </c>
      <c r="J195" s="300">
        <f t="shared" si="8"/>
        <v>4169486.5683778976</v>
      </c>
      <c r="K195" s="406">
        <f t="shared" si="9"/>
        <v>3661522.4838708555</v>
      </c>
    </row>
    <row r="196" spans="1:11" x14ac:dyDescent="0.25">
      <c r="A196" s="38">
        <f>Données!A190</f>
        <v>5719</v>
      </c>
      <c r="B196" s="27" t="str">
        <f>Données!B190</f>
        <v>Gingins</v>
      </c>
      <c r="C196" s="26">
        <f>Ecrêtage!C190</f>
        <v>119942.45777777776</v>
      </c>
      <c r="D196" s="12">
        <f>Données!Z190</f>
        <v>1270</v>
      </c>
      <c r="E196" s="8">
        <f>Population!K193</f>
        <v>-230320.42253521123</v>
      </c>
      <c r="F196" s="174">
        <f>Solidarité!I190</f>
        <v>0</v>
      </c>
      <c r="G196" s="8">
        <f>DT!O190</f>
        <v>0</v>
      </c>
      <c r="H196" s="174">
        <f>Effort!K190+Aide!I190+Taux!J190</f>
        <v>0</v>
      </c>
      <c r="I196" s="240">
        <f t="shared" si="7"/>
        <v>-230320.42253521123</v>
      </c>
      <c r="J196" s="300">
        <f t="shared" si="8"/>
        <v>2351299.7721646978</v>
      </c>
      <c r="K196" s="406">
        <f t="shared" si="9"/>
        <v>2120979.3496294864</v>
      </c>
    </row>
    <row r="197" spans="1:11" x14ac:dyDescent="0.25">
      <c r="A197" s="38">
        <f>Données!A191</f>
        <v>5720</v>
      </c>
      <c r="B197" s="27" t="str">
        <f>Données!B191</f>
        <v>Givrins</v>
      </c>
      <c r="C197" s="26">
        <f>Ecrêtage!C191</f>
        <v>84867.165124378109</v>
      </c>
      <c r="D197" s="12">
        <f>Données!Z191</f>
        <v>1024</v>
      </c>
      <c r="E197" s="8">
        <f>Population!K194</f>
        <v>-139976.05633802814</v>
      </c>
      <c r="F197" s="174">
        <f>Solidarité!I191</f>
        <v>0</v>
      </c>
      <c r="G197" s="8">
        <f>DT!O191</f>
        <v>-19073.939675739599</v>
      </c>
      <c r="H197" s="174">
        <f>Effort!K191+Aide!I191+Taux!J191</f>
        <v>0</v>
      </c>
      <c r="I197" s="240">
        <f t="shared" si="7"/>
        <v>-159049.99601376773</v>
      </c>
      <c r="J197" s="300">
        <f t="shared" si="8"/>
        <v>1663698.9913190287</v>
      </c>
      <c r="K197" s="406">
        <f t="shared" si="9"/>
        <v>1504648.9953052609</v>
      </c>
    </row>
    <row r="198" spans="1:11" x14ac:dyDescent="0.25">
      <c r="A198" s="38">
        <f>Données!A192</f>
        <v>5721</v>
      </c>
      <c r="B198" s="27" t="str">
        <f>Données!B192</f>
        <v>Gland</v>
      </c>
      <c r="C198" s="26">
        <f>Ecrêtage!C192</f>
        <v>688905.14770491805</v>
      </c>
      <c r="D198" s="12">
        <f>Données!Z192</f>
        <v>13686</v>
      </c>
      <c r="E198" s="8">
        <f>Population!K195</f>
        <v>-8878091.5492957737</v>
      </c>
      <c r="F198" s="174">
        <f>Solidarité!I192</f>
        <v>0</v>
      </c>
      <c r="G198" s="8">
        <f>DT!O192</f>
        <v>0</v>
      </c>
      <c r="H198" s="174">
        <f>Effort!K192+Aide!I192+Taux!J192</f>
        <v>0</v>
      </c>
      <c r="I198" s="240">
        <f t="shared" si="7"/>
        <v>-8878091.5492957737</v>
      </c>
      <c r="J198" s="300">
        <f t="shared" si="8"/>
        <v>13504996.869772105</v>
      </c>
      <c r="K198" s="406">
        <f t="shared" si="9"/>
        <v>4626905.3204763308</v>
      </c>
    </row>
    <row r="199" spans="1:11" x14ac:dyDescent="0.25">
      <c r="A199" s="38">
        <f>Données!A193</f>
        <v>5722</v>
      </c>
      <c r="B199" s="27" t="str">
        <f>Données!B193</f>
        <v>Grens</v>
      </c>
      <c r="C199" s="26">
        <f>Ecrêtage!C193</f>
        <v>20912.601129032257</v>
      </c>
      <c r="D199" s="12">
        <f>Données!Z193</f>
        <v>400</v>
      </c>
      <c r="E199" s="8">
        <f>Population!K196</f>
        <v>-52464.788732394358</v>
      </c>
      <c r="F199" s="174">
        <f>Solidarité!I193</f>
        <v>0</v>
      </c>
      <c r="G199" s="8">
        <f>DT!O193</f>
        <v>0</v>
      </c>
      <c r="H199" s="174">
        <f>Effort!K193+Aide!I193+Taux!J193</f>
        <v>0</v>
      </c>
      <c r="I199" s="240">
        <f t="shared" si="7"/>
        <v>-52464.788732394358</v>
      </c>
      <c r="J199" s="300">
        <f t="shared" si="8"/>
        <v>409961.53639912332</v>
      </c>
      <c r="K199" s="406">
        <f t="shared" si="9"/>
        <v>357496.74766672897</v>
      </c>
    </row>
    <row r="200" spans="1:11" x14ac:dyDescent="0.25">
      <c r="A200" s="38">
        <f>Données!A194</f>
        <v>5723</v>
      </c>
      <c r="B200" s="27" t="str">
        <f>Données!B194</f>
        <v>Mies</v>
      </c>
      <c r="C200" s="26">
        <f>Ecrêtage!C194</f>
        <v>253768.06750000003</v>
      </c>
      <c r="D200" s="12">
        <f>Données!Z194</f>
        <v>2226</v>
      </c>
      <c r="E200" s="8">
        <f>Population!K197</f>
        <v>-581414.78873239423</v>
      </c>
      <c r="F200" s="174">
        <f>Solidarité!I194</f>
        <v>0</v>
      </c>
      <c r="G200" s="8">
        <f>DT!O194</f>
        <v>0</v>
      </c>
      <c r="H200" s="174">
        <f>Effort!K194+Aide!I194+Taux!J194</f>
        <v>0</v>
      </c>
      <c r="I200" s="240">
        <f t="shared" si="7"/>
        <v>-581414.78873239423</v>
      </c>
      <c r="J200" s="300">
        <f t="shared" si="8"/>
        <v>4974758.816439528</v>
      </c>
      <c r="K200" s="406">
        <f t="shared" si="9"/>
        <v>4393344.0277071334</v>
      </c>
    </row>
    <row r="201" spans="1:11" x14ac:dyDescent="0.25">
      <c r="A201" s="38">
        <f>Données!A195</f>
        <v>5724</v>
      </c>
      <c r="B201" s="27" t="str">
        <f>Données!B195</f>
        <v>Nyon</v>
      </c>
      <c r="C201" s="26">
        <f>Ecrêtage!C195</f>
        <v>1519986.9332786887</v>
      </c>
      <c r="D201" s="12">
        <f>Données!Z195</f>
        <v>22461</v>
      </c>
      <c r="E201" s="8">
        <f>Population!K198</f>
        <v>-18477101.760563377</v>
      </c>
      <c r="F201" s="174">
        <f>Solidarité!I195</f>
        <v>0</v>
      </c>
      <c r="G201" s="8">
        <f>DT!O195</f>
        <v>-1469550.9938052297</v>
      </c>
      <c r="H201" s="174">
        <f>Effort!K195+Aide!I195+Taux!J195</f>
        <v>0</v>
      </c>
      <c r="I201" s="240">
        <f t="shared" si="7"/>
        <v>-19946652.754368607</v>
      </c>
      <c r="J201" s="300">
        <f t="shared" si="8"/>
        <v>29797162.707246594</v>
      </c>
      <c r="K201" s="406">
        <f t="shared" si="9"/>
        <v>9850509.9528779872</v>
      </c>
    </row>
    <row r="202" spans="1:11" x14ac:dyDescent="0.25">
      <c r="A202" s="38">
        <f>Données!A196</f>
        <v>5725</v>
      </c>
      <c r="B202" s="27" t="str">
        <f>Données!B196</f>
        <v>Prangins</v>
      </c>
      <c r="C202" s="26">
        <f>Ecrêtage!C196</f>
        <v>388906.70535064931</v>
      </c>
      <c r="D202" s="12">
        <f>Données!Z196</f>
        <v>4277</v>
      </c>
      <c r="E202" s="8">
        <f>Population!K199</f>
        <v>-1535644.3661971828</v>
      </c>
      <c r="F202" s="174">
        <f>Solidarité!I196</f>
        <v>0</v>
      </c>
      <c r="G202" s="8">
        <f>DT!O196</f>
        <v>0</v>
      </c>
      <c r="H202" s="174">
        <f>Effort!K196+Aide!I196+Taux!J196</f>
        <v>0</v>
      </c>
      <c r="I202" s="240">
        <f t="shared" si="7"/>
        <v>-1535644.3661971828</v>
      </c>
      <c r="J202" s="300">
        <f t="shared" si="8"/>
        <v>7623957.8930299897</v>
      </c>
      <c r="K202" s="406">
        <f t="shared" si="9"/>
        <v>6088313.5268328069</v>
      </c>
    </row>
    <row r="203" spans="1:11" x14ac:dyDescent="0.25">
      <c r="A203" s="38">
        <f>Données!A197</f>
        <v>5726</v>
      </c>
      <c r="B203" s="27" t="str">
        <f>Données!B197</f>
        <v>La Rippe</v>
      </c>
      <c r="C203" s="26">
        <f>Ecrêtage!C197</f>
        <v>69785.14234375002</v>
      </c>
      <c r="D203" s="12">
        <f>Données!Z197</f>
        <v>1197</v>
      </c>
      <c r="E203" s="8">
        <f>Population!K200</f>
        <v>-203510.91549295769</v>
      </c>
      <c r="F203" s="174">
        <f>Solidarité!I197</f>
        <v>0</v>
      </c>
      <c r="G203" s="8">
        <f>DT!O197</f>
        <v>0</v>
      </c>
      <c r="H203" s="174">
        <f>Effort!K197+Aide!I197+Taux!J197</f>
        <v>0</v>
      </c>
      <c r="I203" s="240">
        <f t="shared" si="7"/>
        <v>-203510.91549295769</v>
      </c>
      <c r="J203" s="300">
        <f t="shared" si="8"/>
        <v>1368037.5767966071</v>
      </c>
      <c r="K203" s="406">
        <f t="shared" si="9"/>
        <v>1164526.6613036494</v>
      </c>
    </row>
    <row r="204" spans="1:11" x14ac:dyDescent="0.25">
      <c r="A204" s="38">
        <f>Données!A198</f>
        <v>5727</v>
      </c>
      <c r="B204" s="27" t="str">
        <f>Données!B198</f>
        <v>Saint-Cergue</v>
      </c>
      <c r="C204" s="26">
        <f>Ecrêtage!C198</f>
        <v>107047.00984848487</v>
      </c>
      <c r="D204" s="12">
        <f>Données!Z198</f>
        <v>2786</v>
      </c>
      <c r="E204" s="8">
        <f>Population!K201</f>
        <v>-787076.76056338008</v>
      </c>
      <c r="F204" s="174">
        <f>Solidarité!I198</f>
        <v>-459289.58666075976</v>
      </c>
      <c r="G204" s="8">
        <f>DT!O198</f>
        <v>-348703.50906753977</v>
      </c>
      <c r="H204" s="174">
        <f>Effort!K198+Aide!I198+Taux!J198</f>
        <v>0</v>
      </c>
      <c r="I204" s="240">
        <f t="shared" si="7"/>
        <v>-1595069.8562916797</v>
      </c>
      <c r="J204" s="300">
        <f t="shared" si="8"/>
        <v>2098503.0199563587</v>
      </c>
      <c r="K204" s="406">
        <f t="shared" si="9"/>
        <v>503433.16366467904</v>
      </c>
    </row>
    <row r="205" spans="1:11" x14ac:dyDescent="0.25">
      <c r="A205" s="38">
        <f>Données!A199</f>
        <v>5728</v>
      </c>
      <c r="B205" s="27" t="str">
        <f>Données!B199</f>
        <v>Signy-Avenex</v>
      </c>
      <c r="C205" s="26">
        <f>Ecrêtage!C199</f>
        <v>65974.816379310345</v>
      </c>
      <c r="D205" s="12">
        <f>Données!Z199</f>
        <v>583</v>
      </c>
      <c r="E205" s="8">
        <f>Population!K202</f>
        <v>-76467.429577464776</v>
      </c>
      <c r="F205" s="174">
        <f>Solidarité!I199</f>
        <v>0</v>
      </c>
      <c r="G205" s="8">
        <f>DT!O199</f>
        <v>0</v>
      </c>
      <c r="H205" s="174">
        <f>Effort!K199+Aide!I199+Taux!J199</f>
        <v>0</v>
      </c>
      <c r="I205" s="240">
        <f t="shared" ref="I205:I268" si="10">SUM(E205:H205)</f>
        <v>-76467.429577464776</v>
      </c>
      <c r="J205" s="300">
        <f t="shared" ref="J205:J268" si="11">C205*$J$11</f>
        <v>1293341.6039271888</v>
      </c>
      <c r="K205" s="406">
        <f t="shared" ref="K205:K268" si="12">I205+J205</f>
        <v>1216874.1743497241</v>
      </c>
    </row>
    <row r="206" spans="1:11" x14ac:dyDescent="0.25">
      <c r="A206" s="38">
        <f>Données!A200</f>
        <v>5729</v>
      </c>
      <c r="B206" s="27" t="str">
        <f>Données!B200</f>
        <v>Tannay</v>
      </c>
      <c r="C206" s="26">
        <f>Ecrêtage!C200</f>
        <v>189083.86110192843</v>
      </c>
      <c r="D206" s="12">
        <f>Données!Z200</f>
        <v>1720</v>
      </c>
      <c r="E206" s="8">
        <f>Population!K203</f>
        <v>-395584.50704225351</v>
      </c>
      <c r="F206" s="174">
        <f>Solidarité!I200</f>
        <v>0</v>
      </c>
      <c r="G206" s="8">
        <f>DT!O200</f>
        <v>0</v>
      </c>
      <c r="H206" s="174">
        <f>Effort!K200+Aide!I200+Taux!J200</f>
        <v>0</v>
      </c>
      <c r="I206" s="240">
        <f t="shared" si="10"/>
        <v>-395584.50704225351</v>
      </c>
      <c r="J206" s="300">
        <f t="shared" si="11"/>
        <v>3706717.7692214781</v>
      </c>
      <c r="K206" s="406">
        <f t="shared" si="12"/>
        <v>3311133.2621792248</v>
      </c>
    </row>
    <row r="207" spans="1:11" x14ac:dyDescent="0.25">
      <c r="A207" s="38">
        <f>Données!A201</f>
        <v>5730</v>
      </c>
      <c r="B207" s="27" t="str">
        <f>Données!B201</f>
        <v>Trélex</v>
      </c>
      <c r="C207" s="26">
        <f>Ecrêtage!C201</f>
        <v>121413.58176176177</v>
      </c>
      <c r="D207" s="12">
        <f>Données!Z201</f>
        <v>1427</v>
      </c>
      <c r="E207" s="8">
        <f>Population!K204</f>
        <v>-287979.22535211267</v>
      </c>
      <c r="F207" s="174">
        <f>Solidarité!I201</f>
        <v>0</v>
      </c>
      <c r="G207" s="8">
        <f>DT!O201</f>
        <v>0</v>
      </c>
      <c r="H207" s="174">
        <f>Effort!K201+Aide!I201+Taux!J201</f>
        <v>0</v>
      </c>
      <c r="I207" s="240">
        <f t="shared" si="10"/>
        <v>-287979.22535211267</v>
      </c>
      <c r="J207" s="300">
        <f t="shared" si="11"/>
        <v>2380139.0468673753</v>
      </c>
      <c r="K207" s="406">
        <f t="shared" si="12"/>
        <v>2092159.8215152626</v>
      </c>
    </row>
    <row r="208" spans="1:11" x14ac:dyDescent="0.25">
      <c r="A208" s="38">
        <f>Données!A202</f>
        <v>5731</v>
      </c>
      <c r="B208" s="27" t="str">
        <f>Données!B202</f>
        <v>Le Vaud</v>
      </c>
      <c r="C208" s="26">
        <f>Ecrêtage!C202</f>
        <v>69610.281891891893</v>
      </c>
      <c r="D208" s="12">
        <f>Données!Z202</f>
        <v>1411</v>
      </c>
      <c r="E208" s="8">
        <f>Population!K205</f>
        <v>-282103.1690140845</v>
      </c>
      <c r="F208" s="174">
        <f>Solidarité!I202</f>
        <v>0</v>
      </c>
      <c r="G208" s="8">
        <f>DT!O202</f>
        <v>-24976.223764246257</v>
      </c>
      <c r="H208" s="174">
        <f>Effort!K202+Aide!I202+Taux!J202</f>
        <v>0</v>
      </c>
      <c r="I208" s="240">
        <f t="shared" si="10"/>
        <v>-307079.39277833077</v>
      </c>
      <c r="J208" s="300">
        <f t="shared" si="11"/>
        <v>1364609.6885555941</v>
      </c>
      <c r="K208" s="406">
        <f t="shared" si="12"/>
        <v>1057530.2957772634</v>
      </c>
    </row>
    <row r="209" spans="1:11" x14ac:dyDescent="0.25">
      <c r="A209" s="38">
        <f>Données!A203</f>
        <v>5732</v>
      </c>
      <c r="B209" s="27" t="str">
        <f>Données!B203</f>
        <v>Vich</v>
      </c>
      <c r="C209" s="26">
        <f>Ecrêtage!C203</f>
        <v>79859.716666666689</v>
      </c>
      <c r="D209" s="12">
        <f>Données!Z203</f>
        <v>1160</v>
      </c>
      <c r="E209" s="8">
        <f>Population!K206</f>
        <v>-189922.53521126756</v>
      </c>
      <c r="F209" s="174">
        <f>Solidarité!I203</f>
        <v>0</v>
      </c>
      <c r="G209" s="8">
        <f>DT!O203</f>
        <v>0</v>
      </c>
      <c r="H209" s="174">
        <f>Effort!K203+Aide!I203+Taux!J203</f>
        <v>0</v>
      </c>
      <c r="I209" s="240">
        <f t="shared" si="10"/>
        <v>-189922.53521126756</v>
      </c>
      <c r="J209" s="300">
        <f t="shared" si="11"/>
        <v>1565535.1497913061</v>
      </c>
      <c r="K209" s="406">
        <f t="shared" si="12"/>
        <v>1375612.6145800385</v>
      </c>
    </row>
    <row r="210" spans="1:11" x14ac:dyDescent="0.25">
      <c r="A210" s="38">
        <f>Données!A204</f>
        <v>5741</v>
      </c>
      <c r="B210" s="27" t="str">
        <f>Données!B204</f>
        <v>L'Abergement</v>
      </c>
      <c r="C210" s="26">
        <f>Ecrêtage!C204</f>
        <v>10833.767520833331</v>
      </c>
      <c r="D210" s="12">
        <f>Données!Z204</f>
        <v>260</v>
      </c>
      <c r="E210" s="8">
        <f>Population!K207</f>
        <v>-34102.112676056335</v>
      </c>
      <c r="F210" s="174">
        <f>Solidarité!I204</f>
        <v>-41431.132664356257</v>
      </c>
      <c r="G210" s="8">
        <f>DT!O204</f>
        <v>-112994.74461360808</v>
      </c>
      <c r="H210" s="174">
        <f>Effort!K204+Aide!I204+Taux!J204</f>
        <v>0</v>
      </c>
      <c r="I210" s="240">
        <f t="shared" si="10"/>
        <v>-188527.98995402068</v>
      </c>
      <c r="J210" s="300">
        <f t="shared" si="11"/>
        <v>212380.46622836744</v>
      </c>
      <c r="K210" s="406">
        <f t="shared" si="12"/>
        <v>23852.476274346758</v>
      </c>
    </row>
    <row r="211" spans="1:11" x14ac:dyDescent="0.25">
      <c r="A211" s="38">
        <f>Données!A205</f>
        <v>5742</v>
      </c>
      <c r="B211" s="27" t="str">
        <f>Données!B205</f>
        <v>Agiez</v>
      </c>
      <c r="C211" s="26">
        <f>Ecrêtage!C205</f>
        <v>9049.0200000000023</v>
      </c>
      <c r="D211" s="12">
        <f>Données!Z205</f>
        <v>381</v>
      </c>
      <c r="E211" s="8">
        <f>Population!K208</f>
        <v>-49972.711267605628</v>
      </c>
      <c r="F211" s="174">
        <f>Solidarité!I205</f>
        <v>-212110.51771649427</v>
      </c>
      <c r="G211" s="8">
        <f>DT!O205</f>
        <v>-41250.022098115798</v>
      </c>
      <c r="H211" s="174">
        <f>Effort!K205+Aide!I205+Taux!J205</f>
        <v>0</v>
      </c>
      <c r="I211" s="240">
        <f t="shared" si="10"/>
        <v>-303333.25108221569</v>
      </c>
      <c r="J211" s="300">
        <f t="shared" si="11"/>
        <v>177393.05212283111</v>
      </c>
      <c r="K211" s="406">
        <f t="shared" si="12"/>
        <v>-125940.19895938458</v>
      </c>
    </row>
    <row r="212" spans="1:11" x14ac:dyDescent="0.25">
      <c r="A212" s="38">
        <f>Données!A206</f>
        <v>5743</v>
      </c>
      <c r="B212" s="27" t="str">
        <f>Données!B206</f>
        <v>Arnex-sur-Orbe</v>
      </c>
      <c r="C212" s="26">
        <f>Ecrêtage!C206</f>
        <v>19423.434366197183</v>
      </c>
      <c r="D212" s="12">
        <f>Données!Z206</f>
        <v>692</v>
      </c>
      <c r="E212" s="8">
        <f>Population!K209</f>
        <v>-90764.084507042237</v>
      </c>
      <c r="F212" s="174">
        <f>Solidarité!I206</f>
        <v>-276132.88253860374</v>
      </c>
      <c r="G212" s="8">
        <f>DT!O206</f>
        <v>-91118.449096151686</v>
      </c>
      <c r="H212" s="174">
        <f>Effort!K206+Aide!I206+Taux!J206</f>
        <v>0</v>
      </c>
      <c r="I212" s="240">
        <f t="shared" si="10"/>
        <v>-458015.41614179767</v>
      </c>
      <c r="J212" s="300">
        <f t="shared" si="11"/>
        <v>380768.55890772759</v>
      </c>
      <c r="K212" s="406">
        <f t="shared" si="12"/>
        <v>-77246.857234070078</v>
      </c>
    </row>
    <row r="213" spans="1:11" x14ac:dyDescent="0.25">
      <c r="A213" s="38">
        <f>Données!A207</f>
        <v>5744</v>
      </c>
      <c r="B213" s="27" t="str">
        <f>Données!B207</f>
        <v>Ballaigues</v>
      </c>
      <c r="C213" s="26">
        <f>Ecrêtage!C207</f>
        <v>54083.704307692322</v>
      </c>
      <c r="D213" s="12">
        <f>Données!Z207</f>
        <v>1152</v>
      </c>
      <c r="E213" s="8">
        <f>Population!K210</f>
        <v>-186984.50704225348</v>
      </c>
      <c r="F213" s="174">
        <f>Solidarité!I207</f>
        <v>-18667.698322095588</v>
      </c>
      <c r="G213" s="8">
        <f>DT!O207</f>
        <v>-316260.13298997475</v>
      </c>
      <c r="H213" s="174">
        <f>Effort!K207+Aide!I207+Taux!J207</f>
        <v>0</v>
      </c>
      <c r="I213" s="240">
        <f t="shared" si="10"/>
        <v>-521912.33835432382</v>
      </c>
      <c r="J213" s="300">
        <f t="shared" si="11"/>
        <v>1060233.4150272899</v>
      </c>
      <c r="K213" s="406">
        <f t="shared" si="12"/>
        <v>538321.07667296613</v>
      </c>
    </row>
    <row r="214" spans="1:11" x14ac:dyDescent="0.25">
      <c r="A214" s="38">
        <f>Données!A208</f>
        <v>5745</v>
      </c>
      <c r="B214" s="27" t="str">
        <f>Données!B208</f>
        <v>Baulmes</v>
      </c>
      <c r="C214" s="26">
        <f>Ecrêtage!C208</f>
        <v>27704.620130718955</v>
      </c>
      <c r="D214" s="12">
        <f>Données!Z208</f>
        <v>1132</v>
      </c>
      <c r="E214" s="8">
        <f>Population!K211</f>
        <v>-179639.43661971827</v>
      </c>
      <c r="F214" s="174">
        <f>Solidarité!I208</f>
        <v>-619408.58319549216</v>
      </c>
      <c r="G214" s="8">
        <f>DT!O208</f>
        <v>-368190.65994635003</v>
      </c>
      <c r="H214" s="174">
        <f>Effort!K208+Aide!I208+Taux!J208</f>
        <v>0</v>
      </c>
      <c r="I214" s="240">
        <f t="shared" si="10"/>
        <v>-1167238.6797615606</v>
      </c>
      <c r="J214" s="300">
        <f t="shared" si="11"/>
        <v>543109.32265503472</v>
      </c>
      <c r="K214" s="406">
        <f t="shared" si="12"/>
        <v>-624129.35710652592</v>
      </c>
    </row>
    <row r="215" spans="1:11" x14ac:dyDescent="0.25">
      <c r="A215" s="38">
        <f>Données!A209</f>
        <v>5746</v>
      </c>
      <c r="B215" s="27" t="str">
        <f>Données!B209</f>
        <v>Bavois</v>
      </c>
      <c r="C215" s="26">
        <f>Ecrêtage!C209</f>
        <v>29513.069143518514</v>
      </c>
      <c r="D215" s="12">
        <f>Données!Z209</f>
        <v>1009</v>
      </c>
      <c r="E215" s="8">
        <f>Population!K212</f>
        <v>-134467.25352112672</v>
      </c>
      <c r="F215" s="174">
        <f>Solidarité!I209</f>
        <v>-389396.83021873009</v>
      </c>
      <c r="G215" s="8">
        <f>DT!O209</f>
        <v>-261284.54565946449</v>
      </c>
      <c r="H215" s="174">
        <f>Effort!K209+Aide!I209+Taux!J209</f>
        <v>0</v>
      </c>
      <c r="I215" s="240">
        <f t="shared" si="10"/>
        <v>-785148.62939932127</v>
      </c>
      <c r="J215" s="300">
        <f t="shared" si="11"/>
        <v>578561.37049988809</v>
      </c>
      <c r="K215" s="406">
        <f t="shared" si="12"/>
        <v>-206587.25889943319</v>
      </c>
    </row>
    <row r="216" spans="1:11" x14ac:dyDescent="0.25">
      <c r="A216" s="38">
        <f>Données!A210</f>
        <v>5747</v>
      </c>
      <c r="B216" s="27" t="str">
        <f>Données!B210</f>
        <v>Bofflens</v>
      </c>
      <c r="C216" s="26">
        <f>Ecrêtage!C210</f>
        <v>5777.9618840579697</v>
      </c>
      <c r="D216" s="12">
        <f>Données!Z210</f>
        <v>204</v>
      </c>
      <c r="E216" s="8">
        <f>Population!K213</f>
        <v>-26757.042253521122</v>
      </c>
      <c r="F216" s="174">
        <f>Solidarité!I210</f>
        <v>-75894.489264494434</v>
      </c>
      <c r="G216" s="8">
        <f>DT!O210</f>
        <v>-20493.446597288588</v>
      </c>
      <c r="H216" s="174">
        <f>Effort!K210+Aide!I210+Taux!J210</f>
        <v>0</v>
      </c>
      <c r="I216" s="240">
        <f t="shared" si="10"/>
        <v>-123144.97811530414</v>
      </c>
      <c r="J216" s="300">
        <f t="shared" si="11"/>
        <v>113268.65159568955</v>
      </c>
      <c r="K216" s="406">
        <f t="shared" si="12"/>
        <v>-9876.3265196145949</v>
      </c>
    </row>
    <row r="217" spans="1:11" x14ac:dyDescent="0.25">
      <c r="A217" s="38">
        <f>Données!A211</f>
        <v>5748</v>
      </c>
      <c r="B217" s="27" t="str">
        <f>Données!B211</f>
        <v>Bretonnières</v>
      </c>
      <c r="C217" s="26">
        <f>Ecrêtage!C211</f>
        <v>6762.44146572104</v>
      </c>
      <c r="D217" s="12">
        <f>Données!Z211</f>
        <v>264</v>
      </c>
      <c r="E217" s="8">
        <f>Population!K214</f>
        <v>-34626.760563380274</v>
      </c>
      <c r="F217" s="174">
        <f>Solidarité!I211</f>
        <v>-116709.9662803238</v>
      </c>
      <c r="G217" s="8">
        <f>DT!O211</f>
        <v>-81677.146943462867</v>
      </c>
      <c r="H217" s="174">
        <f>Effort!K211+Aide!I211+Taux!J211</f>
        <v>0</v>
      </c>
      <c r="I217" s="240">
        <f t="shared" si="10"/>
        <v>-233013.87378716693</v>
      </c>
      <c r="J217" s="300">
        <f t="shared" si="11"/>
        <v>132567.96110587075</v>
      </c>
      <c r="K217" s="406">
        <f t="shared" si="12"/>
        <v>-100445.91268129618</v>
      </c>
    </row>
    <row r="218" spans="1:11" x14ac:dyDescent="0.25">
      <c r="A218" s="38">
        <f>Données!A212</f>
        <v>5749</v>
      </c>
      <c r="B218" s="27" t="str">
        <f>Données!B212</f>
        <v>Chavornay</v>
      </c>
      <c r="C218" s="26">
        <f>Ecrêtage!C212</f>
        <v>144688.12992907799</v>
      </c>
      <c r="D218" s="12">
        <f>Données!Z212</f>
        <v>5405</v>
      </c>
      <c r="E218" s="8">
        <f>Population!K215</f>
        <v>-2169943.6619718308</v>
      </c>
      <c r="F218" s="174">
        <f>Solidarité!I212</f>
        <v>-2265772.41726575</v>
      </c>
      <c r="G218" s="8">
        <f>DT!O212</f>
        <v>-798980.65413515666</v>
      </c>
      <c r="H218" s="174">
        <f>Effort!K212+Aide!I212+Taux!J212</f>
        <v>0</v>
      </c>
      <c r="I218" s="240">
        <f t="shared" si="10"/>
        <v>-5234696.7333727367</v>
      </c>
      <c r="J218" s="300">
        <f t="shared" si="11"/>
        <v>2836403.1656537266</v>
      </c>
      <c r="K218" s="406">
        <f t="shared" si="12"/>
        <v>-2398293.5677190102</v>
      </c>
    </row>
    <row r="219" spans="1:11" x14ac:dyDescent="0.25">
      <c r="A219" s="38">
        <f>Données!A213</f>
        <v>5750</v>
      </c>
      <c r="B219" s="27" t="str">
        <f>Données!B213</f>
        <v>Les Clées</v>
      </c>
      <c r="C219" s="26">
        <f>Ecrêtage!C213</f>
        <v>5460.4397083333333</v>
      </c>
      <c r="D219" s="12">
        <f>Données!Z213</f>
        <v>186</v>
      </c>
      <c r="E219" s="8">
        <f>Population!K216</f>
        <v>-24396.126760563377</v>
      </c>
      <c r="F219" s="174">
        <f>Solidarité!I213</f>
        <v>-88109.476570410727</v>
      </c>
      <c r="G219" s="8">
        <f>DT!O213</f>
        <v>-53649.371642472659</v>
      </c>
      <c r="H219" s="174">
        <f>Effort!K213+Aide!I213+Taux!J213</f>
        <v>0</v>
      </c>
      <c r="I219" s="240">
        <f t="shared" si="10"/>
        <v>-166154.97497344675</v>
      </c>
      <c r="J219" s="300">
        <f t="shared" si="11"/>
        <v>107044.08497206896</v>
      </c>
      <c r="K219" s="406">
        <f t="shared" si="12"/>
        <v>-59110.890001377789</v>
      </c>
    </row>
    <row r="220" spans="1:11" x14ac:dyDescent="0.25">
      <c r="A220" s="38">
        <f>Données!A214</f>
        <v>5752</v>
      </c>
      <c r="B220" s="27" t="str">
        <f>Données!B214</f>
        <v>Croy</v>
      </c>
      <c r="C220" s="26">
        <f>Ecrêtage!C214</f>
        <v>10204.205250965251</v>
      </c>
      <c r="D220" s="12">
        <f>Données!Z214</f>
        <v>386</v>
      </c>
      <c r="E220" s="8">
        <f>Population!K217</f>
        <v>-50628.521126760555</v>
      </c>
      <c r="F220" s="174">
        <f>Solidarité!I214</f>
        <v>-181088.9724924555</v>
      </c>
      <c r="G220" s="8">
        <f>DT!O214</f>
        <v>-256913.82616826185</v>
      </c>
      <c r="H220" s="174">
        <f>Effort!K214+Aide!I214+Taux!J214</f>
        <v>0</v>
      </c>
      <c r="I220" s="240">
        <f t="shared" si="10"/>
        <v>-488631.3197874779</v>
      </c>
      <c r="J220" s="300">
        <f t="shared" si="11"/>
        <v>200038.80132396054</v>
      </c>
      <c r="K220" s="406">
        <f t="shared" si="12"/>
        <v>-288592.51846351736</v>
      </c>
    </row>
    <row r="221" spans="1:11" x14ac:dyDescent="0.25">
      <c r="A221" s="38">
        <f>Données!A215</f>
        <v>5754</v>
      </c>
      <c r="B221" s="27" t="str">
        <f>Données!B215</f>
        <v>Juriens</v>
      </c>
      <c r="C221" s="26">
        <f>Ecrêtage!C215</f>
        <v>8633.221645569618</v>
      </c>
      <c r="D221" s="12">
        <f>Données!Z215</f>
        <v>346</v>
      </c>
      <c r="E221" s="8">
        <f>Population!K218</f>
        <v>-45382.042253521118</v>
      </c>
      <c r="F221" s="174">
        <f>Solidarité!I215</f>
        <v>-197787.3624278731</v>
      </c>
      <c r="G221" s="8">
        <f>DT!O215</f>
        <v>-32096.950381337629</v>
      </c>
      <c r="H221" s="174">
        <f>Effort!K215+Aide!I215+Taux!J215</f>
        <v>0</v>
      </c>
      <c r="I221" s="240">
        <f t="shared" si="10"/>
        <v>-275266.35506273183</v>
      </c>
      <c r="J221" s="300">
        <f t="shared" si="11"/>
        <v>169241.9220380201</v>
      </c>
      <c r="K221" s="406">
        <f t="shared" si="12"/>
        <v>-106024.43302471173</v>
      </c>
    </row>
    <row r="222" spans="1:11" x14ac:dyDescent="0.25">
      <c r="A222" s="38">
        <f>Données!A216</f>
        <v>5755</v>
      </c>
      <c r="B222" s="27" t="str">
        <f>Données!B216</f>
        <v>Lignerolle</v>
      </c>
      <c r="C222" s="26">
        <f>Ecrêtage!C216</f>
        <v>10920.772411282986</v>
      </c>
      <c r="D222" s="12">
        <f>Données!Z216</f>
        <v>447</v>
      </c>
      <c r="E222" s="8">
        <f>Population!K219</f>
        <v>-58629.401408450693</v>
      </c>
      <c r="F222" s="174">
        <f>Solidarité!I216</f>
        <v>-258016.20141073642</v>
      </c>
      <c r="G222" s="8">
        <f>DT!O216</f>
        <v>-121824.02720403878</v>
      </c>
      <c r="H222" s="174">
        <f>Effort!K216+Aide!I216+Taux!J216</f>
        <v>0</v>
      </c>
      <c r="I222" s="240">
        <f t="shared" si="10"/>
        <v>-438469.63002322591</v>
      </c>
      <c r="J222" s="300">
        <f t="shared" si="11"/>
        <v>214086.07225713925</v>
      </c>
      <c r="K222" s="406">
        <f t="shared" si="12"/>
        <v>-224383.55776608665</v>
      </c>
    </row>
    <row r="223" spans="1:11" x14ac:dyDescent="0.25">
      <c r="A223" s="38">
        <f>Données!A217</f>
        <v>5756</v>
      </c>
      <c r="B223" s="27" t="str">
        <f>Données!B217</f>
        <v>Montcherand</v>
      </c>
      <c r="C223" s="26">
        <f>Ecrêtage!C217</f>
        <v>17503.013888888887</v>
      </c>
      <c r="D223" s="12">
        <f>Données!Z217</f>
        <v>496</v>
      </c>
      <c r="E223" s="8">
        <f>Population!K220</f>
        <v>-65056.338028169004</v>
      </c>
      <c r="F223" s="174">
        <f>Solidarité!I217</f>
        <v>-129470.97113912211</v>
      </c>
      <c r="G223" s="8">
        <f>DT!O217</f>
        <v>-55175.688705214307</v>
      </c>
      <c r="H223" s="174">
        <f>Effort!K217+Aide!I217+Taux!J217</f>
        <v>0</v>
      </c>
      <c r="I223" s="240">
        <f t="shared" si="10"/>
        <v>-249702.9978725054</v>
      </c>
      <c r="J223" s="300">
        <f t="shared" si="11"/>
        <v>343121.47117569664</v>
      </c>
      <c r="K223" s="406">
        <f t="shared" si="12"/>
        <v>93418.473303191247</v>
      </c>
    </row>
    <row r="224" spans="1:11" x14ac:dyDescent="0.25">
      <c r="A224" s="38">
        <f>Données!A218</f>
        <v>5757</v>
      </c>
      <c r="B224" s="27" t="str">
        <f>Données!B218</f>
        <v>Orbe</v>
      </c>
      <c r="C224" s="26">
        <f>Ecrêtage!C218</f>
        <v>217746.16132450331</v>
      </c>
      <c r="D224" s="12">
        <f>Données!Z218</f>
        <v>7617</v>
      </c>
      <c r="E224" s="8">
        <f>Population!K221</f>
        <v>-3562569.0140845068</v>
      </c>
      <c r="F224" s="174">
        <f>Solidarité!I218</f>
        <v>-3347161.5416223458</v>
      </c>
      <c r="G224" s="8">
        <f>DT!O218</f>
        <v>-2033633.5267153953</v>
      </c>
      <c r="H224" s="174">
        <f>Effort!K218+Aide!I218+Taux!J218</f>
        <v>0</v>
      </c>
      <c r="I224" s="240">
        <f t="shared" si="10"/>
        <v>-8943364.082422249</v>
      </c>
      <c r="J224" s="300">
        <f t="shared" si="11"/>
        <v>4268601.0358452071</v>
      </c>
      <c r="K224" s="406">
        <f t="shared" si="12"/>
        <v>-4674763.046577042</v>
      </c>
    </row>
    <row r="225" spans="1:11" x14ac:dyDescent="0.25">
      <c r="A225" s="38">
        <f>Données!A219</f>
        <v>5758</v>
      </c>
      <c r="B225" s="27" t="str">
        <f>Données!B219</f>
        <v>La Praz</v>
      </c>
      <c r="C225" s="26">
        <f>Ecrêtage!C219</f>
        <v>4500.7037349397597</v>
      </c>
      <c r="D225" s="12">
        <f>Données!Z219</f>
        <v>183</v>
      </c>
      <c r="E225" s="8">
        <f>Population!K222</f>
        <v>-24002.640845070418</v>
      </c>
      <c r="F225" s="174">
        <f>Solidarité!I219</f>
        <v>-117269.84015044603</v>
      </c>
      <c r="G225" s="8">
        <f>DT!O219</f>
        <v>-65691.961472677052</v>
      </c>
      <c r="H225" s="174">
        <f>Effort!K219+Aide!I219+Taux!J219</f>
        <v>0</v>
      </c>
      <c r="I225" s="240">
        <f t="shared" si="10"/>
        <v>-206964.44246819353</v>
      </c>
      <c r="J225" s="300">
        <f t="shared" si="11"/>
        <v>88229.838395935614</v>
      </c>
      <c r="K225" s="406">
        <f t="shared" si="12"/>
        <v>-118734.60407225792</v>
      </c>
    </row>
    <row r="226" spans="1:11" x14ac:dyDescent="0.25">
      <c r="A226" s="38">
        <f>Données!A220</f>
        <v>5759</v>
      </c>
      <c r="B226" s="27" t="str">
        <f>Données!B220</f>
        <v>Premier</v>
      </c>
      <c r="C226" s="26">
        <f>Ecrêtage!C220</f>
        <v>5667.0481761006295</v>
      </c>
      <c r="D226" s="12">
        <f>Données!Z220</f>
        <v>236</v>
      </c>
      <c r="E226" s="8">
        <f>Population!K223</f>
        <v>-30954.225352112669</v>
      </c>
      <c r="F226" s="174">
        <f>Solidarité!I220</f>
        <v>-142205.64014694089</v>
      </c>
      <c r="G226" s="8">
        <f>DT!O220</f>
        <v>-35329.638792465521</v>
      </c>
      <c r="H226" s="174">
        <f>Effort!K220+Aide!I220+Taux!J220</f>
        <v>0</v>
      </c>
      <c r="I226" s="240">
        <f t="shared" si="10"/>
        <v>-208489.50429151909</v>
      </c>
      <c r="J226" s="300">
        <f t="shared" si="11"/>
        <v>111094.34750786425</v>
      </c>
      <c r="K226" s="406">
        <f t="shared" si="12"/>
        <v>-97395.156783654835</v>
      </c>
    </row>
    <row r="227" spans="1:11" x14ac:dyDescent="0.25">
      <c r="A227" s="38">
        <f>Données!A221</f>
        <v>5760</v>
      </c>
      <c r="B227" s="27" t="str">
        <f>Données!B221</f>
        <v>Rances</v>
      </c>
      <c r="C227" s="26">
        <f>Ecrêtage!C221</f>
        <v>16308.667189542481</v>
      </c>
      <c r="D227" s="12">
        <f>Données!Z221</f>
        <v>521</v>
      </c>
      <c r="E227" s="8">
        <f>Population!K224</f>
        <v>-68335.387323943651</v>
      </c>
      <c r="F227" s="174">
        <f>Solidarité!I221</f>
        <v>-202012.90363495873</v>
      </c>
      <c r="G227" s="8">
        <f>DT!O221</f>
        <v>-152577.59871070785</v>
      </c>
      <c r="H227" s="174">
        <f>Effort!K221+Aide!I221+Taux!J221</f>
        <v>0</v>
      </c>
      <c r="I227" s="240">
        <f t="shared" si="10"/>
        <v>-422925.88966961025</v>
      </c>
      <c r="J227" s="300">
        <f t="shared" si="11"/>
        <v>319708.01797414682</v>
      </c>
      <c r="K227" s="406">
        <f t="shared" si="12"/>
        <v>-103217.87169546343</v>
      </c>
    </row>
    <row r="228" spans="1:11" x14ac:dyDescent="0.25">
      <c r="A228" s="38">
        <f>Données!A222</f>
        <v>5761</v>
      </c>
      <c r="B228" s="27" t="str">
        <f>Données!B222</f>
        <v>Romainmôtier-Envy</v>
      </c>
      <c r="C228" s="26">
        <f>Ecrêtage!C222</f>
        <v>14407.745072951739</v>
      </c>
      <c r="D228" s="12">
        <f>Données!Z222</f>
        <v>559</v>
      </c>
      <c r="E228" s="8">
        <f>Population!K225</f>
        <v>-73319.542253521111</v>
      </c>
      <c r="F228" s="174">
        <f>Solidarité!I222</f>
        <v>-323893.6180767992</v>
      </c>
      <c r="G228" s="8">
        <f>DT!O222</f>
        <v>-189952.48414353302</v>
      </c>
      <c r="H228" s="174">
        <f>Effort!K222+Aide!I222+Taux!J222</f>
        <v>0</v>
      </c>
      <c r="I228" s="240">
        <f t="shared" si="10"/>
        <v>-587165.64447385329</v>
      </c>
      <c r="J228" s="300">
        <f t="shared" si="11"/>
        <v>282443.16762462567</v>
      </c>
      <c r="K228" s="406">
        <f t="shared" si="12"/>
        <v>-304722.47684922762</v>
      </c>
    </row>
    <row r="229" spans="1:11" x14ac:dyDescent="0.25">
      <c r="A229" s="38">
        <f>Données!A223</f>
        <v>5762</v>
      </c>
      <c r="B229" s="27" t="str">
        <f>Données!B223</f>
        <v>Sergey</v>
      </c>
      <c r="C229" s="26">
        <f>Ecrêtage!C223</f>
        <v>3741.3970512820511</v>
      </c>
      <c r="D229" s="12">
        <f>Données!Z223</f>
        <v>140</v>
      </c>
      <c r="E229" s="8">
        <f>Population!K226</f>
        <v>-18362.676056338023</v>
      </c>
      <c r="F229" s="174">
        <f>Solidarité!I223</f>
        <v>-71991.970269006153</v>
      </c>
      <c r="G229" s="8">
        <f>DT!O223</f>
        <v>-41561.124007712722</v>
      </c>
      <c r="H229" s="174">
        <f>Effort!K223+Aide!I223+Taux!J223</f>
        <v>0</v>
      </c>
      <c r="I229" s="240">
        <f t="shared" si="10"/>
        <v>-131915.77033305689</v>
      </c>
      <c r="J229" s="300">
        <f t="shared" si="11"/>
        <v>73344.720437161523</v>
      </c>
      <c r="K229" s="406">
        <f t="shared" si="12"/>
        <v>-58571.049895895369</v>
      </c>
    </row>
    <row r="230" spans="1:11" x14ac:dyDescent="0.25">
      <c r="A230" s="38">
        <f>Données!A224</f>
        <v>5763</v>
      </c>
      <c r="B230" s="27" t="str">
        <f>Données!B224</f>
        <v>Valeyres-sous-Rances</v>
      </c>
      <c r="C230" s="26">
        <f>Ecrêtage!C224</f>
        <v>22296.785352112674</v>
      </c>
      <c r="D230" s="12">
        <f>Données!Z224</f>
        <v>606</v>
      </c>
      <c r="E230" s="8">
        <f>Population!K227</f>
        <v>-79484.154929577446</v>
      </c>
      <c r="F230" s="174">
        <f>Solidarité!I224</f>
        <v>-135477.3149532509</v>
      </c>
      <c r="G230" s="8">
        <f>DT!O224</f>
        <v>-69920.051609095011</v>
      </c>
      <c r="H230" s="174">
        <f>Effort!K224+Aide!I224+Taux!J224</f>
        <v>0</v>
      </c>
      <c r="I230" s="240">
        <f t="shared" si="10"/>
        <v>-284881.52149192337</v>
      </c>
      <c r="J230" s="300">
        <f t="shared" si="11"/>
        <v>437096.48184432124</v>
      </c>
      <c r="K230" s="406">
        <f t="shared" si="12"/>
        <v>152214.96035239787</v>
      </c>
    </row>
    <row r="231" spans="1:11" x14ac:dyDescent="0.25">
      <c r="A231" s="38">
        <f>Données!A225</f>
        <v>5764</v>
      </c>
      <c r="B231" s="27" t="str">
        <f>Données!B225</f>
        <v>Vallorbe</v>
      </c>
      <c r="C231" s="26">
        <f>Ecrêtage!C225</f>
        <v>83714.253286713283</v>
      </c>
      <c r="D231" s="12">
        <f>Données!Z225</f>
        <v>3987</v>
      </c>
      <c r="E231" s="8">
        <f>Population!K228</f>
        <v>-1383496.4788732391</v>
      </c>
      <c r="F231" s="174">
        <f>Solidarité!I225</f>
        <v>-2188524.1445369711</v>
      </c>
      <c r="G231" s="8">
        <f>DT!O225</f>
        <v>-2175546.9750004401</v>
      </c>
      <c r="H231" s="174">
        <f>Effort!K225+Aide!I225+Taux!J225</f>
        <v>0</v>
      </c>
      <c r="I231" s="240">
        <f t="shared" si="10"/>
        <v>-5747567.5984106502</v>
      </c>
      <c r="J231" s="300">
        <f t="shared" si="11"/>
        <v>1641097.809123398</v>
      </c>
      <c r="K231" s="406">
        <f t="shared" si="12"/>
        <v>-4106469.7892872524</v>
      </c>
    </row>
    <row r="232" spans="1:11" x14ac:dyDescent="0.25">
      <c r="A232" s="38">
        <f>Données!A226</f>
        <v>5765</v>
      </c>
      <c r="B232" s="27" t="str">
        <f>Données!B226</f>
        <v>Vaulion</v>
      </c>
      <c r="C232" s="26">
        <f>Ecrêtage!C226</f>
        <v>9627.8182716049378</v>
      </c>
      <c r="D232" s="12">
        <f>Données!Z226</f>
        <v>483</v>
      </c>
      <c r="E232" s="8">
        <f>Population!K229</f>
        <v>-63351.232394366183</v>
      </c>
      <c r="F232" s="174">
        <f>Solidarité!I226</f>
        <v>-353704.7626800405</v>
      </c>
      <c r="G232" s="8">
        <f>DT!O226</f>
        <v>-171892.01683375693</v>
      </c>
      <c r="H232" s="174">
        <f>Effort!K226+Aide!I226+Taux!J226</f>
        <v>0</v>
      </c>
      <c r="I232" s="240">
        <f t="shared" si="10"/>
        <v>-588948.01190816355</v>
      </c>
      <c r="J232" s="300">
        <f t="shared" si="11"/>
        <v>188739.56168557037</v>
      </c>
      <c r="K232" s="406">
        <f t="shared" si="12"/>
        <v>-400208.45022259315</v>
      </c>
    </row>
    <row r="233" spans="1:11" x14ac:dyDescent="0.25">
      <c r="A233" s="38">
        <f>Données!A227</f>
        <v>5766</v>
      </c>
      <c r="B233" s="27" t="str">
        <f>Données!B227</f>
        <v>Vuiteboeuf</v>
      </c>
      <c r="C233" s="26">
        <f>Ecrêtage!C227</f>
        <v>15422.129161904764</v>
      </c>
      <c r="D233" s="12">
        <f>Données!Z227</f>
        <v>592</v>
      </c>
      <c r="E233" s="8">
        <f>Population!K230</f>
        <v>-77647.887323943651</v>
      </c>
      <c r="F233" s="174">
        <f>Solidarité!I227</f>
        <v>-290402.63528669218</v>
      </c>
      <c r="G233" s="8">
        <f>DT!O227</f>
        <v>-56880.128482262335</v>
      </c>
      <c r="H233" s="174">
        <f>Effort!K227+Aide!I227+Taux!J227</f>
        <v>0</v>
      </c>
      <c r="I233" s="240">
        <f t="shared" si="10"/>
        <v>-424930.65109289816</v>
      </c>
      <c r="J233" s="300">
        <f t="shared" si="11"/>
        <v>302328.71208846977</v>
      </c>
      <c r="K233" s="406">
        <f t="shared" si="12"/>
        <v>-122601.93900442839</v>
      </c>
    </row>
    <row r="234" spans="1:11" x14ac:dyDescent="0.25">
      <c r="A234" s="38">
        <f>Données!A228</f>
        <v>5785</v>
      </c>
      <c r="B234" s="27" t="str">
        <f>Données!B228</f>
        <v>Corcelles-le-Jorat</v>
      </c>
      <c r="C234" s="26">
        <f>Ecrêtage!C228</f>
        <v>15461.79373333333</v>
      </c>
      <c r="D234" s="12">
        <f>Données!Z228</f>
        <v>485</v>
      </c>
      <c r="E234" s="8">
        <f>Population!K231</f>
        <v>-63613.55633802816</v>
      </c>
      <c r="F234" s="174">
        <f>Solidarité!I228</f>
        <v>-174467.55665873009</v>
      </c>
      <c r="G234" s="8">
        <f>DT!O228</f>
        <v>-79296.859462243927</v>
      </c>
      <c r="H234" s="174">
        <f>Effort!K228+Aide!I228+Taux!J228</f>
        <v>0</v>
      </c>
      <c r="I234" s="240">
        <f t="shared" si="10"/>
        <v>-317377.97245900217</v>
      </c>
      <c r="J234" s="300">
        <f t="shared" si="11"/>
        <v>303106.27909427346</v>
      </c>
      <c r="K234" s="406">
        <f t="shared" si="12"/>
        <v>-14271.693364728708</v>
      </c>
    </row>
    <row r="235" spans="1:11" x14ac:dyDescent="0.25">
      <c r="A235" s="38">
        <f>Données!A229</f>
        <v>5790</v>
      </c>
      <c r="B235" s="27" t="str">
        <f>Données!B229</f>
        <v>Maracon</v>
      </c>
      <c r="C235" s="26">
        <f>Ecrêtage!C229</f>
        <v>16326.326308724832</v>
      </c>
      <c r="D235" s="12">
        <f>Données!Z229</f>
        <v>544</v>
      </c>
      <c r="E235" s="8">
        <f>Population!K232</f>
        <v>-71352.11267605632</v>
      </c>
      <c r="F235" s="174">
        <f>Solidarité!I229</f>
        <v>-215597.82493097024</v>
      </c>
      <c r="G235" s="8">
        <f>DT!O229</f>
        <v>-55079.21632255552</v>
      </c>
      <c r="H235" s="174">
        <f>Effort!K229+Aide!I229+Taux!J229</f>
        <v>0</v>
      </c>
      <c r="I235" s="240">
        <f t="shared" si="10"/>
        <v>-342029.15392958204</v>
      </c>
      <c r="J235" s="300">
        <f t="shared" si="11"/>
        <v>320054.19966559607</v>
      </c>
      <c r="K235" s="406">
        <f t="shared" si="12"/>
        <v>-21974.954263985972</v>
      </c>
    </row>
    <row r="236" spans="1:11" x14ac:dyDescent="0.25">
      <c r="A236" s="38">
        <f>Données!A230</f>
        <v>5792</v>
      </c>
      <c r="B236" s="27" t="str">
        <f>Données!B230</f>
        <v>Montpreveyres</v>
      </c>
      <c r="C236" s="26">
        <f>Ecrêtage!C230</f>
        <v>19363.003178807943</v>
      </c>
      <c r="D236" s="12">
        <f>Données!Z230</f>
        <v>661</v>
      </c>
      <c r="E236" s="8">
        <f>Population!K233</f>
        <v>-86698.063380281674</v>
      </c>
      <c r="F236" s="174">
        <f>Solidarité!I230</f>
        <v>-279842.5790870901</v>
      </c>
      <c r="G236" s="8">
        <f>DT!O230</f>
        <v>-159697.95083791547</v>
      </c>
      <c r="H236" s="174">
        <f>Effort!K230+Aide!I230+Taux!J230</f>
        <v>0</v>
      </c>
      <c r="I236" s="240">
        <f t="shared" si="10"/>
        <v>-526238.59330528718</v>
      </c>
      <c r="J236" s="300">
        <f t="shared" si="11"/>
        <v>379583.89219526766</v>
      </c>
      <c r="K236" s="406">
        <f t="shared" si="12"/>
        <v>-146654.70111001952</v>
      </c>
    </row>
    <row r="237" spans="1:11" x14ac:dyDescent="0.25">
      <c r="A237" s="38">
        <f>Données!A231</f>
        <v>5798</v>
      </c>
      <c r="B237" s="27" t="str">
        <f>Données!B231</f>
        <v>Ropraz</v>
      </c>
      <c r="C237" s="26">
        <f>Ecrêtage!C231</f>
        <v>16208.095096774196</v>
      </c>
      <c r="D237" s="12">
        <f>Données!Z231</f>
        <v>529</v>
      </c>
      <c r="E237" s="8">
        <f>Population!K234</f>
        <v>-69384.683098591529</v>
      </c>
      <c r="F237" s="174">
        <f>Solidarité!I231</f>
        <v>-218923.32916029336</v>
      </c>
      <c r="G237" s="8">
        <f>DT!O231</f>
        <v>-86263.978756688579</v>
      </c>
      <c r="H237" s="174">
        <f>Effort!K231+Aide!I231+Taux!J231</f>
        <v>0</v>
      </c>
      <c r="I237" s="240">
        <f t="shared" si="10"/>
        <v>-374571.9910155735</v>
      </c>
      <c r="J237" s="300">
        <f t="shared" si="11"/>
        <v>317736.44641230407</v>
      </c>
      <c r="K237" s="406">
        <f t="shared" si="12"/>
        <v>-56835.544603269431</v>
      </c>
    </row>
    <row r="238" spans="1:11" x14ac:dyDescent="0.25">
      <c r="A238" s="38">
        <f>Données!A232</f>
        <v>5799</v>
      </c>
      <c r="B238" s="27" t="str">
        <f>Données!B232</f>
        <v>Servion</v>
      </c>
      <c r="C238" s="26">
        <f>Ecrêtage!C232</f>
        <v>73170.005797101461</v>
      </c>
      <c r="D238" s="12">
        <f>Données!Z232</f>
        <v>2136</v>
      </c>
      <c r="E238" s="8">
        <f>Population!K235</f>
        <v>-548361.97183098586</v>
      </c>
      <c r="F238" s="174">
        <f>Solidarité!I232</f>
        <v>-553966.01143429207</v>
      </c>
      <c r="G238" s="8">
        <f>DT!O232</f>
        <v>-368134.44107578183</v>
      </c>
      <c r="H238" s="174">
        <f>Effort!K232+Aide!I232+Taux!J232</f>
        <v>0</v>
      </c>
      <c r="I238" s="240">
        <f t="shared" si="10"/>
        <v>-1470462.4243410598</v>
      </c>
      <c r="J238" s="300">
        <f t="shared" si="11"/>
        <v>1434392.9676576105</v>
      </c>
      <c r="K238" s="406">
        <f t="shared" si="12"/>
        <v>-36069.456683449214</v>
      </c>
    </row>
    <row r="239" spans="1:11" x14ac:dyDescent="0.25">
      <c r="A239" s="38">
        <f>Données!A233</f>
        <v>5803</v>
      </c>
      <c r="B239" s="27" t="str">
        <f>Données!B233</f>
        <v>Vulliens</v>
      </c>
      <c r="C239" s="26">
        <f>Ecrêtage!C233</f>
        <v>16577.495675675673</v>
      </c>
      <c r="D239" s="12">
        <f>Données!Z233</f>
        <v>632</v>
      </c>
      <c r="E239" s="8">
        <f>Population!K236</f>
        <v>-82894.366197183088</v>
      </c>
      <c r="F239" s="174">
        <f>Solidarité!I233</f>
        <v>-299336.20472272224</v>
      </c>
      <c r="G239" s="8">
        <f>DT!O233</f>
        <v>-101003.38902535541</v>
      </c>
      <c r="H239" s="174">
        <f>Effort!K233+Aide!I233+Taux!J233</f>
        <v>0</v>
      </c>
      <c r="I239" s="240">
        <f t="shared" si="10"/>
        <v>-483233.95994526072</v>
      </c>
      <c r="J239" s="300">
        <f t="shared" si="11"/>
        <v>324978.01468679938</v>
      </c>
      <c r="K239" s="406">
        <f t="shared" si="12"/>
        <v>-158255.94525846135</v>
      </c>
    </row>
    <row r="240" spans="1:11" x14ac:dyDescent="0.25">
      <c r="A240" s="38">
        <f>Données!A234</f>
        <v>5804</v>
      </c>
      <c r="B240" s="27" t="str">
        <f>Données!B234</f>
        <v>Jorat-Menthue</v>
      </c>
      <c r="C240" s="26">
        <f>Ecrêtage!C234</f>
        <v>45125.096170212761</v>
      </c>
      <c r="D240" s="12">
        <f>Données!Z234</f>
        <v>1565</v>
      </c>
      <c r="E240" s="8">
        <f>Population!K237</f>
        <v>-338660.21126760554</v>
      </c>
      <c r="F240" s="174">
        <f>Solidarité!I234</f>
        <v>-591973.82687143888</v>
      </c>
      <c r="G240" s="8">
        <f>DT!O234</f>
        <v>-420092.84701423888</v>
      </c>
      <c r="H240" s="174">
        <f>Effort!K234+Aide!I234+Taux!J234</f>
        <v>0</v>
      </c>
      <c r="I240" s="240">
        <f t="shared" si="10"/>
        <v>-1350726.8851532834</v>
      </c>
      <c r="J240" s="300">
        <f t="shared" si="11"/>
        <v>884612.75773181149</v>
      </c>
      <c r="K240" s="406">
        <f t="shared" si="12"/>
        <v>-466114.12742147187</v>
      </c>
    </row>
    <row r="241" spans="1:11" x14ac:dyDescent="0.25">
      <c r="A241" s="38">
        <f>Données!A235</f>
        <v>5805</v>
      </c>
      <c r="B241" s="27" t="str">
        <f>Données!B235</f>
        <v>Oron</v>
      </c>
      <c r="C241" s="26">
        <f>Ecrêtage!C235</f>
        <v>174503.6837022398</v>
      </c>
      <c r="D241" s="12">
        <f>Données!Z235</f>
        <v>6119</v>
      </c>
      <c r="E241" s="8">
        <f>Population!K238</f>
        <v>-2619461.9718309855</v>
      </c>
      <c r="F241" s="174">
        <f>Solidarité!I235</f>
        <v>-2253798.5903220135</v>
      </c>
      <c r="G241" s="8">
        <f>DT!O235</f>
        <v>-1210555.2569403935</v>
      </c>
      <c r="H241" s="174">
        <f>Effort!K235+Aide!I235+Taux!J235</f>
        <v>0</v>
      </c>
      <c r="I241" s="240">
        <f t="shared" si="10"/>
        <v>-6083815.8190933922</v>
      </c>
      <c r="J241" s="300">
        <f t="shared" si="11"/>
        <v>3420894.31326458</v>
      </c>
      <c r="K241" s="406">
        <f t="shared" si="12"/>
        <v>-2662921.5058288123</v>
      </c>
    </row>
    <row r="242" spans="1:11" x14ac:dyDescent="0.25">
      <c r="A242" s="38">
        <f>Données!A236</f>
        <v>5806</v>
      </c>
      <c r="B242" s="27" t="str">
        <f>Données!B236</f>
        <v>Jorat-Mézières</v>
      </c>
      <c r="C242" s="26">
        <f>Ecrêtage!C236</f>
        <v>102976.58753424657</v>
      </c>
      <c r="D242" s="12">
        <f>Données!Z236</f>
        <v>3110</v>
      </c>
      <c r="E242" s="8">
        <f>Population!K239</f>
        <v>-923380.28169014072</v>
      </c>
      <c r="F242" s="174">
        <f>Solidarité!I236</f>
        <v>-978452.43670541595</v>
      </c>
      <c r="G242" s="8">
        <f>DT!O236</f>
        <v>-504565.9476391293</v>
      </c>
      <c r="H242" s="174">
        <f>Effort!K236+Aide!I236+Taux!J236</f>
        <v>0</v>
      </c>
      <c r="I242" s="240">
        <f t="shared" si="10"/>
        <v>-2406398.6660346859</v>
      </c>
      <c r="J242" s="300">
        <f t="shared" si="11"/>
        <v>2018708.2313768649</v>
      </c>
      <c r="K242" s="406">
        <f t="shared" si="12"/>
        <v>-387690.43465782097</v>
      </c>
    </row>
    <row r="243" spans="1:11" x14ac:dyDescent="0.25">
      <c r="A243" s="38">
        <f>Données!A237</f>
        <v>5812</v>
      </c>
      <c r="B243" s="27" t="str">
        <f>Données!B237</f>
        <v>Champtauroz</v>
      </c>
      <c r="C243" s="26">
        <f>Ecrêtage!C237</f>
        <v>3659.2728571428574</v>
      </c>
      <c r="D243" s="12">
        <f>Données!Z237</f>
        <v>169</v>
      </c>
      <c r="E243" s="8">
        <f>Population!K240</f>
        <v>-22166.373239436616</v>
      </c>
      <c r="F243" s="174">
        <f>Solidarité!I237</f>
        <v>-104966.04023703783</v>
      </c>
      <c r="G243" s="8">
        <f>DT!O237</f>
        <v>-39126.668807579059</v>
      </c>
      <c r="H243" s="174">
        <f>Effort!K237+Aide!I237+Taux!J237</f>
        <v>0</v>
      </c>
      <c r="I243" s="240">
        <f t="shared" si="10"/>
        <v>-166259.0822840535</v>
      </c>
      <c r="J243" s="300">
        <f t="shared" si="11"/>
        <v>71734.793455954772</v>
      </c>
      <c r="K243" s="406">
        <f t="shared" si="12"/>
        <v>-94524.288828098724</v>
      </c>
    </row>
    <row r="244" spans="1:11" x14ac:dyDescent="0.25">
      <c r="A244" s="38">
        <f>Données!A238</f>
        <v>5813</v>
      </c>
      <c r="B244" s="27" t="str">
        <f>Données!B238</f>
        <v>Chevroux</v>
      </c>
      <c r="C244" s="26">
        <f>Ecrêtage!C238</f>
        <v>17497.520778588809</v>
      </c>
      <c r="D244" s="12">
        <f>Données!Z238</f>
        <v>522</v>
      </c>
      <c r="E244" s="8">
        <f>Population!K241</f>
        <v>-68466.549295774632</v>
      </c>
      <c r="F244" s="174">
        <f>Solidarité!I238</f>
        <v>-140611.6021046708</v>
      </c>
      <c r="G244" s="8">
        <f>DT!O238</f>
        <v>-168724.57683345024</v>
      </c>
      <c r="H244" s="174">
        <f>Effort!K238+Aide!I238+Taux!J238</f>
        <v>0</v>
      </c>
      <c r="I244" s="240">
        <f t="shared" si="10"/>
        <v>-377802.72823389567</v>
      </c>
      <c r="J244" s="300">
        <f t="shared" si="11"/>
        <v>343013.78663065442</v>
      </c>
      <c r="K244" s="406">
        <f t="shared" si="12"/>
        <v>-34788.941603241256</v>
      </c>
    </row>
    <row r="245" spans="1:11" x14ac:dyDescent="0.25">
      <c r="A245" s="38">
        <f>Données!A239</f>
        <v>5816</v>
      </c>
      <c r="B245" s="27" t="str">
        <f>Données!B239</f>
        <v>Corcelles-près-Payerne</v>
      </c>
      <c r="C245" s="26">
        <f>Ecrêtage!C239</f>
        <v>65699.549864442117</v>
      </c>
      <c r="D245" s="12">
        <f>Données!Z239</f>
        <v>2856</v>
      </c>
      <c r="E245" s="8">
        <f>Population!K242</f>
        <v>-812784.50704225339</v>
      </c>
      <c r="F245" s="174">
        <f>Solidarité!I239</f>
        <v>-1331585.2154492377</v>
      </c>
      <c r="G245" s="8">
        <f>DT!O239</f>
        <v>-335404.9224670594</v>
      </c>
      <c r="H245" s="174">
        <f>Effort!K239+Aide!I239+Taux!J239</f>
        <v>0</v>
      </c>
      <c r="I245" s="240">
        <f t="shared" si="10"/>
        <v>-2479774.6449585506</v>
      </c>
      <c r="J245" s="300">
        <f t="shared" si="11"/>
        <v>1287945.3988994963</v>
      </c>
      <c r="K245" s="406">
        <f t="shared" si="12"/>
        <v>-1191829.2460590543</v>
      </c>
    </row>
    <row r="246" spans="1:11" x14ac:dyDescent="0.25">
      <c r="A246" s="38">
        <f>Données!A240</f>
        <v>5817</v>
      </c>
      <c r="B246" s="27" t="str">
        <f>Données!B240</f>
        <v>Grandcour</v>
      </c>
      <c r="C246" s="26">
        <f>Ecrêtage!C240</f>
        <v>25916.533605442175</v>
      </c>
      <c r="D246" s="12">
        <f>Données!Z240</f>
        <v>1001</v>
      </c>
      <c r="E246" s="8">
        <f>Population!K243</f>
        <v>-131529.22535211264</v>
      </c>
      <c r="F246" s="174">
        <f>Solidarité!I240</f>
        <v>-475047.95999345987</v>
      </c>
      <c r="G246" s="8">
        <f>DT!O240</f>
        <v>-119193.66989671624</v>
      </c>
      <c r="H246" s="174">
        <f>Effort!K240+Aide!I240+Taux!J240</f>
        <v>0</v>
      </c>
      <c r="I246" s="240">
        <f t="shared" si="10"/>
        <v>-725770.85524228879</v>
      </c>
      <c r="J246" s="300">
        <f t="shared" si="11"/>
        <v>508056.4521587207</v>
      </c>
      <c r="K246" s="406">
        <f t="shared" si="12"/>
        <v>-217714.40308356809</v>
      </c>
    </row>
    <row r="247" spans="1:11" x14ac:dyDescent="0.25">
      <c r="A247" s="38">
        <f>Données!A241</f>
        <v>5819</v>
      </c>
      <c r="B247" s="27" t="str">
        <f>Données!B241</f>
        <v>Henniez</v>
      </c>
      <c r="C247" s="26">
        <f>Ecrêtage!C241</f>
        <v>10275.484492753623</v>
      </c>
      <c r="D247" s="12">
        <f>Données!Z241</f>
        <v>414</v>
      </c>
      <c r="E247" s="8">
        <f>Population!K244</f>
        <v>-54301.05633802816</v>
      </c>
      <c r="F247" s="174">
        <f>Solidarité!I241</f>
        <v>-181571.32123745425</v>
      </c>
      <c r="G247" s="8">
        <f>DT!O241</f>
        <v>-102285.90827485245</v>
      </c>
      <c r="H247" s="174">
        <f>Effort!K241+Aide!I241+Taux!J241</f>
        <v>0</v>
      </c>
      <c r="I247" s="240">
        <f t="shared" si="10"/>
        <v>-338158.28585033485</v>
      </c>
      <c r="J247" s="300">
        <f t="shared" si="11"/>
        <v>201436.12857639676</v>
      </c>
      <c r="K247" s="406">
        <f t="shared" si="12"/>
        <v>-136722.15727393809</v>
      </c>
    </row>
    <row r="248" spans="1:11" x14ac:dyDescent="0.25">
      <c r="A248" s="38">
        <f>Données!A242</f>
        <v>5821</v>
      </c>
      <c r="B248" s="27" t="str">
        <f>Données!B242</f>
        <v>Missy</v>
      </c>
      <c r="C248" s="26">
        <f>Ecrêtage!C242</f>
        <v>8375.9038888888899</v>
      </c>
      <c r="D248" s="12">
        <f>Données!Z242</f>
        <v>387</v>
      </c>
      <c r="E248" s="8">
        <f>Population!K245</f>
        <v>-50759.683098591537</v>
      </c>
      <c r="F248" s="174">
        <f>Solidarité!I242</f>
        <v>-210237.92963171939</v>
      </c>
      <c r="G248" s="8">
        <f>DT!O242</f>
        <v>-45868.016931078804</v>
      </c>
      <c r="H248" s="174">
        <f>Effort!K242+Aide!I242+Taux!J242</f>
        <v>0</v>
      </c>
      <c r="I248" s="240">
        <f t="shared" si="10"/>
        <v>-306865.62966138974</v>
      </c>
      <c r="J248" s="300">
        <f t="shared" si="11"/>
        <v>164197.5766588526</v>
      </c>
      <c r="K248" s="406">
        <f t="shared" si="12"/>
        <v>-142668.05300253714</v>
      </c>
    </row>
    <row r="249" spans="1:11" x14ac:dyDescent="0.25">
      <c r="A249" s="38">
        <f>Données!A243</f>
        <v>5822</v>
      </c>
      <c r="B249" s="27" t="str">
        <f>Données!B243</f>
        <v>Payerne</v>
      </c>
      <c r="C249" s="26">
        <f>Ecrêtage!C243</f>
        <v>226829.36520547947</v>
      </c>
      <c r="D249" s="12">
        <f>Données!Z243</f>
        <v>10372</v>
      </c>
      <c r="E249" s="8">
        <f>Population!K246</f>
        <v>-5656963.3802816886</v>
      </c>
      <c r="F249" s="174">
        <f>Solidarité!I243</f>
        <v>-5742307.9214115543</v>
      </c>
      <c r="G249" s="8">
        <f>DT!O243</f>
        <v>-1681524.2502737918</v>
      </c>
      <c r="H249" s="174">
        <f>Effort!K243+Aide!I243+Taux!J243</f>
        <v>826592.37060837762</v>
      </c>
      <c r="I249" s="240">
        <f t="shared" si="10"/>
        <v>-12254203.181358656</v>
      </c>
      <c r="J249" s="300">
        <f t="shared" si="11"/>
        <v>4446664.2139020916</v>
      </c>
      <c r="K249" s="406">
        <f t="shared" si="12"/>
        <v>-7807538.9674565643</v>
      </c>
    </row>
    <row r="250" spans="1:11" x14ac:dyDescent="0.25">
      <c r="A250" s="38">
        <f>Données!A244</f>
        <v>5827</v>
      </c>
      <c r="B250" s="27" t="str">
        <f>Données!B244</f>
        <v>Trey</v>
      </c>
      <c r="C250" s="26">
        <f>Ecrêtage!C244</f>
        <v>7714.9719230769242</v>
      </c>
      <c r="D250" s="12">
        <f>Données!Z244</f>
        <v>302</v>
      </c>
      <c r="E250" s="8">
        <f>Population!K247</f>
        <v>-39610.915492957742</v>
      </c>
      <c r="F250" s="174">
        <f>Solidarité!I244</f>
        <v>-163932.42796806924</v>
      </c>
      <c r="G250" s="8">
        <f>DT!O244</f>
        <v>-31010.79096312611</v>
      </c>
      <c r="H250" s="174">
        <f>Effort!K244+Aide!I244+Taux!J244</f>
        <v>0</v>
      </c>
      <c r="I250" s="240">
        <f t="shared" si="10"/>
        <v>-234554.1344241531</v>
      </c>
      <c r="J250" s="300">
        <f t="shared" si="11"/>
        <v>151240.95387970886</v>
      </c>
      <c r="K250" s="406">
        <f t="shared" si="12"/>
        <v>-83313.180544444243</v>
      </c>
    </row>
    <row r="251" spans="1:11" x14ac:dyDescent="0.25">
      <c r="A251" s="38">
        <f>Données!A245</f>
        <v>5828</v>
      </c>
      <c r="B251" s="27" t="str">
        <f>Données!B245</f>
        <v>Treytorrens (Payerne)</v>
      </c>
      <c r="C251" s="26">
        <f>Ecrêtage!C245</f>
        <v>2864.8037627811859</v>
      </c>
      <c r="D251" s="12">
        <f>Données!Z245</f>
        <v>105</v>
      </c>
      <c r="E251" s="8">
        <f>Population!K248</f>
        <v>-13772.007042253519</v>
      </c>
      <c r="F251" s="174">
        <f>Solidarité!I245</f>
        <v>-57391.224845620483</v>
      </c>
      <c r="G251" s="8">
        <f>DT!O245</f>
        <v>-39799.536725615195</v>
      </c>
      <c r="H251" s="174">
        <f>Effort!K245+Aide!I245+Taux!J245</f>
        <v>0</v>
      </c>
      <c r="I251" s="240">
        <f t="shared" si="10"/>
        <v>-110962.7686134892</v>
      </c>
      <c r="J251" s="300">
        <f t="shared" si="11"/>
        <v>56160.366891964601</v>
      </c>
      <c r="K251" s="406">
        <f t="shared" si="12"/>
        <v>-54802.401721524599</v>
      </c>
    </row>
    <row r="252" spans="1:11" x14ac:dyDescent="0.25">
      <c r="A252" s="38">
        <f>Données!A246</f>
        <v>5830</v>
      </c>
      <c r="B252" s="27" t="str">
        <f>Données!B246</f>
        <v>Villarzel</v>
      </c>
      <c r="C252" s="26">
        <f>Ecrêtage!C246</f>
        <v>12474.066133333334</v>
      </c>
      <c r="D252" s="12">
        <f>Données!Z246</f>
        <v>486</v>
      </c>
      <c r="E252" s="8">
        <f>Population!K249</f>
        <v>-63744.718309859141</v>
      </c>
      <c r="F252" s="174">
        <f>Solidarité!I246</f>
        <v>-242594.12565723326</v>
      </c>
      <c r="G252" s="8">
        <f>DT!O246</f>
        <v>-104556.76821714724</v>
      </c>
      <c r="H252" s="174">
        <f>Effort!K246+Aide!I246+Taux!J246</f>
        <v>0</v>
      </c>
      <c r="I252" s="240">
        <f t="shared" si="10"/>
        <v>-410895.61218423967</v>
      </c>
      <c r="J252" s="300">
        <f t="shared" si="11"/>
        <v>244536.16676436143</v>
      </c>
      <c r="K252" s="406">
        <f t="shared" si="12"/>
        <v>-166359.44541987823</v>
      </c>
    </row>
    <row r="253" spans="1:11" x14ac:dyDescent="0.25">
      <c r="A253" s="38">
        <f>Données!A247</f>
        <v>5831</v>
      </c>
      <c r="B253" s="27" t="str">
        <f>Données!B247</f>
        <v>Valbroye</v>
      </c>
      <c r="C253" s="26">
        <f>Ecrêtage!C247</f>
        <v>87465.086477541365</v>
      </c>
      <c r="D253" s="12">
        <f>Données!Z247</f>
        <v>3361</v>
      </c>
      <c r="E253" s="8">
        <f>Population!K250</f>
        <v>-1055066.9014084504</v>
      </c>
      <c r="F253" s="174">
        <f>Solidarité!I247</f>
        <v>-1458634.2299498173</v>
      </c>
      <c r="G253" s="8">
        <f>DT!O247</f>
        <v>-961056.90530953335</v>
      </c>
      <c r="H253" s="174">
        <f>Effort!K247+Aide!I247+Taux!J247</f>
        <v>0</v>
      </c>
      <c r="I253" s="240">
        <f t="shared" si="10"/>
        <v>-3474758.036667801</v>
      </c>
      <c r="J253" s="300">
        <f t="shared" si="11"/>
        <v>1714627.5115358816</v>
      </c>
      <c r="K253" s="406">
        <f t="shared" si="12"/>
        <v>-1760130.5251319194</v>
      </c>
    </row>
    <row r="254" spans="1:11" x14ac:dyDescent="0.25">
      <c r="A254" s="38">
        <f>Données!A248</f>
        <v>5841</v>
      </c>
      <c r="B254" s="27" t="str">
        <f>Données!B248</f>
        <v>Château-d'Oex</v>
      </c>
      <c r="C254" s="26">
        <f>Ecrêtage!C248</f>
        <v>123825.99529652353</v>
      </c>
      <c r="D254" s="12">
        <f>Données!Z248</f>
        <v>3568</v>
      </c>
      <c r="E254" s="8">
        <f>Population!K251</f>
        <v>-1163669.0140845068</v>
      </c>
      <c r="F254" s="174">
        <f>Solidarité!I248</f>
        <v>-1248539.8467530662</v>
      </c>
      <c r="G254" s="8">
        <f>DT!O248</f>
        <v>-2116844.0344706727</v>
      </c>
      <c r="H254" s="174">
        <f>Effort!K248+Aide!I248+Taux!J248</f>
        <v>0</v>
      </c>
      <c r="I254" s="240">
        <f t="shared" si="10"/>
        <v>-4529052.8953082459</v>
      </c>
      <c r="J254" s="300">
        <f t="shared" si="11"/>
        <v>2427430.9525006721</v>
      </c>
      <c r="K254" s="406">
        <f t="shared" si="12"/>
        <v>-2101621.9428075738</v>
      </c>
    </row>
    <row r="255" spans="1:11" x14ac:dyDescent="0.25">
      <c r="A255" s="38">
        <f>Données!A249</f>
        <v>5842</v>
      </c>
      <c r="B255" s="27" t="str">
        <f>Données!B249</f>
        <v>Rossinière</v>
      </c>
      <c r="C255" s="26">
        <f>Ecrêtage!C249</f>
        <v>16473.108683127575</v>
      </c>
      <c r="D255" s="12">
        <f>Données!Z249</f>
        <v>534</v>
      </c>
      <c r="E255" s="8">
        <f>Population!K252</f>
        <v>-70040.492957746465</v>
      </c>
      <c r="F255" s="174">
        <f>Solidarité!I249</f>
        <v>-238476.8672190083</v>
      </c>
      <c r="G255" s="8">
        <f>DT!O249</f>
        <v>-317225.87520807039</v>
      </c>
      <c r="H255" s="174">
        <f>Effort!K249+Aide!I249+Taux!J249</f>
        <v>0</v>
      </c>
      <c r="I255" s="240">
        <f t="shared" si="10"/>
        <v>-625743.23538482515</v>
      </c>
      <c r="J255" s="300">
        <f t="shared" si="11"/>
        <v>322931.657489</v>
      </c>
      <c r="K255" s="406">
        <f t="shared" si="12"/>
        <v>-302811.57789582515</v>
      </c>
    </row>
    <row r="256" spans="1:11" x14ac:dyDescent="0.25">
      <c r="A256" s="38">
        <f>Données!A250</f>
        <v>5843</v>
      </c>
      <c r="B256" s="27" t="str">
        <f>Données!B250</f>
        <v>Rougemont</v>
      </c>
      <c r="C256" s="26">
        <f>Ecrêtage!C250</f>
        <v>89735.240928270054</v>
      </c>
      <c r="D256" s="12">
        <f>Données!Z250</f>
        <v>826</v>
      </c>
      <c r="E256" s="8">
        <f>Population!K253</f>
        <v>-108339.78873239434</v>
      </c>
      <c r="F256" s="174">
        <f>Solidarité!I250</f>
        <v>0</v>
      </c>
      <c r="G256" s="8">
        <f>DT!O250</f>
        <v>-100678.23723551705</v>
      </c>
      <c r="H256" s="174">
        <f>Effort!K250+Aide!I250+Taux!J250</f>
        <v>0</v>
      </c>
      <c r="I256" s="240">
        <f t="shared" si="10"/>
        <v>-209018.02596791141</v>
      </c>
      <c r="J256" s="300">
        <f t="shared" si="11"/>
        <v>1759130.6319627333</v>
      </c>
      <c r="K256" s="406">
        <f t="shared" si="12"/>
        <v>1550112.605994822</v>
      </c>
    </row>
    <row r="257" spans="1:11" x14ac:dyDescent="0.25">
      <c r="A257" s="38">
        <f>Données!A251</f>
        <v>5851</v>
      </c>
      <c r="B257" s="27" t="str">
        <f>Données!B251</f>
        <v>Allaman</v>
      </c>
      <c r="C257" s="26">
        <f>Ecrêtage!C251</f>
        <v>24650.249641025639</v>
      </c>
      <c r="D257" s="12">
        <f>Données!Z251</f>
        <v>420</v>
      </c>
      <c r="E257" s="8">
        <f>Population!K254</f>
        <v>-55088.028169014076</v>
      </c>
      <c r="F257" s="174">
        <f>Solidarité!I251</f>
        <v>0</v>
      </c>
      <c r="G257" s="8">
        <f>DT!O251</f>
        <v>-7413.8855898551137</v>
      </c>
      <c r="H257" s="174">
        <f>Effort!K251+Aide!I251+Taux!J251</f>
        <v>0</v>
      </c>
      <c r="I257" s="240">
        <f t="shared" si="10"/>
        <v>-62501.913758869188</v>
      </c>
      <c r="J257" s="300">
        <f t="shared" si="11"/>
        <v>483232.77210253256</v>
      </c>
      <c r="K257" s="406">
        <f t="shared" si="12"/>
        <v>420730.85834366339</v>
      </c>
    </row>
    <row r="258" spans="1:11" x14ac:dyDescent="0.25">
      <c r="A258" s="38">
        <f>Données!A252</f>
        <v>5852</v>
      </c>
      <c r="B258" s="27" t="str">
        <f>Données!B252</f>
        <v>Bursinel</v>
      </c>
      <c r="C258" s="26">
        <f>Ecrêtage!C252</f>
        <v>35648.966451612905</v>
      </c>
      <c r="D258" s="12">
        <f>Données!Z252</f>
        <v>503</v>
      </c>
      <c r="E258" s="8">
        <f>Population!K255</f>
        <v>-65974.471830985902</v>
      </c>
      <c r="F258" s="174">
        <f>Solidarité!I252</f>
        <v>0</v>
      </c>
      <c r="G258" s="8">
        <f>DT!O252</f>
        <v>0</v>
      </c>
      <c r="H258" s="174">
        <f>Effort!K252+Aide!I252+Taux!J252</f>
        <v>0</v>
      </c>
      <c r="I258" s="240">
        <f t="shared" si="10"/>
        <v>-65974.471830985902</v>
      </c>
      <c r="J258" s="300">
        <f t="shared" si="11"/>
        <v>698846.83246097632</v>
      </c>
      <c r="K258" s="406">
        <f t="shared" si="12"/>
        <v>632872.36062999046</v>
      </c>
    </row>
    <row r="259" spans="1:11" x14ac:dyDescent="0.25">
      <c r="A259" s="38">
        <f>Données!A253</f>
        <v>5853</v>
      </c>
      <c r="B259" s="27" t="str">
        <f>Données!B253</f>
        <v>Bursins</v>
      </c>
      <c r="C259" s="26">
        <f>Ecrêtage!C253</f>
        <v>47535.713943661962</v>
      </c>
      <c r="D259" s="12">
        <f>Données!Z253</f>
        <v>766</v>
      </c>
      <c r="E259" s="8">
        <f>Population!K256</f>
        <v>-100470.07042253519</v>
      </c>
      <c r="F259" s="174">
        <f>Solidarité!I253</f>
        <v>0</v>
      </c>
      <c r="G259" s="8">
        <f>DT!O253</f>
        <v>0</v>
      </c>
      <c r="H259" s="174">
        <f>Effort!K253+Aide!I253+Taux!J253</f>
        <v>0</v>
      </c>
      <c r="I259" s="240">
        <f t="shared" si="10"/>
        <v>-100470.07042253519</v>
      </c>
      <c r="J259" s="300">
        <f t="shared" si="11"/>
        <v>931869.46004142042</v>
      </c>
      <c r="K259" s="406">
        <f t="shared" si="12"/>
        <v>831399.38961888524</v>
      </c>
    </row>
    <row r="260" spans="1:11" x14ac:dyDescent="0.25">
      <c r="A260" s="38">
        <f>Données!A254</f>
        <v>5854</v>
      </c>
      <c r="B260" s="27" t="str">
        <f>Données!B254</f>
        <v>Burtigny</v>
      </c>
      <c r="C260" s="26">
        <f>Ecrêtage!C254</f>
        <v>15260.82696390658</v>
      </c>
      <c r="D260" s="12">
        <f>Données!Z254</f>
        <v>414</v>
      </c>
      <c r="E260" s="8">
        <f>Population!K257</f>
        <v>-54301.05633802816</v>
      </c>
      <c r="F260" s="174">
        <f>Solidarité!I254</f>
        <v>-112442.70351657674</v>
      </c>
      <c r="G260" s="8">
        <f>DT!O254</f>
        <v>-32565.779048964483</v>
      </c>
      <c r="H260" s="174">
        <f>Effort!K254+Aide!I254+Taux!J254</f>
        <v>0</v>
      </c>
      <c r="I260" s="240">
        <f t="shared" si="10"/>
        <v>-199309.5389035694</v>
      </c>
      <c r="J260" s="300">
        <f t="shared" si="11"/>
        <v>299166.61395883595</v>
      </c>
      <c r="K260" s="406">
        <f t="shared" si="12"/>
        <v>99857.075055266556</v>
      </c>
    </row>
    <row r="261" spans="1:11" x14ac:dyDescent="0.25">
      <c r="A261" s="38">
        <f>Données!A255</f>
        <v>5855</v>
      </c>
      <c r="B261" s="27" t="str">
        <f>Données!B255</f>
        <v>Dully</v>
      </c>
      <c r="C261" s="26">
        <f>Ecrêtage!C255</f>
        <v>82571.316415094334</v>
      </c>
      <c r="D261" s="12">
        <f>Données!Z255</f>
        <v>631</v>
      </c>
      <c r="E261" s="8">
        <f>Population!K258</f>
        <v>-82763.204225352092</v>
      </c>
      <c r="F261" s="174">
        <f>Solidarité!I255</f>
        <v>0</v>
      </c>
      <c r="G261" s="8">
        <f>DT!O255</f>
        <v>0</v>
      </c>
      <c r="H261" s="174">
        <f>Effort!K255+Aide!I255+Taux!J255</f>
        <v>0</v>
      </c>
      <c r="I261" s="240">
        <f t="shared" si="10"/>
        <v>-82763.204225352092</v>
      </c>
      <c r="J261" s="300">
        <f t="shared" si="11"/>
        <v>1618692.1718234245</v>
      </c>
      <c r="K261" s="406">
        <f t="shared" si="12"/>
        <v>1535928.9675980725</v>
      </c>
    </row>
    <row r="262" spans="1:11" x14ac:dyDescent="0.25">
      <c r="A262" s="38">
        <f>Données!A256</f>
        <v>5856</v>
      </c>
      <c r="B262" s="27" t="str">
        <f>Données!B256</f>
        <v>Essertines-sur-Rolle</v>
      </c>
      <c r="C262" s="26">
        <f>Ecrêtage!C256</f>
        <v>36460.735639097751</v>
      </c>
      <c r="D262" s="12">
        <f>Données!Z256</f>
        <v>749</v>
      </c>
      <c r="E262" s="8">
        <f>Population!K259</f>
        <v>-98240.316901408427</v>
      </c>
      <c r="F262" s="174">
        <f>Solidarité!I256</f>
        <v>0</v>
      </c>
      <c r="G262" s="8">
        <f>DT!O256</f>
        <v>0</v>
      </c>
      <c r="H262" s="174">
        <f>Effort!K256+Aide!I256+Taux!J256</f>
        <v>0</v>
      </c>
      <c r="I262" s="240">
        <f t="shared" si="10"/>
        <v>-98240.316901408427</v>
      </c>
      <c r="J262" s="300">
        <f t="shared" si="11"/>
        <v>714760.40252571343</v>
      </c>
      <c r="K262" s="406">
        <f t="shared" si="12"/>
        <v>616520.08562430507</v>
      </c>
    </row>
    <row r="263" spans="1:11" x14ac:dyDescent="0.25">
      <c r="A263" s="38">
        <f>Données!A257</f>
        <v>5857</v>
      </c>
      <c r="B263" s="27" t="str">
        <f>Données!B257</f>
        <v>Gilly</v>
      </c>
      <c r="C263" s="26">
        <f>Ecrêtage!C257</f>
        <v>87016.843255813976</v>
      </c>
      <c r="D263" s="12">
        <f>Données!Z257</f>
        <v>1446</v>
      </c>
      <c r="E263" s="8">
        <f>Population!K260</f>
        <v>-294957.04225352104</v>
      </c>
      <c r="F263" s="174">
        <f>Solidarité!I257</f>
        <v>0</v>
      </c>
      <c r="G263" s="8">
        <f>DT!O257</f>
        <v>0</v>
      </c>
      <c r="H263" s="174">
        <f>Effort!K257+Aide!I257+Taux!J257</f>
        <v>0</v>
      </c>
      <c r="I263" s="240">
        <f t="shared" si="10"/>
        <v>-294957.04225352104</v>
      </c>
      <c r="J263" s="300">
        <f t="shared" si="11"/>
        <v>1705840.346384783</v>
      </c>
      <c r="K263" s="406">
        <f t="shared" si="12"/>
        <v>1410883.304131262</v>
      </c>
    </row>
    <row r="264" spans="1:11" x14ac:dyDescent="0.25">
      <c r="A264" s="38">
        <f>Données!A258</f>
        <v>5858</v>
      </c>
      <c r="B264" s="27" t="str">
        <f>Données!B258</f>
        <v>Luins</v>
      </c>
      <c r="C264" s="26">
        <f>Ecrêtage!C258</f>
        <v>41161.497549857544</v>
      </c>
      <c r="D264" s="12">
        <f>Données!Z258</f>
        <v>618</v>
      </c>
      <c r="E264" s="8">
        <f>Population!K261</f>
        <v>-81058.098591549278</v>
      </c>
      <c r="F264" s="174">
        <f>Solidarité!I258</f>
        <v>0</v>
      </c>
      <c r="G264" s="8">
        <f>DT!O258</f>
        <v>0</v>
      </c>
      <c r="H264" s="174">
        <f>Effort!K258+Aide!I258+Taux!J258</f>
        <v>0</v>
      </c>
      <c r="I264" s="240">
        <f t="shared" si="10"/>
        <v>-81058.098591549278</v>
      </c>
      <c r="J264" s="300">
        <f t="shared" si="11"/>
        <v>806912.09438322193</v>
      </c>
      <c r="K264" s="406">
        <f t="shared" si="12"/>
        <v>725853.99579167261</v>
      </c>
    </row>
    <row r="265" spans="1:11" x14ac:dyDescent="0.25">
      <c r="A265" s="38">
        <f>Données!A259</f>
        <v>5859</v>
      </c>
      <c r="B265" s="27" t="str">
        <f>Données!B259</f>
        <v>Mont-sur-Rolle</v>
      </c>
      <c r="C265" s="26">
        <f>Ecrêtage!C259</f>
        <v>158432.4612598425</v>
      </c>
      <c r="D265" s="12">
        <f>Données!Z259</f>
        <v>2759</v>
      </c>
      <c r="E265" s="8">
        <f>Population!K262</f>
        <v>-777160.91549295757</v>
      </c>
      <c r="F265" s="174">
        <f>Solidarité!I259</f>
        <v>0</v>
      </c>
      <c r="G265" s="8">
        <f>DT!O259</f>
        <v>-228234.15962192442</v>
      </c>
      <c r="H265" s="174">
        <f>Effort!K259+Aide!I259+Taux!J259</f>
        <v>0</v>
      </c>
      <c r="I265" s="240">
        <f t="shared" si="10"/>
        <v>-1005395.075114882</v>
      </c>
      <c r="J265" s="300">
        <f t="shared" si="11"/>
        <v>3105841.0588346203</v>
      </c>
      <c r="K265" s="406">
        <f t="shared" si="12"/>
        <v>2100445.9837197382</v>
      </c>
    </row>
    <row r="266" spans="1:11" x14ac:dyDescent="0.25">
      <c r="A266" s="38">
        <f>Données!A260</f>
        <v>5860</v>
      </c>
      <c r="B266" s="27" t="str">
        <f>Données!B260</f>
        <v>Perroy</v>
      </c>
      <c r="C266" s="26">
        <f>Ecrêtage!C260</f>
        <v>132372.96084155163</v>
      </c>
      <c r="D266" s="12">
        <f>Données!Z260</f>
        <v>1542</v>
      </c>
      <c r="E266" s="8">
        <f>Population!K263</f>
        <v>-330213.3802816901</v>
      </c>
      <c r="F266" s="174">
        <f>Solidarité!I260</f>
        <v>0</v>
      </c>
      <c r="G266" s="8">
        <f>DT!O260</f>
        <v>0</v>
      </c>
      <c r="H266" s="174">
        <f>Effort!K260+Aide!I260+Taux!J260</f>
        <v>0</v>
      </c>
      <c r="I266" s="240">
        <f t="shared" si="10"/>
        <v>-330213.3802816901</v>
      </c>
      <c r="J266" s="300">
        <f t="shared" si="11"/>
        <v>2594981.9474615864</v>
      </c>
      <c r="K266" s="406">
        <f t="shared" si="12"/>
        <v>2264768.5671798964</v>
      </c>
    </row>
    <row r="267" spans="1:11" x14ac:dyDescent="0.25">
      <c r="A267" s="38">
        <f>Données!A261</f>
        <v>5861</v>
      </c>
      <c r="B267" s="27" t="str">
        <f>Données!B261</f>
        <v>Rolle</v>
      </c>
      <c r="C267" s="26">
        <f>Ecrêtage!C261</f>
        <v>796252.79529411776</v>
      </c>
      <c r="D267" s="12">
        <f>Données!Z261</f>
        <v>6321</v>
      </c>
      <c r="E267" s="8">
        <f>Population!K264</f>
        <v>-2746636.6197183095</v>
      </c>
      <c r="F267" s="174">
        <f>Solidarité!I261</f>
        <v>0</v>
      </c>
      <c r="G267" s="8">
        <f>DT!O261</f>
        <v>0</v>
      </c>
      <c r="H267" s="174">
        <f>Effort!K261+Aide!I261+Taux!J261</f>
        <v>0</v>
      </c>
      <c r="I267" s="240">
        <f t="shared" si="10"/>
        <v>-2746636.6197183095</v>
      </c>
      <c r="J267" s="300">
        <f t="shared" si="11"/>
        <v>15609393.461232197</v>
      </c>
      <c r="K267" s="406">
        <f t="shared" si="12"/>
        <v>12862756.841513887</v>
      </c>
    </row>
    <row r="268" spans="1:11" x14ac:dyDescent="0.25">
      <c r="A268" s="38">
        <f>Données!A262</f>
        <v>5862</v>
      </c>
      <c r="B268" s="27" t="str">
        <f>Données!B262</f>
        <v>Tartegnin</v>
      </c>
      <c r="C268" s="26">
        <f>Ecrêtage!C262</f>
        <v>10371.38594936709</v>
      </c>
      <c r="D268" s="12">
        <f>Données!Z262</f>
        <v>249</v>
      </c>
      <c r="E268" s="8">
        <f>Population!K265</f>
        <v>-32659.330985915487</v>
      </c>
      <c r="F268" s="174">
        <f>Solidarité!I262</f>
        <v>-38792.863366048776</v>
      </c>
      <c r="G268" s="8">
        <f>DT!O262</f>
        <v>0</v>
      </c>
      <c r="H268" s="174">
        <f>Effort!K262+Aide!I262+Taux!J262</f>
        <v>0</v>
      </c>
      <c r="I268" s="240">
        <f t="shared" si="10"/>
        <v>-71452.194351964266</v>
      </c>
      <c r="J268" s="300">
        <f t="shared" si="11"/>
        <v>203316.13901859804</v>
      </c>
      <c r="K268" s="406">
        <f t="shared" si="12"/>
        <v>131863.94466663379</v>
      </c>
    </row>
    <row r="269" spans="1:11" x14ac:dyDescent="0.25">
      <c r="A269" s="38">
        <f>Données!A263</f>
        <v>5863</v>
      </c>
      <c r="B269" s="27" t="str">
        <f>Données!B263</f>
        <v>Vinzel</v>
      </c>
      <c r="C269" s="26">
        <f>Ecrêtage!C263</f>
        <v>23660.86104477612</v>
      </c>
      <c r="D269" s="12">
        <f>Données!Z263</f>
        <v>378</v>
      </c>
      <c r="E269" s="8">
        <f>Population!K266</f>
        <v>-49579.225352112669</v>
      </c>
      <c r="F269" s="174">
        <f>Solidarité!I263</f>
        <v>0</v>
      </c>
      <c r="G269" s="8">
        <f>DT!O263</f>
        <v>0</v>
      </c>
      <c r="H269" s="174">
        <f>Effort!K263+Aide!I263+Taux!J263</f>
        <v>0</v>
      </c>
      <c r="I269" s="240">
        <f t="shared" ref="I269:I311" si="13">SUM(E269:H269)</f>
        <v>-49579.225352112669</v>
      </c>
      <c r="J269" s="300">
        <f t="shared" ref="J269:J311" si="14">C269*$J$11</f>
        <v>463837.22840562108</v>
      </c>
      <c r="K269" s="406">
        <f t="shared" ref="K269:K311" si="15">I269+J269</f>
        <v>414258.00305350841</v>
      </c>
    </row>
    <row r="270" spans="1:11" x14ac:dyDescent="0.25">
      <c r="A270" s="38">
        <f>Données!A264</f>
        <v>5871</v>
      </c>
      <c r="B270" s="27" t="str">
        <f>Données!B264</f>
        <v>L'Abbaye</v>
      </c>
      <c r="C270" s="26">
        <f>Ecrêtage!C264</f>
        <v>50235.576326002578</v>
      </c>
      <c r="D270" s="12">
        <f>Données!Z264</f>
        <v>1534</v>
      </c>
      <c r="E270" s="8">
        <f>Population!K267</f>
        <v>-327275.35211267602</v>
      </c>
      <c r="F270" s="174">
        <f>Solidarité!I264</f>
        <v>-554438.14468855283</v>
      </c>
      <c r="G270" s="8">
        <f>DT!O264</f>
        <v>-426073.60930487601</v>
      </c>
      <c r="H270" s="174">
        <f>Effort!K264+Aide!I264+Taux!J264</f>
        <v>0</v>
      </c>
      <c r="I270" s="240">
        <f t="shared" si="13"/>
        <v>-1307787.1061061048</v>
      </c>
      <c r="J270" s="300">
        <f t="shared" si="14"/>
        <v>984796.38785404759</v>
      </c>
      <c r="K270" s="406">
        <f t="shared" si="15"/>
        <v>-322990.71825205721</v>
      </c>
    </row>
    <row r="271" spans="1:11" x14ac:dyDescent="0.25">
      <c r="A271" s="38">
        <f>Données!A265</f>
        <v>5872</v>
      </c>
      <c r="B271" s="27" t="str">
        <f>Données!B265</f>
        <v>Le Chenit</v>
      </c>
      <c r="C271" s="26">
        <f>Ecrêtage!C265</f>
        <v>316919.42630555143</v>
      </c>
      <c r="D271" s="12">
        <f>Données!Z265</f>
        <v>4613</v>
      </c>
      <c r="E271" s="8">
        <f>Population!K268</f>
        <v>-1711926.0563380278</v>
      </c>
      <c r="F271" s="174">
        <f>Solidarité!I265</f>
        <v>0</v>
      </c>
      <c r="G271" s="8">
        <f>DT!O265</f>
        <v>-1187732.2610337604</v>
      </c>
      <c r="H271" s="174">
        <f>Effort!K265+Aide!I265+Taux!J265</f>
        <v>0</v>
      </c>
      <c r="I271" s="240">
        <f t="shared" si="13"/>
        <v>-2899658.3173717884</v>
      </c>
      <c r="J271" s="300">
        <f t="shared" si="14"/>
        <v>6212750.5861804271</v>
      </c>
      <c r="K271" s="406">
        <f t="shared" si="15"/>
        <v>3313092.2688086387</v>
      </c>
    </row>
    <row r="272" spans="1:11" x14ac:dyDescent="0.25">
      <c r="A272" s="38">
        <f>Données!A266</f>
        <v>5873</v>
      </c>
      <c r="B272" s="27" t="str">
        <f>Données!B266</f>
        <v>Le Lieu</v>
      </c>
      <c r="C272" s="26">
        <f>Ecrêtage!C266</f>
        <v>35203.466500000002</v>
      </c>
      <c r="D272" s="12">
        <f>Données!Z266</f>
        <v>886</v>
      </c>
      <c r="E272" s="8">
        <f>Population!K269</f>
        <v>-116209.50704225351</v>
      </c>
      <c r="F272" s="174">
        <f>Solidarité!I266</f>
        <v>-141615.91241355514</v>
      </c>
      <c r="G272" s="8">
        <f>DT!O266</f>
        <v>-657777.14320629952</v>
      </c>
      <c r="H272" s="174">
        <f>Effort!K266+Aide!I266+Taux!J266</f>
        <v>0</v>
      </c>
      <c r="I272" s="240">
        <f t="shared" si="13"/>
        <v>-915602.5626621081</v>
      </c>
      <c r="J272" s="300">
        <f t="shared" si="14"/>
        <v>690113.44518399099</v>
      </c>
      <c r="K272" s="406">
        <f t="shared" si="15"/>
        <v>-225489.11747811711</v>
      </c>
    </row>
    <row r="273" spans="1:11" x14ac:dyDescent="0.25">
      <c r="A273" s="38">
        <f>Données!A267</f>
        <v>5882</v>
      </c>
      <c r="B273" s="27" t="str">
        <f>Données!B267</f>
        <v>Chardonne</v>
      </c>
      <c r="C273" s="26">
        <f>Ecrêtage!C267</f>
        <v>201755.16911764705</v>
      </c>
      <c r="D273" s="12">
        <f>Données!Z267</f>
        <v>3192</v>
      </c>
      <c r="E273" s="8">
        <f>Population!K270</f>
        <v>-966401.40845070407</v>
      </c>
      <c r="F273" s="174">
        <f>Solidarité!I267</f>
        <v>0</v>
      </c>
      <c r="G273" s="8">
        <f>DT!O267</f>
        <v>-269206.69533243967</v>
      </c>
      <c r="H273" s="174">
        <f>Effort!K267+Aide!I267+Taux!J267</f>
        <v>0</v>
      </c>
      <c r="I273" s="240">
        <f t="shared" si="13"/>
        <v>-1235608.1037831437</v>
      </c>
      <c r="J273" s="300">
        <f t="shared" si="14"/>
        <v>3955120.5800558911</v>
      </c>
      <c r="K273" s="406">
        <f t="shared" si="15"/>
        <v>2719512.4762727474</v>
      </c>
    </row>
    <row r="274" spans="1:11" x14ac:dyDescent="0.25">
      <c r="A274" s="38">
        <f>Données!A268</f>
        <v>5883</v>
      </c>
      <c r="B274" s="27" t="str">
        <f>Données!B268</f>
        <v>Corseaux</v>
      </c>
      <c r="C274" s="26">
        <f>Ecrêtage!C268</f>
        <v>180895.17037037041</v>
      </c>
      <c r="D274" s="12">
        <f>Données!Z268</f>
        <v>2307</v>
      </c>
      <c r="E274" s="8">
        <f>Population!K271</f>
        <v>-611162.32394366188</v>
      </c>
      <c r="F274" s="174">
        <f>Solidarité!I268</f>
        <v>0</v>
      </c>
      <c r="G274" s="8">
        <f>DT!O268</f>
        <v>0</v>
      </c>
      <c r="H274" s="174">
        <f>Effort!K268+Aide!I268+Taux!J268</f>
        <v>0</v>
      </c>
      <c r="I274" s="240">
        <f t="shared" si="13"/>
        <v>-611162.32394366188</v>
      </c>
      <c r="J274" s="300">
        <f t="shared" si="14"/>
        <v>3546190.2378687994</v>
      </c>
      <c r="K274" s="406">
        <f t="shared" si="15"/>
        <v>2935027.9139251374</v>
      </c>
    </row>
    <row r="275" spans="1:11" x14ac:dyDescent="0.25">
      <c r="A275" s="38">
        <f>Données!A269</f>
        <v>5884</v>
      </c>
      <c r="B275" s="27" t="str">
        <f>Données!B269</f>
        <v>Corsier-sur-Vevey</v>
      </c>
      <c r="C275" s="26">
        <f>Ecrêtage!C269</f>
        <v>128040.06408268733</v>
      </c>
      <c r="D275" s="12">
        <f>Données!Z269</f>
        <v>3366</v>
      </c>
      <c r="E275" s="8">
        <f>Population!K272</f>
        <v>-1057690.1408450701</v>
      </c>
      <c r="F275" s="174">
        <f>Solidarité!I269</f>
        <v>-551421.42814281688</v>
      </c>
      <c r="G275" s="8">
        <f>DT!O269</f>
        <v>-1404151.2994247298</v>
      </c>
      <c r="H275" s="174">
        <f>Effort!K269+Aide!I269+Taux!J269</f>
        <v>0</v>
      </c>
      <c r="I275" s="240">
        <f t="shared" si="13"/>
        <v>-3013262.8684126167</v>
      </c>
      <c r="J275" s="300">
        <f t="shared" si="14"/>
        <v>2510041.7240353962</v>
      </c>
      <c r="K275" s="406">
        <f t="shared" si="15"/>
        <v>-503221.14437722042</v>
      </c>
    </row>
    <row r="276" spans="1:11" x14ac:dyDescent="0.25">
      <c r="A276" s="38">
        <f>Données!A270</f>
        <v>5885</v>
      </c>
      <c r="B276" s="27" t="str">
        <f>Données!B270</f>
        <v>Jongny</v>
      </c>
      <c r="C276" s="26">
        <f>Ecrêtage!C270</f>
        <v>104088.6996882494</v>
      </c>
      <c r="D276" s="12">
        <f>Données!Z270</f>
        <v>1842</v>
      </c>
      <c r="E276" s="8">
        <f>Population!K273</f>
        <v>-440389.43661971821</v>
      </c>
      <c r="F276" s="174">
        <f>Solidarité!I270</f>
        <v>0</v>
      </c>
      <c r="G276" s="8">
        <f>DT!O270</f>
        <v>-61378.643027670987</v>
      </c>
      <c r="H276" s="174">
        <f>Effort!K270+Aide!I270+Taux!J270</f>
        <v>0</v>
      </c>
      <c r="I276" s="240">
        <f t="shared" si="13"/>
        <v>-501768.07964738918</v>
      </c>
      <c r="J276" s="300">
        <f t="shared" si="14"/>
        <v>2040509.5943201955</v>
      </c>
      <c r="K276" s="406">
        <f t="shared" si="15"/>
        <v>1538741.5146728063</v>
      </c>
    </row>
    <row r="277" spans="1:11" x14ac:dyDescent="0.25">
      <c r="A277" s="38">
        <f>Données!A271</f>
        <v>5886</v>
      </c>
      <c r="B277" s="27" t="str">
        <f>Données!B271</f>
        <v>Montreux</v>
      </c>
      <c r="C277" s="26">
        <f>Ecrêtage!C271</f>
        <v>1153058.3310769231</v>
      </c>
      <c r="D277" s="12">
        <f>Données!Z271</f>
        <v>26081</v>
      </c>
      <c r="E277" s="8">
        <f>Population!K274</f>
        <v>-22465475</v>
      </c>
      <c r="F277" s="174">
        <f>Solidarité!I271</f>
        <v>-1625919.3800659617</v>
      </c>
      <c r="G277" s="8">
        <f>DT!O271</f>
        <v>-6545447.4405471887</v>
      </c>
      <c r="H277" s="174">
        <f>Effort!K271+Aide!I271+Taux!J271</f>
        <v>0</v>
      </c>
      <c r="I277" s="240">
        <f t="shared" si="13"/>
        <v>-30636841.820613153</v>
      </c>
      <c r="J277" s="300">
        <f t="shared" si="14"/>
        <v>22604053.988762673</v>
      </c>
      <c r="K277" s="406">
        <f t="shared" si="15"/>
        <v>-8032787.8318504803</v>
      </c>
    </row>
    <row r="278" spans="1:11" x14ac:dyDescent="0.25">
      <c r="A278" s="38">
        <f>Données!A272</f>
        <v>5889</v>
      </c>
      <c r="B278" s="27" t="str">
        <f>Données!B272</f>
        <v>La Tour-de-Peilz</v>
      </c>
      <c r="C278" s="26">
        <f>Ecrêtage!C272</f>
        <v>709087.81846354157</v>
      </c>
      <c r="D278" s="12">
        <f>Données!Z272</f>
        <v>12400</v>
      </c>
      <c r="E278" s="8">
        <f>Population!K275</f>
        <v>-7528697.18309859</v>
      </c>
      <c r="F278" s="174">
        <f>Solidarité!I272</f>
        <v>0</v>
      </c>
      <c r="G278" s="8">
        <f>DT!O272</f>
        <v>-759092.01059719117</v>
      </c>
      <c r="H278" s="174">
        <f>Effort!K272+Aide!I272+Taux!J272</f>
        <v>0</v>
      </c>
      <c r="I278" s="240">
        <f t="shared" si="13"/>
        <v>-8287789.1936957808</v>
      </c>
      <c r="J278" s="300">
        <f t="shared" si="14"/>
        <v>13900649.16867988</v>
      </c>
      <c r="K278" s="406">
        <f t="shared" si="15"/>
        <v>5612859.9749840992</v>
      </c>
    </row>
    <row r="279" spans="1:11" x14ac:dyDescent="0.25">
      <c r="A279" s="38">
        <f>Données!A273</f>
        <v>5890</v>
      </c>
      <c r="B279" s="27" t="str">
        <f>Données!B273</f>
        <v>Vevey</v>
      </c>
      <c r="C279" s="26">
        <f>Ecrêtage!C273</f>
        <v>944872.98138702475</v>
      </c>
      <c r="D279" s="12">
        <f>Données!Z273</f>
        <v>19743</v>
      </c>
      <c r="E279" s="8">
        <f>Population!K276</f>
        <v>-15482516.549295772</v>
      </c>
      <c r="F279" s="174">
        <f>Solidarité!I273</f>
        <v>-22010.814247325816</v>
      </c>
      <c r="G279" s="8">
        <f>DT!O273</f>
        <v>-3657495.5841395329</v>
      </c>
      <c r="H279" s="174">
        <f>Effort!K273+Aide!I273+Taux!J273</f>
        <v>0</v>
      </c>
      <c r="I279" s="240">
        <f t="shared" si="13"/>
        <v>-19162022.94768263</v>
      </c>
      <c r="J279" s="300">
        <f t="shared" si="14"/>
        <v>18522878.945636462</v>
      </c>
      <c r="K279" s="406">
        <f t="shared" si="15"/>
        <v>-639144.00204616785</v>
      </c>
    </row>
    <row r="280" spans="1:11" x14ac:dyDescent="0.25">
      <c r="A280" s="38">
        <f>Données!A274</f>
        <v>5891</v>
      </c>
      <c r="B280" s="27" t="str">
        <f>Données!B274</f>
        <v>Veytaux</v>
      </c>
      <c r="C280" s="26">
        <f>Ecrêtage!C274</f>
        <v>41112.713045563549</v>
      </c>
      <c r="D280" s="12">
        <f>Données!Z274</f>
        <v>970</v>
      </c>
      <c r="E280" s="8">
        <f>Population!K277</f>
        <v>-127227.11267605632</v>
      </c>
      <c r="F280" s="174">
        <f>Solidarité!I274</f>
        <v>-103275.49244595763</v>
      </c>
      <c r="G280" s="8">
        <f>DT!O274</f>
        <v>-695618.92522597464</v>
      </c>
      <c r="H280" s="174">
        <f>Effort!K274+Aide!I274+Taux!J274</f>
        <v>0</v>
      </c>
      <c r="I280" s="240">
        <f t="shared" si="13"/>
        <v>-926121.53034798859</v>
      </c>
      <c r="J280" s="300">
        <f t="shared" si="14"/>
        <v>805955.74418032577</v>
      </c>
      <c r="K280" s="406">
        <f t="shared" si="15"/>
        <v>-120165.78616766282</v>
      </c>
    </row>
    <row r="281" spans="1:11" x14ac:dyDescent="0.25">
      <c r="A281" s="38">
        <f>Données!A275</f>
        <v>5892</v>
      </c>
      <c r="B281" s="27" t="str">
        <f>Données!B275</f>
        <v>Blonay-St-Légier</v>
      </c>
      <c r="C281" s="26">
        <f>Ecrêtage!C275</f>
        <v>749721.2351824817</v>
      </c>
      <c r="D281" s="12">
        <f>Données!Z275</f>
        <v>12123</v>
      </c>
      <c r="E281" s="8">
        <f>Population!K278</f>
        <v>-7238042.2535211258</v>
      </c>
      <c r="F281" s="174">
        <f>Solidarité!I275</f>
        <v>0</v>
      </c>
      <c r="G281" s="8">
        <f>DT!O275</f>
        <v>-2039275.2699873815</v>
      </c>
      <c r="H281" s="174">
        <f>Effort!K275+Aide!I275+Taux!J275</f>
        <v>0</v>
      </c>
      <c r="I281" s="240">
        <f t="shared" si="13"/>
        <v>-9277317.5235085078</v>
      </c>
      <c r="J281" s="300">
        <f t="shared" si="14"/>
        <v>14697208.996147567</v>
      </c>
      <c r="K281" s="406">
        <f t="shared" si="15"/>
        <v>5419891.4726390596</v>
      </c>
    </row>
    <row r="282" spans="1:11" x14ac:dyDescent="0.25">
      <c r="A282" s="38">
        <f>Données!A276</f>
        <v>5902</v>
      </c>
      <c r="B282" s="27" t="str">
        <f>Données!B276</f>
        <v>Belmont-sur-Yverdon</v>
      </c>
      <c r="C282" s="26">
        <f>Ecrêtage!C276</f>
        <v>11917.701714285715</v>
      </c>
      <c r="D282" s="12">
        <f>Données!Z276</f>
        <v>434</v>
      </c>
      <c r="E282" s="8">
        <f>Population!K279</f>
        <v>-56924.295774647879</v>
      </c>
      <c r="F282" s="174">
        <f>Solidarité!I276</f>
        <v>-173499.65844909404</v>
      </c>
      <c r="G282" s="8">
        <f>DT!O276</f>
        <v>-6301.874152236056</v>
      </c>
      <c r="H282" s="174">
        <f>Effort!K276+Aide!I276+Taux!J276</f>
        <v>0</v>
      </c>
      <c r="I282" s="240">
        <f t="shared" si="13"/>
        <v>-236725.82837597799</v>
      </c>
      <c r="J282" s="300">
        <f t="shared" si="14"/>
        <v>233629.44068933863</v>
      </c>
      <c r="K282" s="406">
        <f t="shared" si="15"/>
        <v>-3096.3876866393548</v>
      </c>
    </row>
    <row r="283" spans="1:11" x14ac:dyDescent="0.25">
      <c r="A283" s="38">
        <f>Données!A277</f>
        <v>5903</v>
      </c>
      <c r="B283" s="27" t="str">
        <f>Données!B277</f>
        <v>Bioley-Magnoux</v>
      </c>
      <c r="C283" s="26">
        <f>Ecrêtage!C277</f>
        <v>6275.3681349206354</v>
      </c>
      <c r="D283" s="12">
        <f>Données!Z277</f>
        <v>247</v>
      </c>
      <c r="E283" s="8">
        <f>Population!K280</f>
        <v>-32397.007042253514</v>
      </c>
      <c r="F283" s="174">
        <f>Solidarité!I277</f>
        <v>-114958.06292570912</v>
      </c>
      <c r="G283" s="8">
        <f>DT!O277</f>
        <v>-142376.57446104515</v>
      </c>
      <c r="H283" s="174">
        <f>Effort!K277+Aide!I277+Taux!J277</f>
        <v>0</v>
      </c>
      <c r="I283" s="240">
        <f t="shared" si="13"/>
        <v>-289731.64442900778</v>
      </c>
      <c r="J283" s="300">
        <f t="shared" si="14"/>
        <v>123019.58738602958</v>
      </c>
      <c r="K283" s="406">
        <f t="shared" si="15"/>
        <v>-166712.05704297818</v>
      </c>
    </row>
    <row r="284" spans="1:11" x14ac:dyDescent="0.25">
      <c r="A284" s="38">
        <f>Données!A278</f>
        <v>5904</v>
      </c>
      <c r="B284" s="27" t="str">
        <f>Données!B278</f>
        <v>Chamblon</v>
      </c>
      <c r="C284" s="26">
        <f>Ecrêtage!C278</f>
        <v>18889.911515151514</v>
      </c>
      <c r="D284" s="12">
        <f>Données!Z278</f>
        <v>567</v>
      </c>
      <c r="E284" s="8">
        <f>Population!K281</f>
        <v>-74368.838028169004</v>
      </c>
      <c r="F284" s="174">
        <f>Solidarité!I278</f>
        <v>-143804.59461739889</v>
      </c>
      <c r="G284" s="8">
        <f>DT!O278</f>
        <v>0</v>
      </c>
      <c r="H284" s="174">
        <f>Effort!K278+Aide!I278+Taux!J278</f>
        <v>0</v>
      </c>
      <c r="I284" s="240">
        <f t="shared" si="13"/>
        <v>-218173.4326455679</v>
      </c>
      <c r="J284" s="300">
        <f t="shared" si="14"/>
        <v>370309.60899665812</v>
      </c>
      <c r="K284" s="406">
        <f t="shared" si="15"/>
        <v>152136.17635109022</v>
      </c>
    </row>
    <row r="285" spans="1:11" x14ac:dyDescent="0.25">
      <c r="A285" s="38">
        <f>Données!A279</f>
        <v>5905</v>
      </c>
      <c r="B285" s="27" t="str">
        <f>Données!B279</f>
        <v>Champvent</v>
      </c>
      <c r="C285" s="26">
        <f>Ecrêtage!C279</f>
        <v>21532.633285714288</v>
      </c>
      <c r="D285" s="12">
        <f>Données!Z279</f>
        <v>734</v>
      </c>
      <c r="E285" s="8">
        <f>Population!K282</f>
        <v>-96272.887323943651</v>
      </c>
      <c r="F285" s="174">
        <f>Solidarité!I279</f>
        <v>-266512.52061776962</v>
      </c>
      <c r="G285" s="8">
        <f>DT!O279</f>
        <v>-81988.472615947103</v>
      </c>
      <c r="H285" s="174">
        <f>Effort!K279+Aide!I279+Taux!J279</f>
        <v>0</v>
      </c>
      <c r="I285" s="240">
        <f t="shared" si="13"/>
        <v>-444773.88055766036</v>
      </c>
      <c r="J285" s="300">
        <f t="shared" si="14"/>
        <v>422116.37710984412</v>
      </c>
      <c r="K285" s="406">
        <f t="shared" si="15"/>
        <v>-22657.503447816242</v>
      </c>
    </row>
    <row r="286" spans="1:11" x14ac:dyDescent="0.25">
      <c r="A286" s="38">
        <f>Données!A280</f>
        <v>5907</v>
      </c>
      <c r="B286" s="27" t="str">
        <f>Données!B280</f>
        <v>Chavannes-le-Chêne</v>
      </c>
      <c r="C286" s="26">
        <f>Ecrêtage!C280</f>
        <v>8453.4518666666645</v>
      </c>
      <c r="D286" s="12">
        <f>Données!Z280</f>
        <v>316</v>
      </c>
      <c r="E286" s="8">
        <f>Population!K283</f>
        <v>-41447.183098591544</v>
      </c>
      <c r="F286" s="174">
        <f>Solidarité!I280</f>
        <v>-150044.18593619158</v>
      </c>
      <c r="G286" s="8">
        <f>DT!O280</f>
        <v>-45679.663401181147</v>
      </c>
      <c r="H286" s="174">
        <f>Effort!K280+Aide!I280+Taux!J280</f>
        <v>0</v>
      </c>
      <c r="I286" s="240">
        <f t="shared" si="13"/>
        <v>-237171.03243596427</v>
      </c>
      <c r="J286" s="300">
        <f t="shared" si="14"/>
        <v>165717.79348497884</v>
      </c>
      <c r="K286" s="406">
        <f t="shared" si="15"/>
        <v>-71453.238950985426</v>
      </c>
    </row>
    <row r="287" spans="1:11" x14ac:dyDescent="0.25">
      <c r="A287" s="38">
        <f>Données!A281</f>
        <v>5908</v>
      </c>
      <c r="B287" s="27" t="str">
        <f>Données!B281</f>
        <v>Chêne-Pâquier</v>
      </c>
      <c r="C287" s="26">
        <f>Ecrêtage!C281</f>
        <v>4917.7774666666683</v>
      </c>
      <c r="D287" s="12">
        <f>Données!Z281</f>
        <v>163</v>
      </c>
      <c r="E287" s="8">
        <f>Population!K284</f>
        <v>-21379.4014084507</v>
      </c>
      <c r="F287" s="174">
        <f>Solidarité!I281</f>
        <v>-64889.260043096423</v>
      </c>
      <c r="G287" s="8">
        <f>DT!O281</f>
        <v>-39287.922645679573</v>
      </c>
      <c r="H287" s="174">
        <f>Effort!K281+Aide!I281+Taux!J281</f>
        <v>0</v>
      </c>
      <c r="I287" s="240">
        <f t="shared" si="13"/>
        <v>-125556.58409722669</v>
      </c>
      <c r="J287" s="300">
        <f t="shared" si="14"/>
        <v>96405.970422530227</v>
      </c>
      <c r="K287" s="406">
        <f t="shared" si="15"/>
        <v>-29150.613674696462</v>
      </c>
    </row>
    <row r="288" spans="1:11" x14ac:dyDescent="0.25">
      <c r="A288" s="38">
        <f>Données!A282</f>
        <v>5909</v>
      </c>
      <c r="B288" s="27" t="str">
        <f>Données!B282</f>
        <v>Cheseaux-Noréaz</v>
      </c>
      <c r="C288" s="26">
        <f>Ecrêtage!C282</f>
        <v>34184.486119402987</v>
      </c>
      <c r="D288" s="12">
        <f>Données!Z282</f>
        <v>734</v>
      </c>
      <c r="E288" s="8">
        <f>Population!K285</f>
        <v>-96272.887323943651</v>
      </c>
      <c r="F288" s="174">
        <f>Solidarité!I282</f>
        <v>-17564.340795759486</v>
      </c>
      <c r="G288" s="8">
        <f>DT!O282</f>
        <v>-51134.42356444375</v>
      </c>
      <c r="H288" s="174">
        <f>Effort!K282+Aide!I282+Taux!J282</f>
        <v>0</v>
      </c>
      <c r="I288" s="240">
        <f t="shared" si="13"/>
        <v>-164971.6516841469</v>
      </c>
      <c r="J288" s="300">
        <f t="shared" si="14"/>
        <v>670137.79701795883</v>
      </c>
      <c r="K288" s="406">
        <f t="shared" si="15"/>
        <v>505166.14533381193</v>
      </c>
    </row>
    <row r="289" spans="1:11" x14ac:dyDescent="0.25">
      <c r="A289" s="38">
        <f>Données!A283</f>
        <v>5910</v>
      </c>
      <c r="B289" s="27" t="str">
        <f>Données!B283</f>
        <v>Cronay</v>
      </c>
      <c r="C289" s="26">
        <f>Ecrêtage!C283</f>
        <v>10619.844545454544</v>
      </c>
      <c r="D289" s="12">
        <f>Données!Z283</f>
        <v>410</v>
      </c>
      <c r="E289" s="8">
        <f>Population!K286</f>
        <v>-53776.408450704213</v>
      </c>
      <c r="F289" s="174">
        <f>Solidarité!I283</f>
        <v>-213436.53456154847</v>
      </c>
      <c r="G289" s="8">
        <f>DT!O283</f>
        <v>-55033.78063038252</v>
      </c>
      <c r="H289" s="174">
        <f>Effort!K283+Aide!I283+Taux!J283</f>
        <v>0</v>
      </c>
      <c r="I289" s="240">
        <f t="shared" si="13"/>
        <v>-322246.72364263522</v>
      </c>
      <c r="J289" s="300">
        <f t="shared" si="14"/>
        <v>208186.813266871</v>
      </c>
      <c r="K289" s="406">
        <f t="shared" si="15"/>
        <v>-114059.91037576422</v>
      </c>
    </row>
    <row r="290" spans="1:11" x14ac:dyDescent="0.25">
      <c r="A290" s="38">
        <f>Données!A284</f>
        <v>5911</v>
      </c>
      <c r="B290" s="27" t="str">
        <f>Données!B284</f>
        <v>Cuarny</v>
      </c>
      <c r="C290" s="26">
        <f>Ecrêtage!C284</f>
        <v>7630.6846753246737</v>
      </c>
      <c r="D290" s="12">
        <f>Données!Z284</f>
        <v>236</v>
      </c>
      <c r="E290" s="8">
        <f>Population!K287</f>
        <v>-30954.225352112669</v>
      </c>
      <c r="F290" s="174">
        <f>Solidarité!I284</f>
        <v>-86952.402829394559</v>
      </c>
      <c r="G290" s="8">
        <f>DT!O284</f>
        <v>-8175.4717409423829</v>
      </c>
      <c r="H290" s="174">
        <f>Effort!K284+Aide!I284+Taux!J284</f>
        <v>0</v>
      </c>
      <c r="I290" s="240">
        <f t="shared" si="13"/>
        <v>-126082.09992244962</v>
      </c>
      <c r="J290" s="300">
        <f t="shared" si="14"/>
        <v>149588.62333631245</v>
      </c>
      <c r="K290" s="406">
        <f t="shared" si="15"/>
        <v>23506.523413862829</v>
      </c>
    </row>
    <row r="291" spans="1:11" x14ac:dyDescent="0.25">
      <c r="A291" s="38">
        <f>Données!A285</f>
        <v>5912</v>
      </c>
      <c r="B291" s="27" t="str">
        <f>Données!B285</f>
        <v>Démoret</v>
      </c>
      <c r="C291" s="26">
        <f>Ecrêtage!C285</f>
        <v>3035.5676923076921</v>
      </c>
      <c r="D291" s="12">
        <f>Données!Z285</f>
        <v>167</v>
      </c>
      <c r="E291" s="8">
        <f>Population!K288</f>
        <v>-21904.049295774643</v>
      </c>
      <c r="F291" s="174">
        <f>Solidarité!I285</f>
        <v>-120523.83486421312</v>
      </c>
      <c r="G291" s="8">
        <f>DT!O285</f>
        <v>-15066.819027489937</v>
      </c>
      <c r="H291" s="174">
        <f>Effort!K285+Aide!I285+Taux!J285</f>
        <v>0</v>
      </c>
      <c r="I291" s="240">
        <f t="shared" si="13"/>
        <v>-157494.70318747769</v>
      </c>
      <c r="J291" s="300">
        <f t="shared" si="14"/>
        <v>59507.948691009682</v>
      </c>
      <c r="K291" s="406">
        <f t="shared" si="15"/>
        <v>-97986.754496467998</v>
      </c>
    </row>
    <row r="292" spans="1:11" x14ac:dyDescent="0.25">
      <c r="A292" s="38">
        <f>Données!A286</f>
        <v>5913</v>
      </c>
      <c r="B292" s="27" t="str">
        <f>Données!B286</f>
        <v>Donneloye</v>
      </c>
      <c r="C292" s="26">
        <f>Ecrêtage!C286</f>
        <v>21868.154383561647</v>
      </c>
      <c r="D292" s="12">
        <f>Données!Z286</f>
        <v>905</v>
      </c>
      <c r="E292" s="8">
        <f>Population!K289</f>
        <v>-118701.58450704224</v>
      </c>
      <c r="F292" s="174">
        <f>Solidarité!I286</f>
        <v>-456894.2201226321</v>
      </c>
      <c r="G292" s="8">
        <f>DT!O286</f>
        <v>-93208.137279327057</v>
      </c>
      <c r="H292" s="174">
        <f>Effort!K286+Aide!I286+Taux!J286</f>
        <v>0</v>
      </c>
      <c r="I292" s="240">
        <f t="shared" si="13"/>
        <v>-668803.94190900133</v>
      </c>
      <c r="J292" s="300">
        <f t="shared" si="14"/>
        <v>428693.7867739565</v>
      </c>
      <c r="K292" s="406">
        <f t="shared" si="15"/>
        <v>-240110.15513504483</v>
      </c>
    </row>
    <row r="293" spans="1:11" x14ac:dyDescent="0.25">
      <c r="A293" s="38">
        <f>Données!A287</f>
        <v>5914</v>
      </c>
      <c r="B293" s="27" t="str">
        <f>Données!B287</f>
        <v>Ependes</v>
      </c>
      <c r="C293" s="26">
        <f>Ecrêtage!C287</f>
        <v>9825.9911564625836</v>
      </c>
      <c r="D293" s="12">
        <f>Données!Z287</f>
        <v>372</v>
      </c>
      <c r="E293" s="8">
        <f>Population!K290</f>
        <v>-48792.253521126753</v>
      </c>
      <c r="F293" s="174">
        <f>Solidarité!I287</f>
        <v>-172345.4269083848</v>
      </c>
      <c r="G293" s="8">
        <f>DT!O287</f>
        <v>-72999.843577138905</v>
      </c>
      <c r="H293" s="174">
        <f>Effort!K287+Aide!I287+Taux!J287</f>
        <v>0</v>
      </c>
      <c r="I293" s="240">
        <f t="shared" si="13"/>
        <v>-294137.52400665043</v>
      </c>
      <c r="J293" s="300">
        <f t="shared" si="14"/>
        <v>192624.45672314175</v>
      </c>
      <c r="K293" s="406">
        <f t="shared" si="15"/>
        <v>-101513.06728350869</v>
      </c>
    </row>
    <row r="294" spans="1:11" x14ac:dyDescent="0.25">
      <c r="A294" s="38">
        <f>Données!A288</f>
        <v>5919</v>
      </c>
      <c r="B294" s="27" t="str">
        <f>Données!B288</f>
        <v>Mathod</v>
      </c>
      <c r="C294" s="26">
        <f>Ecrêtage!C288</f>
        <v>20853.913634259261</v>
      </c>
      <c r="D294" s="12">
        <f>Données!Z288</f>
        <v>684</v>
      </c>
      <c r="E294" s="8">
        <f>Population!K291</f>
        <v>-89714.788732394343</v>
      </c>
      <c r="F294" s="174">
        <f>Solidarité!I288</f>
        <v>-246452.61070302103</v>
      </c>
      <c r="G294" s="8">
        <f>DT!O288</f>
        <v>-98133.155306260698</v>
      </c>
      <c r="H294" s="174">
        <f>Effort!K288+Aide!I288+Taux!J288</f>
        <v>0</v>
      </c>
      <c r="I294" s="240">
        <f t="shared" si="13"/>
        <v>-434300.55474167608</v>
      </c>
      <c r="J294" s="300">
        <f t="shared" si="14"/>
        <v>408811.05227827659</v>
      </c>
      <c r="K294" s="406">
        <f t="shared" si="15"/>
        <v>-25489.502463399491</v>
      </c>
    </row>
    <row r="295" spans="1:11" x14ac:dyDescent="0.25">
      <c r="A295" s="38">
        <f>Données!A289</f>
        <v>5921</v>
      </c>
      <c r="B295" s="27" t="str">
        <f>Données!B289</f>
        <v>Molondin</v>
      </c>
      <c r="C295" s="26">
        <f>Ecrêtage!C289</f>
        <v>5090.9581481481491</v>
      </c>
      <c r="D295" s="12">
        <f>Données!Z289</f>
        <v>257</v>
      </c>
      <c r="E295" s="8">
        <f>Population!K292</f>
        <v>-33708.626760563377</v>
      </c>
      <c r="F295" s="174">
        <f>Solidarité!I289</f>
        <v>-189038.66826821852</v>
      </c>
      <c r="G295" s="8">
        <f>DT!O289</f>
        <v>-9401.7284674143793</v>
      </c>
      <c r="H295" s="174">
        <f>Effort!K289+Aide!I289+Taux!J289</f>
        <v>0</v>
      </c>
      <c r="I295" s="240">
        <f t="shared" si="13"/>
        <v>-232149.02349619629</v>
      </c>
      <c r="J295" s="300">
        <f t="shared" si="14"/>
        <v>99800.929175711426</v>
      </c>
      <c r="K295" s="406">
        <f t="shared" si="15"/>
        <v>-132348.09432048484</v>
      </c>
    </row>
    <row r="296" spans="1:11" x14ac:dyDescent="0.25">
      <c r="A296" s="38">
        <f>Données!A290</f>
        <v>5922</v>
      </c>
      <c r="B296" s="27" t="str">
        <f>Données!B290</f>
        <v>Montagny-près-Yverdon</v>
      </c>
      <c r="C296" s="26">
        <f>Ecrêtage!C290</f>
        <v>39793.407325581393</v>
      </c>
      <c r="D296" s="12">
        <f>Données!Z290</f>
        <v>770</v>
      </c>
      <c r="E296" s="8">
        <f>Population!K293</f>
        <v>-100994.71830985913</v>
      </c>
      <c r="F296" s="174">
        <f>Solidarité!I290</f>
        <v>0</v>
      </c>
      <c r="G296" s="8">
        <f>DT!O290</f>
        <v>-159697.77713149961</v>
      </c>
      <c r="H296" s="174">
        <f>Effort!K290+Aide!I290+Taux!J290</f>
        <v>0</v>
      </c>
      <c r="I296" s="240">
        <f t="shared" si="13"/>
        <v>-260692.49544135874</v>
      </c>
      <c r="J296" s="300">
        <f t="shared" si="14"/>
        <v>780092.64869034523</v>
      </c>
      <c r="K296" s="406">
        <f t="shared" si="15"/>
        <v>519400.15324898646</v>
      </c>
    </row>
    <row r="297" spans="1:11" x14ac:dyDescent="0.25">
      <c r="A297" s="38">
        <f>Données!A291</f>
        <v>5923</v>
      </c>
      <c r="B297" s="27" t="str">
        <f>Données!B291</f>
        <v>Oppens</v>
      </c>
      <c r="C297" s="26">
        <f>Ecrêtage!C291</f>
        <v>4459.1672839506173</v>
      </c>
      <c r="D297" s="12">
        <f>Données!Z291</f>
        <v>202</v>
      </c>
      <c r="E297" s="8">
        <f>Population!K294</f>
        <v>-26494.718309859149</v>
      </c>
      <c r="F297" s="174">
        <f>Solidarité!I291</f>
        <v>-136601.50315265558</v>
      </c>
      <c r="G297" s="8">
        <f>DT!O291</f>
        <v>-40177.776125831544</v>
      </c>
      <c r="H297" s="174">
        <f>Effort!K291+Aide!I291+Taux!J291</f>
        <v>0</v>
      </c>
      <c r="I297" s="240">
        <f t="shared" si="13"/>
        <v>-203273.99758834625</v>
      </c>
      <c r="J297" s="300">
        <f t="shared" si="14"/>
        <v>87415.575877418203</v>
      </c>
      <c r="K297" s="406">
        <f t="shared" si="15"/>
        <v>-115858.42171092804</v>
      </c>
    </row>
    <row r="298" spans="1:11" x14ac:dyDescent="0.25">
      <c r="A298" s="38">
        <f>Données!A292</f>
        <v>5924</v>
      </c>
      <c r="B298" s="27" t="str">
        <f>Données!B292</f>
        <v>Orges</v>
      </c>
      <c r="C298" s="26">
        <f>Ecrêtage!C292</f>
        <v>11637.444864864863</v>
      </c>
      <c r="D298" s="12">
        <f>Données!Z292</f>
        <v>407</v>
      </c>
      <c r="E298" s="8">
        <f>Population!K295</f>
        <v>-53382.922535211255</v>
      </c>
      <c r="F298" s="174">
        <f>Solidarité!I292</f>
        <v>-171756.66277089139</v>
      </c>
      <c r="G298" s="8">
        <f>DT!O292</f>
        <v>-33327.790800586823</v>
      </c>
      <c r="H298" s="174">
        <f>Effort!K292+Aide!I292+Taux!J292</f>
        <v>0</v>
      </c>
      <c r="I298" s="240">
        <f t="shared" si="13"/>
        <v>-258467.37610668945</v>
      </c>
      <c r="J298" s="300">
        <f t="shared" si="14"/>
        <v>228135.40731366992</v>
      </c>
      <c r="K298" s="406">
        <f t="shared" si="15"/>
        <v>-30331.968793019536</v>
      </c>
    </row>
    <row r="299" spans="1:11" x14ac:dyDescent="0.25">
      <c r="A299" s="38">
        <f>Données!A293</f>
        <v>5925</v>
      </c>
      <c r="B299" s="27" t="str">
        <f>Données!B293</f>
        <v>Orzens</v>
      </c>
      <c r="C299" s="26">
        <f>Ecrêtage!C293</f>
        <v>5255.7039240506319</v>
      </c>
      <c r="D299" s="12">
        <f>Données!Z293</f>
        <v>212</v>
      </c>
      <c r="E299" s="8">
        <f>Population!K296</f>
        <v>-27806.338028169008</v>
      </c>
      <c r="F299" s="174">
        <f>Solidarité!I293</f>
        <v>-122034.62146894108</v>
      </c>
      <c r="G299" s="8">
        <f>DT!O293</f>
        <v>-51552.015942414488</v>
      </c>
      <c r="H299" s="174">
        <f>Effort!K293+Aide!I293+Taux!J293</f>
        <v>0</v>
      </c>
      <c r="I299" s="240">
        <f t="shared" si="13"/>
        <v>-201392.9754395246</v>
      </c>
      <c r="J299" s="300">
        <f t="shared" si="14"/>
        <v>103030.53370876421</v>
      </c>
      <c r="K299" s="406">
        <f t="shared" si="15"/>
        <v>-98362.441730760387</v>
      </c>
    </row>
    <row r="300" spans="1:11" x14ac:dyDescent="0.25">
      <c r="A300" s="38">
        <f>Données!A294</f>
        <v>5926</v>
      </c>
      <c r="B300" s="27" t="str">
        <f>Données!B294</f>
        <v>Pomy</v>
      </c>
      <c r="C300" s="26">
        <f>Ecrêtage!C294</f>
        <v>26782.091549295772</v>
      </c>
      <c r="D300" s="12">
        <f>Données!Z294</f>
        <v>868</v>
      </c>
      <c r="E300" s="8">
        <f>Population!K297</f>
        <v>-113848.59154929576</v>
      </c>
      <c r="F300" s="174">
        <f>Solidarité!I294</f>
        <v>-297719.83673067455</v>
      </c>
      <c r="G300" s="8">
        <f>DT!O294</f>
        <v>-53496.753388558114</v>
      </c>
      <c r="H300" s="174">
        <f>Effort!K294+Aide!I294+Taux!J294</f>
        <v>0</v>
      </c>
      <c r="I300" s="240">
        <f t="shared" si="13"/>
        <v>-465065.18166852841</v>
      </c>
      <c r="J300" s="300">
        <f t="shared" si="14"/>
        <v>525024.47360738053</v>
      </c>
      <c r="K300" s="406">
        <f t="shared" si="15"/>
        <v>59959.291938852111</v>
      </c>
    </row>
    <row r="301" spans="1:11" x14ac:dyDescent="0.25">
      <c r="A301" s="38">
        <f>Données!A295</f>
        <v>5928</v>
      </c>
      <c r="B301" s="27" t="str">
        <f>Données!B295</f>
        <v>Rovray</v>
      </c>
      <c r="C301" s="26">
        <f>Ecrêtage!C295</f>
        <v>5095.4959440559442</v>
      </c>
      <c r="D301" s="12">
        <f>Données!Z295</f>
        <v>197</v>
      </c>
      <c r="E301" s="8">
        <f>Population!K298</f>
        <v>-25838.908450704221</v>
      </c>
      <c r="F301" s="174">
        <f>Solidarité!I295</f>
        <v>-88573.419099457096</v>
      </c>
      <c r="G301" s="8">
        <f>DT!O295</f>
        <v>-5629.7184282134249</v>
      </c>
      <c r="H301" s="174">
        <f>Effort!K295+Aide!I295+Taux!J295</f>
        <v>0</v>
      </c>
      <c r="I301" s="240">
        <f t="shared" si="13"/>
        <v>-120042.04597837474</v>
      </c>
      <c r="J301" s="300">
        <f t="shared" si="14"/>
        <v>99889.886152930412</v>
      </c>
      <c r="K301" s="406">
        <f t="shared" si="15"/>
        <v>-20152.159825444323</v>
      </c>
    </row>
    <row r="302" spans="1:11" x14ac:dyDescent="0.25">
      <c r="A302" s="38">
        <f>Données!A296</f>
        <v>5929</v>
      </c>
      <c r="B302" s="27" t="str">
        <f>Données!B296</f>
        <v>Suchy</v>
      </c>
      <c r="C302" s="26">
        <f>Ecrêtage!C296</f>
        <v>21602.649857142853</v>
      </c>
      <c r="D302" s="12">
        <f>Données!Z296</f>
        <v>671</v>
      </c>
      <c r="E302" s="8">
        <f>Population!K299</f>
        <v>-88009.683098591529</v>
      </c>
      <c r="F302" s="174">
        <f>Solidarité!I296</f>
        <v>-206137.50232949504</v>
      </c>
      <c r="G302" s="8">
        <f>DT!O296</f>
        <v>-11988.224317052871</v>
      </c>
      <c r="H302" s="174">
        <f>Effort!K296+Aide!I296+Taux!J296</f>
        <v>0</v>
      </c>
      <c r="I302" s="240">
        <f t="shared" si="13"/>
        <v>-306135.40974513942</v>
      </c>
      <c r="J302" s="300">
        <f t="shared" si="14"/>
        <v>423488.95152175718</v>
      </c>
      <c r="K302" s="406">
        <f t="shared" si="15"/>
        <v>117353.54177661776</v>
      </c>
    </row>
    <row r="303" spans="1:11" x14ac:dyDescent="0.25">
      <c r="A303" s="38">
        <f>Données!A297</f>
        <v>5930</v>
      </c>
      <c r="B303" s="27" t="str">
        <f>Données!B297</f>
        <v>Suscévaz</v>
      </c>
      <c r="C303" s="26">
        <f>Ecrêtage!C297</f>
        <v>5749.1573611111107</v>
      </c>
      <c r="D303" s="12">
        <f>Données!Z297</f>
        <v>220</v>
      </c>
      <c r="E303" s="8">
        <f>Population!K300</f>
        <v>-28855.633802816898</v>
      </c>
      <c r="F303" s="174">
        <f>Solidarité!I297</f>
        <v>-99087.500496645007</v>
      </c>
      <c r="G303" s="8">
        <f>DT!O297</f>
        <v>-37142.975842541731</v>
      </c>
      <c r="H303" s="174">
        <f>Effort!K297+Aide!I297+Taux!J297</f>
        <v>0</v>
      </c>
      <c r="I303" s="240">
        <f t="shared" si="13"/>
        <v>-165086.11014200363</v>
      </c>
      <c r="J303" s="300">
        <f t="shared" si="14"/>
        <v>112703.98025664008</v>
      </c>
      <c r="K303" s="406">
        <f t="shared" si="15"/>
        <v>-52382.129885363553</v>
      </c>
    </row>
    <row r="304" spans="1:11" x14ac:dyDescent="0.25">
      <c r="A304" s="38">
        <f>Données!A298</f>
        <v>5931</v>
      </c>
      <c r="B304" s="27" t="str">
        <f>Données!B298</f>
        <v>Treycovagnes</v>
      </c>
      <c r="C304" s="26">
        <f>Ecrêtage!C298</f>
        <v>16306.589199999997</v>
      </c>
      <c r="D304" s="12">
        <f>Données!Z298</f>
        <v>520</v>
      </c>
      <c r="E304" s="8">
        <f>Population!K301</f>
        <v>-68204.225352112669</v>
      </c>
      <c r="F304" s="174">
        <f>Solidarité!I298</f>
        <v>-193139.94505094405</v>
      </c>
      <c r="G304" s="8">
        <f>DT!O298</f>
        <v>-51667.948545726875</v>
      </c>
      <c r="H304" s="174">
        <f>Effort!K298+Aide!I298+Taux!J298</f>
        <v>0</v>
      </c>
      <c r="I304" s="240">
        <f t="shared" si="13"/>
        <v>-313012.11894878361</v>
      </c>
      <c r="J304" s="300">
        <f t="shared" si="14"/>
        <v>319667.28197099728</v>
      </c>
      <c r="K304" s="406">
        <f t="shared" si="15"/>
        <v>6655.1630222136737</v>
      </c>
    </row>
    <row r="305" spans="1:11" x14ac:dyDescent="0.25">
      <c r="A305" s="38">
        <f>Données!A299</f>
        <v>5932</v>
      </c>
      <c r="B305" s="27" t="str">
        <f>Données!B299</f>
        <v>Ursins</v>
      </c>
      <c r="C305" s="26">
        <f>Ecrêtage!C299</f>
        <v>7945.6270666666669</v>
      </c>
      <c r="D305" s="12">
        <f>Données!Z299</f>
        <v>230</v>
      </c>
      <c r="E305" s="8">
        <f>Population!K302</f>
        <v>-30167.253521126753</v>
      </c>
      <c r="F305" s="174">
        <f>Solidarité!I299</f>
        <v>-68974.919079438376</v>
      </c>
      <c r="G305" s="8">
        <f>DT!O299</f>
        <v>-8166.5750872517219</v>
      </c>
      <c r="H305" s="174">
        <f>Effort!K299+Aide!I299+Taux!J299</f>
        <v>0</v>
      </c>
      <c r="I305" s="240">
        <f t="shared" si="13"/>
        <v>-107308.74768781685</v>
      </c>
      <c r="J305" s="300">
        <f t="shared" si="14"/>
        <v>155762.61698899741</v>
      </c>
      <c r="K305" s="406">
        <f t="shared" si="15"/>
        <v>48453.869301180559</v>
      </c>
    </row>
    <row r="306" spans="1:11" x14ac:dyDescent="0.25">
      <c r="A306" s="38">
        <f>Données!A300</f>
        <v>5933</v>
      </c>
      <c r="B306" s="27" t="str">
        <f>Données!B300</f>
        <v>Valeyres-sous-Montagny</v>
      </c>
      <c r="C306" s="26">
        <f>Ecrêtage!C300</f>
        <v>23478.000425531918</v>
      </c>
      <c r="D306" s="12">
        <f>Données!Z300</f>
        <v>703</v>
      </c>
      <c r="E306" s="8">
        <f>Population!K303</f>
        <v>-92206.866197183088</v>
      </c>
      <c r="F306" s="174">
        <f>Solidarité!I300</f>
        <v>-202305.76489567061</v>
      </c>
      <c r="G306" s="8">
        <f>DT!O300</f>
        <v>-337205.79551512341</v>
      </c>
      <c r="H306" s="174">
        <f>Effort!K300+Aide!I300+Taux!J300</f>
        <v>0</v>
      </c>
      <c r="I306" s="240">
        <f t="shared" si="13"/>
        <v>-631718.42660797713</v>
      </c>
      <c r="J306" s="300">
        <f t="shared" si="14"/>
        <v>460252.50836292037</v>
      </c>
      <c r="K306" s="406">
        <f t="shared" si="15"/>
        <v>-171465.91824505676</v>
      </c>
    </row>
    <row r="307" spans="1:11" x14ac:dyDescent="0.25">
      <c r="A307" s="38">
        <f>Données!A301</f>
        <v>5934</v>
      </c>
      <c r="B307" s="27" t="str">
        <f>Données!B301</f>
        <v>Valeyres-sous-Ursins</v>
      </c>
      <c r="C307" s="26">
        <f>Ecrêtage!C301</f>
        <v>6917.5551948051934</v>
      </c>
      <c r="D307" s="12">
        <f>Données!Z301</f>
        <v>241</v>
      </c>
      <c r="E307" s="8">
        <f>Population!K304</f>
        <v>-31610.035211267601</v>
      </c>
      <c r="F307" s="174">
        <f>Solidarité!I301</f>
        <v>-109488.05583110229</v>
      </c>
      <c r="G307" s="8">
        <f>DT!O301</f>
        <v>-4154.9965571893254</v>
      </c>
      <c r="H307" s="174">
        <f>Effort!K301+Aide!I301+Taux!J301</f>
        <v>0</v>
      </c>
      <c r="I307" s="240">
        <f t="shared" si="13"/>
        <v>-145253.08759955922</v>
      </c>
      <c r="J307" s="300">
        <f t="shared" si="14"/>
        <v>135608.74318264725</v>
      </c>
      <c r="K307" s="406">
        <f t="shared" si="15"/>
        <v>-9644.3444169119757</v>
      </c>
    </row>
    <row r="308" spans="1:11" x14ac:dyDescent="0.25">
      <c r="A308" s="38">
        <f>Données!A302</f>
        <v>5935</v>
      </c>
      <c r="B308" s="27" t="str">
        <f>Données!B302</f>
        <v>Villars-Epeney</v>
      </c>
      <c r="C308" s="26">
        <f>Ecrêtage!C302</f>
        <v>6724.3836764705884</v>
      </c>
      <c r="D308" s="12">
        <f>Données!Z302</f>
        <v>92</v>
      </c>
      <c r="E308" s="8">
        <f>Population!K305</f>
        <v>-12066.901408450702</v>
      </c>
      <c r="F308" s="174">
        <f>Solidarité!I302</f>
        <v>0</v>
      </c>
      <c r="G308" s="8">
        <f>DT!O302</f>
        <v>-3271.5968229332966</v>
      </c>
      <c r="H308" s="174">
        <f>Effort!K302+Aide!I302+Taux!J302</f>
        <v>0</v>
      </c>
      <c r="I308" s="240">
        <f t="shared" si="13"/>
        <v>-15338.498231383997</v>
      </c>
      <c r="J308" s="300">
        <f t="shared" si="14"/>
        <v>131821.8927590017</v>
      </c>
      <c r="K308" s="406">
        <f t="shared" si="15"/>
        <v>116483.3945276177</v>
      </c>
    </row>
    <row r="309" spans="1:11" x14ac:dyDescent="0.25">
      <c r="A309" s="38">
        <f>Données!A303</f>
        <v>5937</v>
      </c>
      <c r="B309" s="27" t="str">
        <f>Données!B303</f>
        <v>Vugelles-La Mothe</v>
      </c>
      <c r="C309" s="26">
        <f>Ecrêtage!C303</f>
        <v>3343.8780000000002</v>
      </c>
      <c r="D309" s="12">
        <f>Données!Z303</f>
        <v>137</v>
      </c>
      <c r="E309" s="8">
        <f>Population!K306</f>
        <v>-17969.190140845069</v>
      </c>
      <c r="F309" s="174">
        <f>Solidarité!I303</f>
        <v>-62943.260563753654</v>
      </c>
      <c r="G309" s="8">
        <f>DT!O303</f>
        <v>-23080.553016787053</v>
      </c>
      <c r="H309" s="174">
        <f>Effort!K303+Aide!I303+Taux!J303</f>
        <v>0</v>
      </c>
      <c r="I309" s="240">
        <f t="shared" si="13"/>
        <v>-103993.00372138579</v>
      </c>
      <c r="J309" s="300">
        <f t="shared" si="14"/>
        <v>65551.929860513977</v>
      </c>
      <c r="K309" s="406">
        <f t="shared" si="15"/>
        <v>-38441.073860871809</v>
      </c>
    </row>
    <row r="310" spans="1:11" x14ac:dyDescent="0.25">
      <c r="A310" s="38">
        <f>Données!A304</f>
        <v>5938</v>
      </c>
      <c r="B310" s="27" t="str">
        <f>Données!B304</f>
        <v>Yverdon-les-Bains</v>
      </c>
      <c r="C310" s="26">
        <f>Ecrêtage!C304</f>
        <v>780545.69493333355</v>
      </c>
      <c r="D310" s="12">
        <f>Données!Z304</f>
        <v>29877</v>
      </c>
      <c r="E310" s="8">
        <f>Population!K307</f>
        <v>-26647758.098591544</v>
      </c>
      <c r="F310" s="174">
        <f>Solidarité!I304</f>
        <v>-14606120.440971285</v>
      </c>
      <c r="G310" s="8">
        <f>DT!O304</f>
        <v>-10071162.044450991</v>
      </c>
      <c r="H310" s="174">
        <f>Effort!K304+Aide!I304+Taux!J304</f>
        <v>4126980.8857895201</v>
      </c>
      <c r="I310" s="240">
        <f t="shared" si="13"/>
        <v>-47198059.698224299</v>
      </c>
      <c r="J310" s="300">
        <f t="shared" si="14"/>
        <v>15301478.297711823</v>
      </c>
      <c r="K310" s="406">
        <f t="shared" si="15"/>
        <v>-31896581.400512476</v>
      </c>
    </row>
    <row r="311" spans="1:11" x14ac:dyDescent="0.25">
      <c r="A311" s="38">
        <f>Données!A305</f>
        <v>5939</v>
      </c>
      <c r="B311" s="27" t="str">
        <f>Données!B305</f>
        <v>Yvonand</v>
      </c>
      <c r="C311" s="26">
        <f>Ecrêtage!C305</f>
        <v>97389.711048951052</v>
      </c>
      <c r="D311" s="12">
        <f>Données!Z305</f>
        <v>3531</v>
      </c>
      <c r="E311" s="163">
        <f>Population!K308</f>
        <v>-1144257.0422535208</v>
      </c>
      <c r="F311" s="174">
        <f>Solidarité!I305</f>
        <v>-1463999.570325528</v>
      </c>
      <c r="G311" s="163">
        <f>DT!O305</f>
        <v>-550021.65069793561</v>
      </c>
      <c r="H311" s="174">
        <f>Effort!K305+Aide!I305+Taux!J305</f>
        <v>0</v>
      </c>
      <c r="I311" s="256">
        <f t="shared" si="13"/>
        <v>-3158278.263276984</v>
      </c>
      <c r="J311" s="300">
        <f t="shared" si="14"/>
        <v>1909185.5348241059</v>
      </c>
      <c r="K311" s="407">
        <f t="shared" si="15"/>
        <v>-1249092.7284528781</v>
      </c>
    </row>
    <row r="312" spans="1:11" x14ac:dyDescent="0.25">
      <c r="A312" s="25"/>
      <c r="B312" s="73">
        <f>COUNTA(B12:B311)</f>
        <v>300</v>
      </c>
      <c r="C312" s="74">
        <f t="shared" ref="C312:H312" si="16">SUM(C12:C311)</f>
        <v>39802348.273186527</v>
      </c>
      <c r="D312" s="9">
        <f t="shared" si="16"/>
        <v>830791</v>
      </c>
      <c r="E312" s="163">
        <f t="shared" si="16"/>
        <v>-467893734.85915476</v>
      </c>
      <c r="F312" s="9">
        <f t="shared" si="16"/>
        <v>-135877868.72343656</v>
      </c>
      <c r="G312" s="163">
        <f t="shared" si="16"/>
        <v>-179110567.22933933</v>
      </c>
      <c r="H312" s="9">
        <f t="shared" si="16"/>
        <v>3064247.673684346</v>
      </c>
      <c r="I312" s="241">
        <f t="shared" ref="I312" si="17">SUM(E312:H312)</f>
        <v>-779817923.1382463</v>
      </c>
      <c r="J312" s="241">
        <f t="shared" ref="J312" si="18">C312*$J$11</f>
        <v>780267923.13824618</v>
      </c>
      <c r="K312" s="408">
        <f t="shared" ref="K312" si="19">I312+J312</f>
        <v>449999.99999988079</v>
      </c>
    </row>
    <row r="313" spans="1:11" x14ac:dyDescent="0.25">
      <c r="C313" s="52"/>
      <c r="D313" s="52"/>
      <c r="E313" s="29"/>
      <c r="I313" s="29"/>
      <c r="J313" s="164"/>
    </row>
    <row r="314" spans="1:11" x14ac:dyDescent="0.25">
      <c r="C314" s="142"/>
      <c r="D314" s="4"/>
      <c r="E314" s="5"/>
      <c r="F314" s="5"/>
      <c r="G314" s="5"/>
      <c r="H314" s="5"/>
      <c r="I314" s="5"/>
      <c r="J314" s="5"/>
    </row>
    <row r="315" spans="1:11" x14ac:dyDescent="0.25">
      <c r="C315" s="175"/>
      <c r="G315" s="10"/>
      <c r="H315" s="10"/>
    </row>
    <row r="316" spans="1:11" x14ac:dyDescent="0.25">
      <c r="C316" s="157"/>
    </row>
    <row r="317" spans="1:11" x14ac:dyDescent="0.25">
      <c r="F317" s="10"/>
    </row>
    <row r="318" spans="1:11" x14ac:dyDescent="0.25">
      <c r="F318" s="10"/>
    </row>
    <row r="320" spans="1:11" x14ac:dyDescent="0.25">
      <c r="F320" s="70"/>
      <c r="G320" s="70"/>
      <c r="H320" s="70"/>
      <c r="I320" s="70"/>
      <c r="J320" s="70"/>
    </row>
    <row r="321" spans="3:10" x14ac:dyDescent="0.25">
      <c r="E321" s="70"/>
      <c r="F321" s="70"/>
      <c r="G321" s="70"/>
      <c r="H321" s="70"/>
      <c r="I321" s="70"/>
      <c r="J321" s="70"/>
    </row>
    <row r="322" spans="3:10" x14ac:dyDescent="0.25">
      <c r="E322" s="72"/>
      <c r="F322" s="72"/>
      <c r="G322" s="72"/>
      <c r="H322" s="72"/>
      <c r="I322" s="72"/>
      <c r="J322" s="72"/>
    </row>
    <row r="329" spans="3:10" x14ac:dyDescent="0.25">
      <c r="C329" s="37"/>
    </row>
    <row r="330" spans="3:10" x14ac:dyDescent="0.25">
      <c r="C330" s="37"/>
    </row>
    <row r="331" spans="3:10" x14ac:dyDescent="0.25">
      <c r="C331" s="37"/>
    </row>
  </sheetData>
  <sheetProtection sheet="1" objects="1" scenarios="1"/>
  <mergeCells count="8">
    <mergeCell ref="K10:K11"/>
    <mergeCell ref="A5:B5"/>
    <mergeCell ref="A6:B6"/>
    <mergeCell ref="A7:B7"/>
    <mergeCell ref="D10:D11"/>
    <mergeCell ref="C10:C11"/>
    <mergeCell ref="B10:B11"/>
    <mergeCell ref="A10:A11"/>
  </mergeCells>
  <phoneticPr fontId="21" type="noConversion"/>
  <hyperlinks>
    <hyperlink ref="C1" location="Ecrêtage!A1" display="← Précédent" xr:uid="{617DF37A-F812-48AD-A070-5ECCEB5FCAF3}"/>
    <hyperlink ref="E1" location="Population!A1" display="Suivant →" xr:uid="{88AC5A9E-3CD9-4E67-A12C-D58A70624CB5}"/>
    <hyperlink ref="D1" location="'Table des matières'!A1" display="Table des             matières" xr:uid="{0CC4E5F6-F04B-4697-A166-7DC7DA60803C}"/>
  </hyperlinks>
  <pageMargins left="0.25" right="0.25" top="0.75" bottom="0.75" header="0.3" footer="0.3"/>
  <pageSetup paperSize="9" orientation="landscape" horizontalDpi="4294967292" vertic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6" tint="0.39997558519241921"/>
  </sheetPr>
  <dimension ref="A1:L320"/>
  <sheetViews>
    <sheetView workbookViewId="0">
      <pane ySplit="8" topLeftCell="A32" activePane="bottomLeft" state="frozen"/>
      <selection pane="bottomLeft" activeCell="D51" sqref="D51"/>
    </sheetView>
  </sheetViews>
  <sheetFormatPr baseColWidth="10" defaultColWidth="11" defaultRowHeight="15" x14ac:dyDescent="0.25"/>
  <cols>
    <col min="1" max="1" width="7.25" style="11" customWidth="1"/>
    <col min="2" max="2" width="20.25" style="11" bestFit="1" customWidth="1"/>
    <col min="3" max="3" width="10.375" style="11" customWidth="1"/>
    <col min="4" max="10" width="10" style="11" customWidth="1"/>
    <col min="11" max="11" width="13" style="11" customWidth="1"/>
    <col min="12" max="12" width="3.625" style="11" customWidth="1"/>
    <col min="13" max="16384" width="11" style="11"/>
  </cols>
  <sheetData>
    <row r="1" spans="1:12" s="209" customFormat="1" ht="26.25" x14ac:dyDescent="0.4">
      <c r="A1" s="207" t="s">
        <v>570</v>
      </c>
      <c r="B1" s="208"/>
      <c r="C1" s="211"/>
      <c r="G1" s="314" t="s">
        <v>403</v>
      </c>
      <c r="H1" s="230" t="s">
        <v>395</v>
      </c>
      <c r="I1" s="389" t="s">
        <v>404</v>
      </c>
    </row>
    <row r="2" spans="1:12" s="158" customFormat="1" ht="15.75" customHeight="1" x14ac:dyDescent="0.25">
      <c r="A2" s="278" t="str">
        <f>Paramètres!B4</f>
        <v>Acomptes 2024</v>
      </c>
      <c r="B2" s="32"/>
      <c r="C2" s="160"/>
      <c r="L2" s="297"/>
    </row>
    <row r="3" spans="1:12" x14ac:dyDescent="0.25">
      <c r="A3" s="22"/>
      <c r="B3" s="40"/>
      <c r="L3" s="297"/>
    </row>
    <row r="4" spans="1:12" ht="18.75" customHeight="1" x14ac:dyDescent="0.25">
      <c r="A4" s="22"/>
      <c r="B4" s="40"/>
      <c r="C4" s="704" t="s">
        <v>260</v>
      </c>
      <c r="D4" s="705"/>
      <c r="E4" s="705"/>
      <c r="F4" s="705"/>
      <c r="G4" s="705"/>
      <c r="H4" s="705"/>
      <c r="I4" s="705"/>
      <c r="J4" s="706"/>
      <c r="L4" s="297"/>
    </row>
    <row r="5" spans="1:12" x14ac:dyDescent="0.25">
      <c r="C5" s="77" t="s">
        <v>259</v>
      </c>
      <c r="D5" s="65">
        <f>Paramètres!B28</f>
        <v>0</v>
      </c>
      <c r="E5" s="65">
        <f>Paramètres!C28</f>
        <v>1000</v>
      </c>
      <c r="F5" s="65">
        <f>Paramètres!D28</f>
        <v>3000</v>
      </c>
      <c r="G5" s="65">
        <f>Paramètres!E28</f>
        <v>5000</v>
      </c>
      <c r="H5" s="65">
        <f>Paramètres!F28</f>
        <v>9000</v>
      </c>
      <c r="I5" s="65">
        <f>Paramètres!G28</f>
        <v>12000</v>
      </c>
      <c r="J5" s="65">
        <f>Paramètres!H28</f>
        <v>15000</v>
      </c>
      <c r="L5" s="297"/>
    </row>
    <row r="6" spans="1:12" x14ac:dyDescent="0.25">
      <c r="C6" s="68" t="s">
        <v>261</v>
      </c>
      <c r="D6" s="65">
        <f>Paramètres!B29</f>
        <v>1000</v>
      </c>
      <c r="E6" s="65">
        <f>Paramètres!C29</f>
        <v>3000</v>
      </c>
      <c r="F6" s="65">
        <f>Paramètres!D29</f>
        <v>5000</v>
      </c>
      <c r="G6" s="65">
        <f>Paramètres!E29</f>
        <v>9000</v>
      </c>
      <c r="H6" s="65">
        <f>Paramètres!F29</f>
        <v>12000</v>
      </c>
      <c r="I6" s="65">
        <f>Paramètres!G29</f>
        <v>15000</v>
      </c>
      <c r="J6" s="65"/>
    </row>
    <row r="7" spans="1:12" ht="30" customHeight="1" x14ac:dyDescent="0.25">
      <c r="A7" s="701" t="s">
        <v>44</v>
      </c>
      <c r="B7" s="701" t="s">
        <v>84</v>
      </c>
      <c r="C7" s="701" t="s">
        <v>258</v>
      </c>
      <c r="D7" s="704" t="s">
        <v>262</v>
      </c>
      <c r="E7" s="705"/>
      <c r="F7" s="705"/>
      <c r="G7" s="705"/>
      <c r="H7" s="705"/>
      <c r="I7" s="705"/>
      <c r="J7" s="706"/>
      <c r="K7" s="701" t="s">
        <v>497</v>
      </c>
    </row>
    <row r="8" spans="1:12" x14ac:dyDescent="0.25">
      <c r="A8" s="702"/>
      <c r="B8" s="703"/>
      <c r="C8" s="703"/>
      <c r="D8" s="123">
        <f>Paramètres!B33</f>
        <v>131.16197183098589</v>
      </c>
      <c r="E8" s="123">
        <f>Paramètres!C33</f>
        <v>367.25352112676052</v>
      </c>
      <c r="F8" s="123">
        <f>Paramètres!D33</f>
        <v>524.64788732394356</v>
      </c>
      <c r="G8" s="123">
        <f>Paramètres!E33</f>
        <v>629.5774647887323</v>
      </c>
      <c r="H8" s="123">
        <f>Paramètres!F33</f>
        <v>891.90140845070414</v>
      </c>
      <c r="I8" s="123">
        <f>Paramètres!G33</f>
        <v>1049.2957746478871</v>
      </c>
      <c r="J8" s="123">
        <f>Paramètres!H33</f>
        <v>1101.7605633802816</v>
      </c>
      <c r="K8" s="703"/>
    </row>
    <row r="9" spans="1:12" x14ac:dyDescent="0.25">
      <c r="A9" s="36">
        <f>Données!A6</f>
        <v>5401</v>
      </c>
      <c r="B9" s="131" t="str">
        <f>Données!B6</f>
        <v>Aigle</v>
      </c>
      <c r="C9" s="41">
        <f>Données!Z6</f>
        <v>10937</v>
      </c>
      <c r="D9" s="8">
        <f>IF($C9&gt;D$5,IF($C9&lt;D$6,$C9-D$5,D$6-D$5),0)</f>
        <v>1000</v>
      </c>
      <c r="E9" s="12">
        <f t="shared" ref="E9:I24" si="0">IF($C9&gt;E$5,IF($C9&lt;E$6,$C9-E$5,E$6-E$5),0)</f>
        <v>2000</v>
      </c>
      <c r="F9" s="8">
        <f t="shared" si="0"/>
        <v>2000</v>
      </c>
      <c r="G9" s="12">
        <f t="shared" si="0"/>
        <v>4000</v>
      </c>
      <c r="H9" s="31">
        <f t="shared" si="0"/>
        <v>1937</v>
      </c>
      <c r="I9" s="8">
        <f t="shared" si="0"/>
        <v>0</v>
      </c>
      <c r="J9" s="8">
        <f>IF(C9&gt;$J$5,C9-$J$5,0)</f>
        <v>0</v>
      </c>
      <c r="K9" s="71">
        <f>-((D9*D$8)+(E9*E$8)+(F9*F$8)+(G9*G$8)+(H9*H$8)+(I9*I$8)+(J9*J$8))</f>
        <v>-6160887.6760563366</v>
      </c>
    </row>
    <row r="10" spans="1:12" x14ac:dyDescent="0.25">
      <c r="A10" s="38">
        <f>Données!A7</f>
        <v>5402</v>
      </c>
      <c r="B10" s="131" t="str">
        <f>Données!B7</f>
        <v>Bex</v>
      </c>
      <c r="C10" s="8">
        <f>Données!Z7</f>
        <v>8151</v>
      </c>
      <c r="D10" s="8">
        <f t="shared" ref="D10:I64" si="1">IF($C10&gt;D$5,IF($C10&lt;D$6,$C10-D$5,D$6-D$5),0)</f>
        <v>1000</v>
      </c>
      <c r="E10" s="162">
        <f t="shared" si="0"/>
        <v>2000</v>
      </c>
      <c r="F10" s="8">
        <f t="shared" si="0"/>
        <v>2000</v>
      </c>
      <c r="G10" s="162">
        <f t="shared" si="0"/>
        <v>3151</v>
      </c>
      <c r="H10" s="31">
        <f t="shared" si="0"/>
        <v>0</v>
      </c>
      <c r="I10" s="8">
        <f t="shared" si="0"/>
        <v>0</v>
      </c>
      <c r="J10" s="8">
        <f t="shared" ref="J10:J73" si="2">IF(C10&gt;$J$5,C10-$J$5,0)</f>
        <v>0</v>
      </c>
      <c r="K10" s="71">
        <f t="shared" ref="K10:K73" si="3">-((D10*D$8)+(E10*E$8)+(F10*F$8)+(G10*G$8)+(H10*H$8)+(I10*I$8)+(J10*J$8))</f>
        <v>-3898763.3802816896</v>
      </c>
    </row>
    <row r="11" spans="1:12" s="158" customFormat="1" x14ac:dyDescent="0.25">
      <c r="A11" s="38">
        <f>Données!A8</f>
        <v>5403</v>
      </c>
      <c r="B11" s="131" t="str">
        <f>Données!B8</f>
        <v>Chessel</v>
      </c>
      <c r="C11" s="8">
        <f>Données!Z8</f>
        <v>528</v>
      </c>
      <c r="D11" s="8">
        <f t="shared" si="1"/>
        <v>528</v>
      </c>
      <c r="E11" s="174">
        <f t="shared" si="0"/>
        <v>0</v>
      </c>
      <c r="F11" s="8">
        <f t="shared" si="0"/>
        <v>0</v>
      </c>
      <c r="G11" s="174">
        <f t="shared" si="0"/>
        <v>0</v>
      </c>
      <c r="H11" s="31">
        <f t="shared" si="0"/>
        <v>0</v>
      </c>
      <c r="I11" s="8">
        <f t="shared" si="0"/>
        <v>0</v>
      </c>
      <c r="J11" s="8">
        <f t="shared" si="2"/>
        <v>0</v>
      </c>
      <c r="K11" s="71">
        <f t="shared" si="3"/>
        <v>-69253.521126760548</v>
      </c>
    </row>
    <row r="12" spans="1:12" s="158" customFormat="1" x14ac:dyDescent="0.25">
      <c r="A12" s="38">
        <f>Données!A9</f>
        <v>5404</v>
      </c>
      <c r="B12" s="131" t="str">
        <f>Données!B9</f>
        <v>Corbeyrier</v>
      </c>
      <c r="C12" s="8">
        <f>Données!Z9</f>
        <v>440</v>
      </c>
      <c r="D12" s="8">
        <f t="shared" si="1"/>
        <v>440</v>
      </c>
      <c r="E12" s="174">
        <f t="shared" si="0"/>
        <v>0</v>
      </c>
      <c r="F12" s="8">
        <f t="shared" si="0"/>
        <v>0</v>
      </c>
      <c r="G12" s="174">
        <f t="shared" si="0"/>
        <v>0</v>
      </c>
      <c r="H12" s="31">
        <f t="shared" si="0"/>
        <v>0</v>
      </c>
      <c r="I12" s="8">
        <f t="shared" si="0"/>
        <v>0</v>
      </c>
      <c r="J12" s="8">
        <f t="shared" si="2"/>
        <v>0</v>
      </c>
      <c r="K12" s="71">
        <f t="shared" si="3"/>
        <v>-57711.267605633795</v>
      </c>
    </row>
    <row r="13" spans="1:12" s="158" customFormat="1" x14ac:dyDescent="0.25">
      <c r="A13" s="38">
        <f>Données!A10</f>
        <v>5405</v>
      </c>
      <c r="B13" s="131" t="str">
        <f>Données!B10</f>
        <v>Gryon</v>
      </c>
      <c r="C13" s="8">
        <f>Données!Z10</f>
        <v>1389</v>
      </c>
      <c r="D13" s="8">
        <f t="shared" si="1"/>
        <v>1000</v>
      </c>
      <c r="E13" s="174">
        <f t="shared" si="0"/>
        <v>389</v>
      </c>
      <c r="F13" s="8">
        <f t="shared" si="0"/>
        <v>0</v>
      </c>
      <c r="G13" s="174">
        <f t="shared" si="0"/>
        <v>0</v>
      </c>
      <c r="H13" s="31">
        <f t="shared" si="0"/>
        <v>0</v>
      </c>
      <c r="I13" s="8">
        <f t="shared" si="0"/>
        <v>0</v>
      </c>
      <c r="J13" s="8">
        <f t="shared" si="2"/>
        <v>0</v>
      </c>
      <c r="K13" s="71">
        <f t="shared" si="3"/>
        <v>-274023.5915492957</v>
      </c>
    </row>
    <row r="14" spans="1:12" s="158" customFormat="1" x14ac:dyDescent="0.25">
      <c r="A14" s="38">
        <f>Données!A11</f>
        <v>5406</v>
      </c>
      <c r="B14" s="131" t="str">
        <f>Données!B11</f>
        <v>Lavey-Morcles</v>
      </c>
      <c r="C14" s="8">
        <f>Données!Z11</f>
        <v>979</v>
      </c>
      <c r="D14" s="8">
        <f t="shared" si="1"/>
        <v>979</v>
      </c>
      <c r="E14" s="174">
        <f t="shared" si="0"/>
        <v>0</v>
      </c>
      <c r="F14" s="8">
        <f t="shared" si="0"/>
        <v>0</v>
      </c>
      <c r="G14" s="174">
        <f t="shared" si="0"/>
        <v>0</v>
      </c>
      <c r="H14" s="31">
        <f t="shared" si="0"/>
        <v>0</v>
      </c>
      <c r="I14" s="8">
        <f t="shared" si="0"/>
        <v>0</v>
      </c>
      <c r="J14" s="8">
        <f t="shared" si="2"/>
        <v>0</v>
      </c>
      <c r="K14" s="71">
        <f t="shared" si="3"/>
        <v>-128407.57042253518</v>
      </c>
    </row>
    <row r="15" spans="1:12" s="158" customFormat="1" x14ac:dyDescent="0.25">
      <c r="A15" s="38">
        <f>Données!A12</f>
        <v>5407</v>
      </c>
      <c r="B15" s="131" t="str">
        <f>Données!B12</f>
        <v>Leysin</v>
      </c>
      <c r="C15" s="8">
        <f>Données!Z12</f>
        <v>3743</v>
      </c>
      <c r="D15" s="8">
        <f t="shared" si="1"/>
        <v>1000</v>
      </c>
      <c r="E15" s="174">
        <f t="shared" si="0"/>
        <v>2000</v>
      </c>
      <c r="F15" s="8">
        <f t="shared" si="0"/>
        <v>743</v>
      </c>
      <c r="G15" s="174">
        <f t="shared" si="0"/>
        <v>0</v>
      </c>
      <c r="H15" s="31">
        <f t="shared" si="0"/>
        <v>0</v>
      </c>
      <c r="I15" s="8">
        <f t="shared" si="0"/>
        <v>0</v>
      </c>
      <c r="J15" s="8">
        <f t="shared" si="2"/>
        <v>0</v>
      </c>
      <c r="K15" s="71">
        <f t="shared" si="3"/>
        <v>-1255482.3943661968</v>
      </c>
    </row>
    <row r="16" spans="1:12" s="158" customFormat="1" x14ac:dyDescent="0.25">
      <c r="A16" s="38">
        <f>Données!A13</f>
        <v>5408</v>
      </c>
      <c r="B16" s="131" t="str">
        <f>Données!B13</f>
        <v>Noville</v>
      </c>
      <c r="C16" s="8">
        <f>Données!Z13</f>
        <v>1169</v>
      </c>
      <c r="D16" s="8">
        <f t="shared" si="1"/>
        <v>1000</v>
      </c>
      <c r="E16" s="174">
        <f t="shared" si="0"/>
        <v>169</v>
      </c>
      <c r="F16" s="8">
        <f t="shared" si="0"/>
        <v>0</v>
      </c>
      <c r="G16" s="174">
        <f t="shared" si="0"/>
        <v>0</v>
      </c>
      <c r="H16" s="31">
        <f t="shared" si="0"/>
        <v>0</v>
      </c>
      <c r="I16" s="8">
        <f t="shared" si="0"/>
        <v>0</v>
      </c>
      <c r="J16" s="8">
        <f t="shared" si="2"/>
        <v>0</v>
      </c>
      <c r="K16" s="71">
        <f t="shared" si="3"/>
        <v>-193227.81690140843</v>
      </c>
    </row>
    <row r="17" spans="1:11" s="158" customFormat="1" x14ac:dyDescent="0.25">
      <c r="A17" s="38">
        <f>Données!A14</f>
        <v>5409</v>
      </c>
      <c r="B17" s="131" t="str">
        <f>Données!B14</f>
        <v>Ollon</v>
      </c>
      <c r="C17" s="8">
        <f>Données!Z14</f>
        <v>7967</v>
      </c>
      <c r="D17" s="8">
        <f t="shared" si="1"/>
        <v>1000</v>
      </c>
      <c r="E17" s="174">
        <f t="shared" si="0"/>
        <v>2000</v>
      </c>
      <c r="F17" s="8">
        <f t="shared" si="0"/>
        <v>2000</v>
      </c>
      <c r="G17" s="174">
        <f t="shared" si="0"/>
        <v>2967</v>
      </c>
      <c r="H17" s="31">
        <f t="shared" si="0"/>
        <v>0</v>
      </c>
      <c r="I17" s="8">
        <f t="shared" si="0"/>
        <v>0</v>
      </c>
      <c r="J17" s="8">
        <f t="shared" si="2"/>
        <v>0</v>
      </c>
      <c r="K17" s="71">
        <f t="shared" si="3"/>
        <v>-3782921.1267605629</v>
      </c>
    </row>
    <row r="18" spans="1:11" s="158" customFormat="1" x14ac:dyDescent="0.25">
      <c r="A18" s="38">
        <f>Données!A15</f>
        <v>5410</v>
      </c>
      <c r="B18" s="131" t="str">
        <f>Données!B15</f>
        <v>Ormont-Dessous</v>
      </c>
      <c r="C18" s="8">
        <f>Données!Z15</f>
        <v>1178</v>
      </c>
      <c r="D18" s="8">
        <f t="shared" si="1"/>
        <v>1000</v>
      </c>
      <c r="E18" s="174">
        <f t="shared" si="0"/>
        <v>178</v>
      </c>
      <c r="F18" s="8">
        <f t="shared" si="0"/>
        <v>0</v>
      </c>
      <c r="G18" s="174">
        <f t="shared" si="0"/>
        <v>0</v>
      </c>
      <c r="H18" s="31">
        <f t="shared" si="0"/>
        <v>0</v>
      </c>
      <c r="I18" s="8">
        <f t="shared" si="0"/>
        <v>0</v>
      </c>
      <c r="J18" s="8">
        <f t="shared" si="2"/>
        <v>0</v>
      </c>
      <c r="K18" s="71">
        <f t="shared" si="3"/>
        <v>-196533.09859154926</v>
      </c>
    </row>
    <row r="19" spans="1:11" x14ac:dyDescent="0.25">
      <c r="A19" s="38">
        <f>Données!A16</f>
        <v>5411</v>
      </c>
      <c r="B19" s="131" t="str">
        <f>Données!B16</f>
        <v>Ormont-Dessus</v>
      </c>
      <c r="C19" s="8">
        <f>Données!Z16</f>
        <v>1425</v>
      </c>
      <c r="D19" s="8">
        <f t="shared" si="1"/>
        <v>1000</v>
      </c>
      <c r="E19" s="162">
        <f t="shared" si="0"/>
        <v>425</v>
      </c>
      <c r="F19" s="8">
        <f t="shared" si="0"/>
        <v>0</v>
      </c>
      <c r="G19" s="162">
        <f t="shared" si="0"/>
        <v>0</v>
      </c>
      <c r="H19" s="31">
        <f t="shared" si="0"/>
        <v>0</v>
      </c>
      <c r="I19" s="8">
        <f t="shared" si="0"/>
        <v>0</v>
      </c>
      <c r="J19" s="8">
        <f t="shared" si="2"/>
        <v>0</v>
      </c>
      <c r="K19" s="71">
        <f t="shared" si="3"/>
        <v>-287244.7183098591</v>
      </c>
    </row>
    <row r="20" spans="1:11" x14ac:dyDescent="0.25">
      <c r="A20" s="38">
        <f>Données!A17</f>
        <v>5412</v>
      </c>
      <c r="B20" s="131" t="str">
        <f>Données!B17</f>
        <v>Rennaz</v>
      </c>
      <c r="C20" s="8">
        <f>Données!Z17</f>
        <v>929</v>
      </c>
      <c r="D20" s="8">
        <f t="shared" si="1"/>
        <v>929</v>
      </c>
      <c r="E20" s="162">
        <f t="shared" si="0"/>
        <v>0</v>
      </c>
      <c r="F20" s="8">
        <f t="shared" si="0"/>
        <v>0</v>
      </c>
      <c r="G20" s="162">
        <f t="shared" si="0"/>
        <v>0</v>
      </c>
      <c r="H20" s="31">
        <f t="shared" si="0"/>
        <v>0</v>
      </c>
      <c r="I20" s="8">
        <f t="shared" si="0"/>
        <v>0</v>
      </c>
      <c r="J20" s="8">
        <f t="shared" si="2"/>
        <v>0</v>
      </c>
      <c r="K20" s="71">
        <f t="shared" si="3"/>
        <v>-121849.47183098589</v>
      </c>
    </row>
    <row r="21" spans="1:11" x14ac:dyDescent="0.25">
      <c r="A21" s="38">
        <f>Données!A18</f>
        <v>5413</v>
      </c>
      <c r="B21" s="131" t="str">
        <f>Données!B18</f>
        <v>Roche</v>
      </c>
      <c r="C21" s="8">
        <f>Données!Z18</f>
        <v>1940</v>
      </c>
      <c r="D21" s="8">
        <f t="shared" si="1"/>
        <v>1000</v>
      </c>
      <c r="E21" s="162">
        <f t="shared" si="0"/>
        <v>940</v>
      </c>
      <c r="F21" s="8">
        <f t="shared" si="0"/>
        <v>0</v>
      </c>
      <c r="G21" s="162">
        <f t="shared" si="0"/>
        <v>0</v>
      </c>
      <c r="H21" s="31">
        <f t="shared" si="0"/>
        <v>0</v>
      </c>
      <c r="I21" s="8">
        <f t="shared" si="0"/>
        <v>0</v>
      </c>
      <c r="J21" s="8">
        <f t="shared" si="2"/>
        <v>0</v>
      </c>
      <c r="K21" s="71">
        <f t="shared" si="3"/>
        <v>-476380.28169014072</v>
      </c>
    </row>
    <row r="22" spans="1:11" x14ac:dyDescent="0.25">
      <c r="A22" s="38">
        <f>Données!A19</f>
        <v>5414</v>
      </c>
      <c r="B22" s="131" t="str">
        <f>Données!B19</f>
        <v>Villeneuve</v>
      </c>
      <c r="C22" s="8">
        <f>Données!Z19</f>
        <v>5979</v>
      </c>
      <c r="D22" s="8">
        <f t="shared" si="1"/>
        <v>1000</v>
      </c>
      <c r="E22" s="162">
        <f t="shared" si="0"/>
        <v>2000</v>
      </c>
      <c r="F22" s="8">
        <f t="shared" si="0"/>
        <v>2000</v>
      </c>
      <c r="G22" s="162">
        <f t="shared" si="0"/>
        <v>979</v>
      </c>
      <c r="H22" s="31">
        <f t="shared" si="0"/>
        <v>0</v>
      </c>
      <c r="I22" s="8">
        <f t="shared" si="0"/>
        <v>0</v>
      </c>
      <c r="J22" s="8">
        <f t="shared" si="2"/>
        <v>0</v>
      </c>
      <c r="K22" s="71">
        <f t="shared" si="3"/>
        <v>-2531321.1267605629</v>
      </c>
    </row>
    <row r="23" spans="1:11" x14ac:dyDescent="0.25">
      <c r="A23" s="38">
        <f>Données!A20</f>
        <v>5415</v>
      </c>
      <c r="B23" s="131" t="str">
        <f>Données!B20</f>
        <v>Yvorne</v>
      </c>
      <c r="C23" s="8">
        <f>Données!Z20</f>
        <v>1088</v>
      </c>
      <c r="D23" s="8">
        <f t="shared" si="1"/>
        <v>1000</v>
      </c>
      <c r="E23" s="162">
        <f t="shared" si="0"/>
        <v>88</v>
      </c>
      <c r="F23" s="8">
        <f t="shared" si="0"/>
        <v>0</v>
      </c>
      <c r="G23" s="162">
        <f t="shared" si="0"/>
        <v>0</v>
      </c>
      <c r="H23" s="31">
        <f t="shared" si="0"/>
        <v>0</v>
      </c>
      <c r="I23" s="8">
        <f t="shared" si="0"/>
        <v>0</v>
      </c>
      <c r="J23" s="8">
        <f t="shared" si="2"/>
        <v>0</v>
      </c>
      <c r="K23" s="71">
        <f t="shared" si="3"/>
        <v>-163480.28169014081</v>
      </c>
    </row>
    <row r="24" spans="1:11" x14ac:dyDescent="0.25">
      <c r="A24" s="38">
        <f>Données!A21</f>
        <v>5422</v>
      </c>
      <c r="B24" s="131" t="str">
        <f>Données!B21</f>
        <v>Aubonne</v>
      </c>
      <c r="C24" s="8">
        <f>Données!Z21</f>
        <v>3792</v>
      </c>
      <c r="D24" s="8">
        <f t="shared" si="1"/>
        <v>1000</v>
      </c>
      <c r="E24" s="162">
        <f t="shared" si="0"/>
        <v>2000</v>
      </c>
      <c r="F24" s="8">
        <f t="shared" si="0"/>
        <v>792</v>
      </c>
      <c r="G24" s="162">
        <f t="shared" si="0"/>
        <v>0</v>
      </c>
      <c r="H24" s="31">
        <f t="shared" si="0"/>
        <v>0</v>
      </c>
      <c r="I24" s="8">
        <f t="shared" si="0"/>
        <v>0</v>
      </c>
      <c r="J24" s="8">
        <f t="shared" si="2"/>
        <v>0</v>
      </c>
      <c r="K24" s="71">
        <f t="shared" si="3"/>
        <v>-1281190.1408450701</v>
      </c>
    </row>
    <row r="25" spans="1:11" x14ac:dyDescent="0.25">
      <c r="A25" s="38">
        <f>Données!A22</f>
        <v>5423</v>
      </c>
      <c r="B25" s="131" t="str">
        <f>Données!B22</f>
        <v>Ballens</v>
      </c>
      <c r="C25" s="8">
        <f>Données!Z22</f>
        <v>590</v>
      </c>
      <c r="D25" s="8">
        <f t="shared" si="1"/>
        <v>590</v>
      </c>
      <c r="E25" s="162">
        <f t="shared" si="1"/>
        <v>0</v>
      </c>
      <c r="F25" s="8">
        <f t="shared" si="1"/>
        <v>0</v>
      </c>
      <c r="G25" s="162">
        <f t="shared" si="1"/>
        <v>0</v>
      </c>
      <c r="H25" s="31">
        <f t="shared" si="1"/>
        <v>0</v>
      </c>
      <c r="I25" s="8">
        <f t="shared" si="1"/>
        <v>0</v>
      </c>
      <c r="J25" s="8">
        <f t="shared" si="2"/>
        <v>0</v>
      </c>
      <c r="K25" s="71">
        <f t="shared" si="3"/>
        <v>-77385.563380281674</v>
      </c>
    </row>
    <row r="26" spans="1:11" x14ac:dyDescent="0.25">
      <c r="A26" s="38">
        <f>Données!A23</f>
        <v>5424</v>
      </c>
      <c r="B26" s="131" t="str">
        <f>Données!B23</f>
        <v>Berolle</v>
      </c>
      <c r="C26" s="8">
        <f>Données!Z23</f>
        <v>303</v>
      </c>
      <c r="D26" s="8">
        <f t="shared" si="1"/>
        <v>303</v>
      </c>
      <c r="E26" s="162">
        <f t="shared" si="1"/>
        <v>0</v>
      </c>
      <c r="F26" s="8">
        <f t="shared" si="1"/>
        <v>0</v>
      </c>
      <c r="G26" s="162">
        <f t="shared" si="1"/>
        <v>0</v>
      </c>
      <c r="H26" s="31">
        <f t="shared" si="1"/>
        <v>0</v>
      </c>
      <c r="I26" s="8">
        <f t="shared" si="1"/>
        <v>0</v>
      </c>
      <c r="J26" s="8">
        <f t="shared" si="2"/>
        <v>0</v>
      </c>
      <c r="K26" s="71">
        <f t="shared" si="3"/>
        <v>-39742.077464788723</v>
      </c>
    </row>
    <row r="27" spans="1:11" x14ac:dyDescent="0.25">
      <c r="A27" s="38">
        <f>Données!A24</f>
        <v>5425</v>
      </c>
      <c r="B27" s="131" t="str">
        <f>Données!B24</f>
        <v>Bière</v>
      </c>
      <c r="C27" s="8">
        <f>Données!Z24</f>
        <v>1683</v>
      </c>
      <c r="D27" s="8">
        <f t="shared" si="1"/>
        <v>1000</v>
      </c>
      <c r="E27" s="162">
        <f t="shared" si="1"/>
        <v>683</v>
      </c>
      <c r="F27" s="8">
        <f t="shared" si="1"/>
        <v>0</v>
      </c>
      <c r="G27" s="162">
        <f t="shared" si="1"/>
        <v>0</v>
      </c>
      <c r="H27" s="31">
        <f t="shared" si="1"/>
        <v>0</v>
      </c>
      <c r="I27" s="8">
        <f t="shared" si="1"/>
        <v>0</v>
      </c>
      <c r="J27" s="8">
        <f t="shared" si="2"/>
        <v>0</v>
      </c>
      <c r="K27" s="71">
        <f t="shared" si="3"/>
        <v>-381996.12676056335</v>
      </c>
    </row>
    <row r="28" spans="1:11" x14ac:dyDescent="0.25">
      <c r="A28" s="38">
        <f>Données!A25</f>
        <v>5426</v>
      </c>
      <c r="B28" s="131" t="str">
        <f>Données!B25</f>
        <v>Bougy-Villars</v>
      </c>
      <c r="C28" s="8">
        <f>Données!Z25</f>
        <v>506</v>
      </c>
      <c r="D28" s="8">
        <f t="shared" si="1"/>
        <v>506</v>
      </c>
      <c r="E28" s="162">
        <f t="shared" si="1"/>
        <v>0</v>
      </c>
      <c r="F28" s="8">
        <f t="shared" si="1"/>
        <v>0</v>
      </c>
      <c r="G28" s="162">
        <f t="shared" si="1"/>
        <v>0</v>
      </c>
      <c r="H28" s="31">
        <f t="shared" si="1"/>
        <v>0</v>
      </c>
      <c r="I28" s="8">
        <f t="shared" si="1"/>
        <v>0</v>
      </c>
      <c r="J28" s="8">
        <f t="shared" si="2"/>
        <v>0</v>
      </c>
      <c r="K28" s="71">
        <f t="shared" si="3"/>
        <v>-66367.95774647886</v>
      </c>
    </row>
    <row r="29" spans="1:11" x14ac:dyDescent="0.25">
      <c r="A29" s="38">
        <f>Données!A26</f>
        <v>5427</v>
      </c>
      <c r="B29" s="131" t="str">
        <f>Données!B26</f>
        <v>Féchy</v>
      </c>
      <c r="C29" s="8">
        <f>Données!Z26</f>
        <v>887</v>
      </c>
      <c r="D29" s="8">
        <f t="shared" si="1"/>
        <v>887</v>
      </c>
      <c r="E29" s="162">
        <f t="shared" si="1"/>
        <v>0</v>
      </c>
      <c r="F29" s="8">
        <f t="shared" si="1"/>
        <v>0</v>
      </c>
      <c r="G29" s="162">
        <f t="shared" si="1"/>
        <v>0</v>
      </c>
      <c r="H29" s="31">
        <f t="shared" si="1"/>
        <v>0</v>
      </c>
      <c r="I29" s="8">
        <f t="shared" si="1"/>
        <v>0</v>
      </c>
      <c r="J29" s="8">
        <f t="shared" si="2"/>
        <v>0</v>
      </c>
      <c r="K29" s="71">
        <f t="shared" si="3"/>
        <v>-116340.66901408449</v>
      </c>
    </row>
    <row r="30" spans="1:11" x14ac:dyDescent="0.25">
      <c r="A30" s="38">
        <f>Données!A27</f>
        <v>5428</v>
      </c>
      <c r="B30" s="131" t="str">
        <f>Données!B27</f>
        <v>Gimel</v>
      </c>
      <c r="C30" s="8">
        <f>Données!Z27</f>
        <v>2414</v>
      </c>
      <c r="D30" s="8">
        <f t="shared" si="1"/>
        <v>1000</v>
      </c>
      <c r="E30" s="162">
        <f t="shared" si="1"/>
        <v>1414</v>
      </c>
      <c r="F30" s="8">
        <f t="shared" si="1"/>
        <v>0</v>
      </c>
      <c r="G30" s="162">
        <f t="shared" si="1"/>
        <v>0</v>
      </c>
      <c r="H30" s="31">
        <f t="shared" si="1"/>
        <v>0</v>
      </c>
      <c r="I30" s="8">
        <f t="shared" si="1"/>
        <v>0</v>
      </c>
      <c r="J30" s="8">
        <f t="shared" si="2"/>
        <v>0</v>
      </c>
      <c r="K30" s="71">
        <f t="shared" si="3"/>
        <v>-650458.45070422522</v>
      </c>
    </row>
    <row r="31" spans="1:11" x14ac:dyDescent="0.25">
      <c r="A31" s="38">
        <f>Données!A28</f>
        <v>5429</v>
      </c>
      <c r="B31" s="131" t="str">
        <f>Données!B28</f>
        <v>Longirod</v>
      </c>
      <c r="C31" s="8">
        <f>Données!Z28</f>
        <v>541</v>
      </c>
      <c r="D31" s="8">
        <f t="shared" si="1"/>
        <v>541</v>
      </c>
      <c r="E31" s="162">
        <f t="shared" si="1"/>
        <v>0</v>
      </c>
      <c r="F31" s="8">
        <f t="shared" si="1"/>
        <v>0</v>
      </c>
      <c r="G31" s="162">
        <f t="shared" si="1"/>
        <v>0</v>
      </c>
      <c r="H31" s="31">
        <f t="shared" si="1"/>
        <v>0</v>
      </c>
      <c r="I31" s="8">
        <f t="shared" si="1"/>
        <v>0</v>
      </c>
      <c r="J31" s="8">
        <f t="shared" si="2"/>
        <v>0</v>
      </c>
      <c r="K31" s="71">
        <f t="shared" si="3"/>
        <v>-70958.626760563362</v>
      </c>
    </row>
    <row r="32" spans="1:11" x14ac:dyDescent="0.25">
      <c r="A32" s="38">
        <f>Données!A29</f>
        <v>5430</v>
      </c>
      <c r="B32" s="131" t="str">
        <f>Données!B29</f>
        <v>Marchissy</v>
      </c>
      <c r="C32" s="8">
        <f>Données!Z29</f>
        <v>499</v>
      </c>
      <c r="D32" s="8">
        <f t="shared" si="1"/>
        <v>499</v>
      </c>
      <c r="E32" s="162">
        <f t="shared" si="1"/>
        <v>0</v>
      </c>
      <c r="F32" s="8">
        <f t="shared" si="1"/>
        <v>0</v>
      </c>
      <c r="G32" s="162">
        <f t="shared" si="1"/>
        <v>0</v>
      </c>
      <c r="H32" s="31">
        <f t="shared" si="1"/>
        <v>0</v>
      </c>
      <c r="I32" s="8">
        <f t="shared" si="1"/>
        <v>0</v>
      </c>
      <c r="J32" s="8">
        <f t="shared" si="2"/>
        <v>0</v>
      </c>
      <c r="K32" s="71">
        <f t="shared" si="3"/>
        <v>-65449.823943661962</v>
      </c>
    </row>
    <row r="33" spans="1:11" x14ac:dyDescent="0.25">
      <c r="A33" s="38">
        <f>Données!A30</f>
        <v>5431</v>
      </c>
      <c r="B33" s="131" t="str">
        <f>Données!B30</f>
        <v>Mollens</v>
      </c>
      <c r="C33" s="8">
        <f>Données!Z30</f>
        <v>324</v>
      </c>
      <c r="D33" s="8">
        <f t="shared" si="1"/>
        <v>324</v>
      </c>
      <c r="E33" s="162">
        <f t="shared" si="1"/>
        <v>0</v>
      </c>
      <c r="F33" s="8">
        <f t="shared" si="1"/>
        <v>0</v>
      </c>
      <c r="G33" s="162">
        <f t="shared" si="1"/>
        <v>0</v>
      </c>
      <c r="H33" s="31">
        <f t="shared" si="1"/>
        <v>0</v>
      </c>
      <c r="I33" s="8">
        <f t="shared" si="1"/>
        <v>0</v>
      </c>
      <c r="J33" s="8">
        <f t="shared" si="2"/>
        <v>0</v>
      </c>
      <c r="K33" s="71">
        <f t="shared" si="3"/>
        <v>-42496.47887323943</v>
      </c>
    </row>
    <row r="34" spans="1:11" x14ac:dyDescent="0.25">
      <c r="A34" s="38">
        <f>Données!A31</f>
        <v>5434</v>
      </c>
      <c r="B34" s="131" t="str">
        <f>Données!B31</f>
        <v>Saint-George</v>
      </c>
      <c r="C34" s="8">
        <f>Données!Z31</f>
        <v>1069</v>
      </c>
      <c r="D34" s="8">
        <f t="shared" si="1"/>
        <v>1000</v>
      </c>
      <c r="E34" s="162">
        <f t="shared" si="1"/>
        <v>69</v>
      </c>
      <c r="F34" s="8">
        <f t="shared" si="1"/>
        <v>0</v>
      </c>
      <c r="G34" s="162">
        <f t="shared" si="1"/>
        <v>0</v>
      </c>
      <c r="H34" s="31">
        <f t="shared" si="1"/>
        <v>0</v>
      </c>
      <c r="I34" s="8">
        <f t="shared" si="1"/>
        <v>0</v>
      </c>
      <c r="J34" s="8">
        <f t="shared" si="2"/>
        <v>0</v>
      </c>
      <c r="K34" s="71">
        <f t="shared" si="3"/>
        <v>-156502.46478873235</v>
      </c>
    </row>
    <row r="35" spans="1:11" x14ac:dyDescent="0.25">
      <c r="A35" s="38">
        <f>Données!A32</f>
        <v>5435</v>
      </c>
      <c r="B35" s="131" t="str">
        <f>Données!B32</f>
        <v>Saint-Livres</v>
      </c>
      <c r="C35" s="8">
        <f>Données!Z32</f>
        <v>697</v>
      </c>
      <c r="D35" s="8">
        <f t="shared" si="1"/>
        <v>697</v>
      </c>
      <c r="E35" s="162">
        <f t="shared" si="1"/>
        <v>0</v>
      </c>
      <c r="F35" s="8">
        <f t="shared" si="1"/>
        <v>0</v>
      </c>
      <c r="G35" s="162">
        <f t="shared" si="1"/>
        <v>0</v>
      </c>
      <c r="H35" s="31">
        <f t="shared" si="1"/>
        <v>0</v>
      </c>
      <c r="I35" s="8">
        <f t="shared" si="1"/>
        <v>0</v>
      </c>
      <c r="J35" s="8">
        <f t="shared" si="2"/>
        <v>0</v>
      </c>
      <c r="K35" s="71">
        <f t="shared" si="3"/>
        <v>-91419.894366197172</v>
      </c>
    </row>
    <row r="36" spans="1:11" x14ac:dyDescent="0.25">
      <c r="A36" s="38">
        <f>Données!A33</f>
        <v>5436</v>
      </c>
      <c r="B36" s="131" t="str">
        <f>Données!B33</f>
        <v>Saint-Oyens</v>
      </c>
      <c r="C36" s="8">
        <f>Données!Z33</f>
        <v>456</v>
      </c>
      <c r="D36" s="8">
        <f t="shared" si="1"/>
        <v>456</v>
      </c>
      <c r="E36" s="162">
        <f t="shared" si="1"/>
        <v>0</v>
      </c>
      <c r="F36" s="8">
        <f t="shared" si="1"/>
        <v>0</v>
      </c>
      <c r="G36" s="162">
        <f t="shared" si="1"/>
        <v>0</v>
      </c>
      <c r="H36" s="31">
        <f t="shared" si="1"/>
        <v>0</v>
      </c>
      <c r="I36" s="8">
        <f t="shared" si="1"/>
        <v>0</v>
      </c>
      <c r="J36" s="8">
        <f t="shared" si="2"/>
        <v>0</v>
      </c>
      <c r="K36" s="71">
        <f t="shared" si="3"/>
        <v>-59809.859154929567</v>
      </c>
    </row>
    <row r="37" spans="1:11" x14ac:dyDescent="0.25">
      <c r="A37" s="38">
        <f>Données!A34</f>
        <v>5437</v>
      </c>
      <c r="B37" s="131" t="str">
        <f>Données!B34</f>
        <v>Saubraz</v>
      </c>
      <c r="C37" s="8">
        <f>Données!Z34</f>
        <v>449</v>
      </c>
      <c r="D37" s="8">
        <f t="shared" si="1"/>
        <v>449</v>
      </c>
      <c r="E37" s="162">
        <f t="shared" si="1"/>
        <v>0</v>
      </c>
      <c r="F37" s="8">
        <f t="shared" si="1"/>
        <v>0</v>
      </c>
      <c r="G37" s="162">
        <f t="shared" si="1"/>
        <v>0</v>
      </c>
      <c r="H37" s="31">
        <f t="shared" si="1"/>
        <v>0</v>
      </c>
      <c r="I37" s="8">
        <f t="shared" si="1"/>
        <v>0</v>
      </c>
      <c r="J37" s="8">
        <f t="shared" si="2"/>
        <v>0</v>
      </c>
      <c r="K37" s="71">
        <f t="shared" si="3"/>
        <v>-58891.725352112662</v>
      </c>
    </row>
    <row r="38" spans="1:11" x14ac:dyDescent="0.25">
      <c r="A38" s="38">
        <f>Données!A35</f>
        <v>5451</v>
      </c>
      <c r="B38" s="131" t="str">
        <f>Données!B35</f>
        <v>Avenches</v>
      </c>
      <c r="C38" s="8">
        <f>Données!Z35</f>
        <v>4696</v>
      </c>
      <c r="D38" s="8">
        <f t="shared" si="1"/>
        <v>1000</v>
      </c>
      <c r="E38" s="162">
        <f t="shared" si="1"/>
        <v>2000</v>
      </c>
      <c r="F38" s="8">
        <f t="shared" si="1"/>
        <v>1696</v>
      </c>
      <c r="G38" s="162">
        <f t="shared" si="1"/>
        <v>0</v>
      </c>
      <c r="H38" s="31">
        <f t="shared" si="1"/>
        <v>0</v>
      </c>
      <c r="I38" s="8">
        <f t="shared" si="1"/>
        <v>0</v>
      </c>
      <c r="J38" s="8">
        <f t="shared" si="2"/>
        <v>0</v>
      </c>
      <c r="K38" s="71">
        <f t="shared" si="3"/>
        <v>-1755471.8309859151</v>
      </c>
    </row>
    <row r="39" spans="1:11" x14ac:dyDescent="0.25">
      <c r="A39" s="38">
        <f>Données!A36</f>
        <v>5456</v>
      </c>
      <c r="B39" s="131" t="str">
        <f>Données!B36</f>
        <v>Cudrefin</v>
      </c>
      <c r="C39" s="8">
        <f>Données!Z36</f>
        <v>1876</v>
      </c>
      <c r="D39" s="8">
        <f t="shared" si="1"/>
        <v>1000</v>
      </c>
      <c r="E39" s="162">
        <f t="shared" si="1"/>
        <v>876</v>
      </c>
      <c r="F39" s="8">
        <f t="shared" si="1"/>
        <v>0</v>
      </c>
      <c r="G39" s="162">
        <f t="shared" si="1"/>
        <v>0</v>
      </c>
      <c r="H39" s="31">
        <f t="shared" si="1"/>
        <v>0</v>
      </c>
      <c r="I39" s="8">
        <f t="shared" si="1"/>
        <v>0</v>
      </c>
      <c r="J39" s="8">
        <f t="shared" si="2"/>
        <v>0</v>
      </c>
      <c r="K39" s="71">
        <f t="shared" si="3"/>
        <v>-452876.05633802805</v>
      </c>
    </row>
    <row r="40" spans="1:11" x14ac:dyDescent="0.25">
      <c r="A40" s="38">
        <f>Données!A37</f>
        <v>5458</v>
      </c>
      <c r="B40" s="131" t="str">
        <f>Données!B37</f>
        <v>Faoug</v>
      </c>
      <c r="C40" s="8">
        <f>Données!Z37</f>
        <v>903</v>
      </c>
      <c r="D40" s="8">
        <f t="shared" si="1"/>
        <v>903</v>
      </c>
      <c r="E40" s="162">
        <f t="shared" si="1"/>
        <v>0</v>
      </c>
      <c r="F40" s="8">
        <f t="shared" si="1"/>
        <v>0</v>
      </c>
      <c r="G40" s="162">
        <f t="shared" si="1"/>
        <v>0</v>
      </c>
      <c r="H40" s="31">
        <f t="shared" si="1"/>
        <v>0</v>
      </c>
      <c r="I40" s="8">
        <f t="shared" si="1"/>
        <v>0</v>
      </c>
      <c r="J40" s="8">
        <f t="shared" si="2"/>
        <v>0</v>
      </c>
      <c r="K40" s="71">
        <f t="shared" si="3"/>
        <v>-118439.26056338026</v>
      </c>
    </row>
    <row r="41" spans="1:11" x14ac:dyDescent="0.25">
      <c r="A41" s="38">
        <f>Données!A38</f>
        <v>5464</v>
      </c>
      <c r="B41" s="131" t="str">
        <f>Données!B38</f>
        <v>Vully-les-Lacs</v>
      </c>
      <c r="C41" s="8">
        <f>Données!Z38</f>
        <v>3540</v>
      </c>
      <c r="D41" s="8">
        <f t="shared" si="1"/>
        <v>1000</v>
      </c>
      <c r="E41" s="162">
        <f t="shared" si="1"/>
        <v>2000</v>
      </c>
      <c r="F41" s="8">
        <f t="shared" si="1"/>
        <v>540</v>
      </c>
      <c r="G41" s="162">
        <f t="shared" si="1"/>
        <v>0</v>
      </c>
      <c r="H41" s="31">
        <f t="shared" si="1"/>
        <v>0</v>
      </c>
      <c r="I41" s="8">
        <f t="shared" si="1"/>
        <v>0</v>
      </c>
      <c r="J41" s="8">
        <f t="shared" si="2"/>
        <v>0</v>
      </c>
      <c r="K41" s="71">
        <f t="shared" si="3"/>
        <v>-1148978.8732394364</v>
      </c>
    </row>
    <row r="42" spans="1:11" x14ac:dyDescent="0.25">
      <c r="A42" s="38">
        <f>Données!A39</f>
        <v>5471</v>
      </c>
      <c r="B42" s="131" t="str">
        <f>Données!B39</f>
        <v>Bettens</v>
      </c>
      <c r="C42" s="8">
        <f>Données!Z39</f>
        <v>650</v>
      </c>
      <c r="D42" s="8">
        <f t="shared" si="1"/>
        <v>650</v>
      </c>
      <c r="E42" s="162">
        <f t="shared" si="1"/>
        <v>0</v>
      </c>
      <c r="F42" s="8">
        <f t="shared" si="1"/>
        <v>0</v>
      </c>
      <c r="G42" s="162">
        <f t="shared" si="1"/>
        <v>0</v>
      </c>
      <c r="H42" s="31">
        <f t="shared" si="1"/>
        <v>0</v>
      </c>
      <c r="I42" s="8">
        <f t="shared" si="1"/>
        <v>0</v>
      </c>
      <c r="J42" s="8">
        <f t="shared" si="2"/>
        <v>0</v>
      </c>
      <c r="K42" s="71">
        <f t="shared" si="3"/>
        <v>-85255.281690140822</v>
      </c>
    </row>
    <row r="43" spans="1:11" x14ac:dyDescent="0.25">
      <c r="A43" s="38">
        <f>Données!A40</f>
        <v>5472</v>
      </c>
      <c r="B43" s="131" t="str">
        <f>Données!B40</f>
        <v>Bournens</v>
      </c>
      <c r="C43" s="8">
        <f>Données!Z40</f>
        <v>514</v>
      </c>
      <c r="D43" s="8">
        <f t="shared" si="1"/>
        <v>514</v>
      </c>
      <c r="E43" s="162">
        <f t="shared" si="1"/>
        <v>0</v>
      </c>
      <c r="F43" s="8">
        <f t="shared" si="1"/>
        <v>0</v>
      </c>
      <c r="G43" s="162">
        <f t="shared" si="1"/>
        <v>0</v>
      </c>
      <c r="H43" s="31">
        <f t="shared" si="1"/>
        <v>0</v>
      </c>
      <c r="I43" s="8">
        <f t="shared" si="1"/>
        <v>0</v>
      </c>
      <c r="J43" s="8">
        <f t="shared" si="2"/>
        <v>0</v>
      </c>
      <c r="K43" s="71">
        <f t="shared" si="3"/>
        <v>-67417.253521126753</v>
      </c>
    </row>
    <row r="44" spans="1:11" x14ac:dyDescent="0.25">
      <c r="A44" s="38">
        <f>Données!A41</f>
        <v>5473</v>
      </c>
      <c r="B44" s="131" t="str">
        <f>Données!B41</f>
        <v>Boussens</v>
      </c>
      <c r="C44" s="8">
        <f>Données!Z41</f>
        <v>1009</v>
      </c>
      <c r="D44" s="8">
        <f t="shared" si="1"/>
        <v>1000</v>
      </c>
      <c r="E44" s="162">
        <f t="shared" si="1"/>
        <v>9</v>
      </c>
      <c r="F44" s="8">
        <f t="shared" si="1"/>
        <v>0</v>
      </c>
      <c r="G44" s="162">
        <f t="shared" si="1"/>
        <v>0</v>
      </c>
      <c r="H44" s="31">
        <f t="shared" si="1"/>
        <v>0</v>
      </c>
      <c r="I44" s="8">
        <f t="shared" si="1"/>
        <v>0</v>
      </c>
      <c r="J44" s="8">
        <f t="shared" si="2"/>
        <v>0</v>
      </c>
      <c r="K44" s="71">
        <f t="shared" si="3"/>
        <v>-134467.25352112672</v>
      </c>
    </row>
    <row r="45" spans="1:11" x14ac:dyDescent="0.25">
      <c r="A45" s="38">
        <f>Données!A42</f>
        <v>5474</v>
      </c>
      <c r="B45" s="131" t="str">
        <f>Données!B42</f>
        <v>La Chaux (Cossonay)</v>
      </c>
      <c r="C45" s="8">
        <f>Données!Z42</f>
        <v>412</v>
      </c>
      <c r="D45" s="8">
        <f t="shared" si="1"/>
        <v>412</v>
      </c>
      <c r="E45" s="162">
        <f t="shared" si="1"/>
        <v>0</v>
      </c>
      <c r="F45" s="8">
        <f t="shared" si="1"/>
        <v>0</v>
      </c>
      <c r="G45" s="162">
        <f t="shared" si="1"/>
        <v>0</v>
      </c>
      <c r="H45" s="31">
        <f t="shared" si="1"/>
        <v>0</v>
      </c>
      <c r="I45" s="8">
        <f t="shared" si="1"/>
        <v>0</v>
      </c>
      <c r="J45" s="8">
        <f t="shared" si="2"/>
        <v>0</v>
      </c>
      <c r="K45" s="71">
        <f t="shared" si="3"/>
        <v>-54038.73239436619</v>
      </c>
    </row>
    <row r="46" spans="1:11" x14ac:dyDescent="0.25">
      <c r="A46" s="38">
        <f>Données!A43</f>
        <v>5475</v>
      </c>
      <c r="B46" s="131" t="str">
        <f>Données!B43</f>
        <v>Chavannes-le-Veyron</v>
      </c>
      <c r="C46" s="8">
        <f>Données!Z43</f>
        <v>163</v>
      </c>
      <c r="D46" s="8">
        <f t="shared" si="1"/>
        <v>163</v>
      </c>
      <c r="E46" s="162">
        <f t="shared" si="1"/>
        <v>0</v>
      </c>
      <c r="F46" s="8">
        <f t="shared" si="1"/>
        <v>0</v>
      </c>
      <c r="G46" s="162">
        <f t="shared" si="1"/>
        <v>0</v>
      </c>
      <c r="H46" s="31">
        <f t="shared" si="1"/>
        <v>0</v>
      </c>
      <c r="I46" s="8">
        <f t="shared" si="1"/>
        <v>0</v>
      </c>
      <c r="J46" s="8">
        <f t="shared" si="2"/>
        <v>0</v>
      </c>
      <c r="K46" s="71">
        <f t="shared" si="3"/>
        <v>-21379.4014084507</v>
      </c>
    </row>
    <row r="47" spans="1:11" x14ac:dyDescent="0.25">
      <c r="A47" s="38">
        <f>Données!A44</f>
        <v>5476</v>
      </c>
      <c r="B47" s="131" t="str">
        <f>Données!B44</f>
        <v>Chevilly</v>
      </c>
      <c r="C47" s="8">
        <f>Données!Z44</f>
        <v>331</v>
      </c>
      <c r="D47" s="8">
        <f t="shared" si="1"/>
        <v>331</v>
      </c>
      <c r="E47" s="162">
        <f t="shared" si="1"/>
        <v>0</v>
      </c>
      <c r="F47" s="8">
        <f t="shared" si="1"/>
        <v>0</v>
      </c>
      <c r="G47" s="162">
        <f t="shared" si="1"/>
        <v>0</v>
      </c>
      <c r="H47" s="31">
        <f t="shared" si="1"/>
        <v>0</v>
      </c>
      <c r="I47" s="8">
        <f t="shared" si="1"/>
        <v>0</v>
      </c>
      <c r="J47" s="8">
        <f t="shared" si="2"/>
        <v>0</v>
      </c>
      <c r="K47" s="71">
        <f t="shared" si="3"/>
        <v>-43414.612676056327</v>
      </c>
    </row>
    <row r="48" spans="1:11" x14ac:dyDescent="0.25">
      <c r="A48" s="38">
        <f>Données!A45</f>
        <v>5477</v>
      </c>
      <c r="B48" s="131" t="str">
        <f>Données!B45</f>
        <v>Cossonay</v>
      </c>
      <c r="C48" s="8">
        <f>Données!Z45</f>
        <v>4389</v>
      </c>
      <c r="D48" s="8">
        <f t="shared" si="1"/>
        <v>1000</v>
      </c>
      <c r="E48" s="162">
        <f t="shared" si="1"/>
        <v>2000</v>
      </c>
      <c r="F48" s="8">
        <f t="shared" si="1"/>
        <v>1389</v>
      </c>
      <c r="G48" s="162">
        <f t="shared" si="1"/>
        <v>0</v>
      </c>
      <c r="H48" s="31">
        <f t="shared" si="1"/>
        <v>0</v>
      </c>
      <c r="I48" s="8">
        <f t="shared" si="1"/>
        <v>0</v>
      </c>
      <c r="J48" s="8">
        <f t="shared" si="2"/>
        <v>0</v>
      </c>
      <c r="K48" s="71">
        <f t="shared" si="3"/>
        <v>-1594404.9295774645</v>
      </c>
    </row>
    <row r="49" spans="1:11" x14ac:dyDescent="0.25">
      <c r="A49" s="38">
        <f>Données!A46</f>
        <v>5479</v>
      </c>
      <c r="B49" s="131" t="str">
        <f>Données!B46</f>
        <v>Cuarnens</v>
      </c>
      <c r="C49" s="8">
        <f>Données!Z46</f>
        <v>545</v>
      </c>
      <c r="D49" s="8">
        <f t="shared" si="1"/>
        <v>545</v>
      </c>
      <c r="E49" s="162">
        <f t="shared" si="1"/>
        <v>0</v>
      </c>
      <c r="F49" s="8">
        <f t="shared" si="1"/>
        <v>0</v>
      </c>
      <c r="G49" s="162">
        <f t="shared" si="1"/>
        <v>0</v>
      </c>
      <c r="H49" s="31">
        <f t="shared" si="1"/>
        <v>0</v>
      </c>
      <c r="I49" s="8">
        <f t="shared" si="1"/>
        <v>0</v>
      </c>
      <c r="J49" s="8">
        <f t="shared" si="2"/>
        <v>0</v>
      </c>
      <c r="K49" s="71">
        <f t="shared" si="3"/>
        <v>-71483.274647887316</v>
      </c>
    </row>
    <row r="50" spans="1:11" x14ac:dyDescent="0.25">
      <c r="A50" s="38">
        <f>Données!A47</f>
        <v>5480</v>
      </c>
      <c r="B50" s="131" t="str">
        <f>Données!B47</f>
        <v>Daillens</v>
      </c>
      <c r="C50" s="8">
        <f>Données!Z47</f>
        <v>1057</v>
      </c>
      <c r="D50" s="8">
        <f t="shared" si="1"/>
        <v>1000</v>
      </c>
      <c r="E50" s="162">
        <f t="shared" si="1"/>
        <v>57</v>
      </c>
      <c r="F50" s="8">
        <f t="shared" si="1"/>
        <v>0</v>
      </c>
      <c r="G50" s="162">
        <f t="shared" si="1"/>
        <v>0</v>
      </c>
      <c r="H50" s="31">
        <f t="shared" si="1"/>
        <v>0</v>
      </c>
      <c r="I50" s="8">
        <f t="shared" si="1"/>
        <v>0</v>
      </c>
      <c r="J50" s="8">
        <f t="shared" si="2"/>
        <v>0</v>
      </c>
      <c r="K50" s="71">
        <f t="shared" si="3"/>
        <v>-152095.42253521123</v>
      </c>
    </row>
    <row r="51" spans="1:11" x14ac:dyDescent="0.25">
      <c r="A51" s="38">
        <f>Données!A48</f>
        <v>5481</v>
      </c>
      <c r="B51" s="131" t="str">
        <f>Données!B48</f>
        <v>Dizy</v>
      </c>
      <c r="C51" s="8">
        <f>Données!Z48</f>
        <v>232</v>
      </c>
      <c r="D51" s="8">
        <f t="shared" si="1"/>
        <v>232</v>
      </c>
      <c r="E51" s="162">
        <f t="shared" si="1"/>
        <v>0</v>
      </c>
      <c r="F51" s="8">
        <f t="shared" si="1"/>
        <v>0</v>
      </c>
      <c r="G51" s="162">
        <f t="shared" si="1"/>
        <v>0</v>
      </c>
      <c r="H51" s="31">
        <f t="shared" si="1"/>
        <v>0</v>
      </c>
      <c r="I51" s="8">
        <f t="shared" si="1"/>
        <v>0</v>
      </c>
      <c r="J51" s="8">
        <f t="shared" si="2"/>
        <v>0</v>
      </c>
      <c r="K51" s="71">
        <f t="shared" si="3"/>
        <v>-30429.577464788727</v>
      </c>
    </row>
    <row r="52" spans="1:11" x14ac:dyDescent="0.25">
      <c r="A52" s="38">
        <f>Données!A49</f>
        <v>5482</v>
      </c>
      <c r="B52" s="131" t="str">
        <f>Données!B49</f>
        <v>Eclépens</v>
      </c>
      <c r="C52" s="8">
        <f>Données!Z49</f>
        <v>1199</v>
      </c>
      <c r="D52" s="8">
        <f t="shared" si="1"/>
        <v>1000</v>
      </c>
      <c r="E52" s="162">
        <f t="shared" si="1"/>
        <v>199</v>
      </c>
      <c r="F52" s="8">
        <f t="shared" si="1"/>
        <v>0</v>
      </c>
      <c r="G52" s="162">
        <f t="shared" si="1"/>
        <v>0</v>
      </c>
      <c r="H52" s="31">
        <f t="shared" si="1"/>
        <v>0</v>
      </c>
      <c r="I52" s="8">
        <f t="shared" si="1"/>
        <v>0</v>
      </c>
      <c r="J52" s="8">
        <f t="shared" si="2"/>
        <v>0</v>
      </c>
      <c r="K52" s="71">
        <f t="shared" si="3"/>
        <v>-204245.42253521123</v>
      </c>
    </row>
    <row r="53" spans="1:11" x14ac:dyDescent="0.25">
      <c r="A53" s="38">
        <f>Données!A50</f>
        <v>5483</v>
      </c>
      <c r="B53" s="131" t="str">
        <f>Données!B50</f>
        <v>Ferreyres</v>
      </c>
      <c r="C53" s="8">
        <f>Données!Z50</f>
        <v>308</v>
      </c>
      <c r="D53" s="8">
        <f t="shared" si="1"/>
        <v>308</v>
      </c>
      <c r="E53" s="162">
        <f t="shared" si="1"/>
        <v>0</v>
      </c>
      <c r="F53" s="8">
        <f t="shared" si="1"/>
        <v>0</v>
      </c>
      <c r="G53" s="162">
        <f t="shared" si="1"/>
        <v>0</v>
      </c>
      <c r="H53" s="31">
        <f t="shared" si="1"/>
        <v>0</v>
      </c>
      <c r="I53" s="8">
        <f t="shared" si="1"/>
        <v>0</v>
      </c>
      <c r="J53" s="8">
        <f t="shared" si="2"/>
        <v>0</v>
      </c>
      <c r="K53" s="71">
        <f t="shared" si="3"/>
        <v>-40397.887323943658</v>
      </c>
    </row>
    <row r="54" spans="1:11" x14ac:dyDescent="0.25">
      <c r="A54" s="38">
        <f>Données!A51</f>
        <v>5484</v>
      </c>
      <c r="B54" s="131" t="str">
        <f>Données!B51</f>
        <v>Gollion</v>
      </c>
      <c r="C54" s="8">
        <f>Données!Z51</f>
        <v>1033</v>
      </c>
      <c r="D54" s="8">
        <f t="shared" si="1"/>
        <v>1000</v>
      </c>
      <c r="E54" s="162">
        <f t="shared" si="1"/>
        <v>33</v>
      </c>
      <c r="F54" s="8">
        <f t="shared" si="1"/>
        <v>0</v>
      </c>
      <c r="G54" s="162">
        <f t="shared" si="1"/>
        <v>0</v>
      </c>
      <c r="H54" s="31">
        <f t="shared" si="1"/>
        <v>0</v>
      </c>
      <c r="I54" s="8">
        <f t="shared" si="1"/>
        <v>0</v>
      </c>
      <c r="J54" s="8">
        <f t="shared" si="2"/>
        <v>0</v>
      </c>
      <c r="K54" s="71">
        <f t="shared" si="3"/>
        <v>-143281.33802816898</v>
      </c>
    </row>
    <row r="55" spans="1:11" x14ac:dyDescent="0.25">
      <c r="A55" s="38">
        <f>Données!A52</f>
        <v>5485</v>
      </c>
      <c r="B55" s="131" t="str">
        <f>Données!B52</f>
        <v>Grancy</v>
      </c>
      <c r="C55" s="8">
        <f>Données!Z52</f>
        <v>489</v>
      </c>
      <c r="D55" s="8">
        <f t="shared" si="1"/>
        <v>489</v>
      </c>
      <c r="E55" s="162">
        <f t="shared" si="1"/>
        <v>0</v>
      </c>
      <c r="F55" s="8">
        <f t="shared" si="1"/>
        <v>0</v>
      </c>
      <c r="G55" s="162">
        <f t="shared" si="1"/>
        <v>0</v>
      </c>
      <c r="H55" s="31">
        <f t="shared" si="1"/>
        <v>0</v>
      </c>
      <c r="I55" s="8">
        <f t="shared" si="1"/>
        <v>0</v>
      </c>
      <c r="J55" s="8">
        <f t="shared" si="2"/>
        <v>0</v>
      </c>
      <c r="K55" s="71">
        <f t="shared" si="3"/>
        <v>-64138.204225352099</v>
      </c>
    </row>
    <row r="56" spans="1:11" x14ac:dyDescent="0.25">
      <c r="A56" s="38">
        <f>Données!A53</f>
        <v>5486</v>
      </c>
      <c r="B56" s="131" t="str">
        <f>Données!B53</f>
        <v>L'Isle</v>
      </c>
      <c r="C56" s="8">
        <f>Données!Z53</f>
        <v>1095</v>
      </c>
      <c r="D56" s="8">
        <f t="shared" si="1"/>
        <v>1000</v>
      </c>
      <c r="E56" s="162">
        <f t="shared" si="1"/>
        <v>95</v>
      </c>
      <c r="F56" s="8">
        <f t="shared" si="1"/>
        <v>0</v>
      </c>
      <c r="G56" s="162">
        <f t="shared" si="1"/>
        <v>0</v>
      </c>
      <c r="H56" s="31">
        <f t="shared" si="1"/>
        <v>0</v>
      </c>
      <c r="I56" s="8">
        <f t="shared" si="1"/>
        <v>0</v>
      </c>
      <c r="J56" s="8">
        <f t="shared" si="2"/>
        <v>0</v>
      </c>
      <c r="K56" s="71">
        <f t="shared" si="3"/>
        <v>-166051.05633802814</v>
      </c>
    </row>
    <row r="57" spans="1:11" x14ac:dyDescent="0.25">
      <c r="A57" s="38">
        <f>Données!A54</f>
        <v>5487</v>
      </c>
      <c r="B57" s="131" t="str">
        <f>Données!B54</f>
        <v>Lussery-Villars</v>
      </c>
      <c r="C57" s="8">
        <f>Données!Z54</f>
        <v>482</v>
      </c>
      <c r="D57" s="8">
        <f t="shared" si="1"/>
        <v>482</v>
      </c>
      <c r="E57" s="162">
        <f t="shared" si="1"/>
        <v>0</v>
      </c>
      <c r="F57" s="8">
        <f t="shared" si="1"/>
        <v>0</v>
      </c>
      <c r="G57" s="162">
        <f t="shared" si="1"/>
        <v>0</v>
      </c>
      <c r="H57" s="31">
        <f t="shared" si="1"/>
        <v>0</v>
      </c>
      <c r="I57" s="8">
        <f t="shared" si="1"/>
        <v>0</v>
      </c>
      <c r="J57" s="8">
        <f t="shared" si="2"/>
        <v>0</v>
      </c>
      <c r="K57" s="71">
        <f t="shared" si="3"/>
        <v>-63220.070422535202</v>
      </c>
    </row>
    <row r="58" spans="1:11" x14ac:dyDescent="0.25">
      <c r="A58" s="38">
        <f>Données!A55</f>
        <v>5488</v>
      </c>
      <c r="B58" s="131" t="str">
        <f>Données!B55</f>
        <v>Mauraz</v>
      </c>
      <c r="C58" s="8">
        <f>Données!Z55</f>
        <v>65</v>
      </c>
      <c r="D58" s="8">
        <f t="shared" si="1"/>
        <v>65</v>
      </c>
      <c r="E58" s="162">
        <f t="shared" si="1"/>
        <v>0</v>
      </c>
      <c r="F58" s="8">
        <f t="shared" si="1"/>
        <v>0</v>
      </c>
      <c r="G58" s="162">
        <f t="shared" si="1"/>
        <v>0</v>
      </c>
      <c r="H58" s="31">
        <f t="shared" si="1"/>
        <v>0</v>
      </c>
      <c r="I58" s="8">
        <f t="shared" si="1"/>
        <v>0</v>
      </c>
      <c r="J58" s="8">
        <f t="shared" si="2"/>
        <v>0</v>
      </c>
      <c r="K58" s="71">
        <f t="shared" si="3"/>
        <v>-8525.5281690140837</v>
      </c>
    </row>
    <row r="59" spans="1:11" x14ac:dyDescent="0.25">
      <c r="A59" s="38">
        <f>Données!A56</f>
        <v>5489</v>
      </c>
      <c r="B59" s="131" t="str">
        <f>Données!B56</f>
        <v>Mex</v>
      </c>
      <c r="C59" s="8">
        <f>Données!Z56</f>
        <v>817</v>
      </c>
      <c r="D59" s="8">
        <f t="shared" si="1"/>
        <v>817</v>
      </c>
      <c r="E59" s="162">
        <f t="shared" si="1"/>
        <v>0</v>
      </c>
      <c r="F59" s="8">
        <f t="shared" si="1"/>
        <v>0</v>
      </c>
      <c r="G59" s="162">
        <f t="shared" si="1"/>
        <v>0</v>
      </c>
      <c r="H59" s="31">
        <f t="shared" si="1"/>
        <v>0</v>
      </c>
      <c r="I59" s="8">
        <f t="shared" si="1"/>
        <v>0</v>
      </c>
      <c r="J59" s="8">
        <f t="shared" si="2"/>
        <v>0</v>
      </c>
      <c r="K59" s="71">
        <f t="shared" si="3"/>
        <v>-107159.33098591547</v>
      </c>
    </row>
    <row r="60" spans="1:11" x14ac:dyDescent="0.25">
      <c r="A60" s="38">
        <f>Données!A57</f>
        <v>5490</v>
      </c>
      <c r="B60" s="131" t="str">
        <f>Données!B57</f>
        <v>Moiry</v>
      </c>
      <c r="C60" s="8">
        <f>Données!Z57</f>
        <v>296</v>
      </c>
      <c r="D60" s="8">
        <f t="shared" si="1"/>
        <v>296</v>
      </c>
      <c r="E60" s="162">
        <f t="shared" si="1"/>
        <v>0</v>
      </c>
      <c r="F60" s="8">
        <f t="shared" si="1"/>
        <v>0</v>
      </c>
      <c r="G60" s="162">
        <f t="shared" si="1"/>
        <v>0</v>
      </c>
      <c r="H60" s="31">
        <f t="shared" si="1"/>
        <v>0</v>
      </c>
      <c r="I60" s="8">
        <f t="shared" si="1"/>
        <v>0</v>
      </c>
      <c r="J60" s="8">
        <f t="shared" si="2"/>
        <v>0</v>
      </c>
      <c r="K60" s="71">
        <f t="shared" si="3"/>
        <v>-38823.943661971825</v>
      </c>
    </row>
    <row r="61" spans="1:11" x14ac:dyDescent="0.25">
      <c r="A61" s="38">
        <f>Données!A58</f>
        <v>5491</v>
      </c>
      <c r="B61" s="131" t="str">
        <f>Données!B58</f>
        <v>Mont-la-Ville</v>
      </c>
      <c r="C61" s="8">
        <f>Données!Z58</f>
        <v>502</v>
      </c>
      <c r="D61" s="8">
        <f t="shared" si="1"/>
        <v>502</v>
      </c>
      <c r="E61" s="162">
        <f t="shared" si="1"/>
        <v>0</v>
      </c>
      <c r="F61" s="8">
        <f t="shared" si="1"/>
        <v>0</v>
      </c>
      <c r="G61" s="162">
        <f t="shared" si="1"/>
        <v>0</v>
      </c>
      <c r="H61" s="31">
        <f t="shared" si="1"/>
        <v>0</v>
      </c>
      <c r="I61" s="8">
        <f t="shared" si="1"/>
        <v>0</v>
      </c>
      <c r="J61" s="8">
        <f t="shared" si="2"/>
        <v>0</v>
      </c>
      <c r="K61" s="71">
        <f t="shared" si="3"/>
        <v>-65843.309859154921</v>
      </c>
    </row>
    <row r="62" spans="1:11" x14ac:dyDescent="0.25">
      <c r="A62" s="38">
        <f>Données!A59</f>
        <v>5492</v>
      </c>
      <c r="B62" s="131" t="str">
        <f>Données!B59</f>
        <v>Montricher</v>
      </c>
      <c r="C62" s="8">
        <f>Données!Z59</f>
        <v>978</v>
      </c>
      <c r="D62" s="8">
        <f t="shared" si="1"/>
        <v>978</v>
      </c>
      <c r="E62" s="162">
        <f t="shared" si="1"/>
        <v>0</v>
      </c>
      <c r="F62" s="8">
        <f t="shared" si="1"/>
        <v>0</v>
      </c>
      <c r="G62" s="162">
        <f t="shared" si="1"/>
        <v>0</v>
      </c>
      <c r="H62" s="31">
        <f t="shared" si="1"/>
        <v>0</v>
      </c>
      <c r="I62" s="8">
        <f t="shared" si="1"/>
        <v>0</v>
      </c>
      <c r="J62" s="8">
        <f t="shared" si="2"/>
        <v>0</v>
      </c>
      <c r="K62" s="71">
        <f t="shared" si="3"/>
        <v>-128276.4084507042</v>
      </c>
    </row>
    <row r="63" spans="1:11" x14ac:dyDescent="0.25">
      <c r="A63" s="38">
        <f>Données!A60</f>
        <v>5493</v>
      </c>
      <c r="B63" s="131" t="str">
        <f>Données!B60</f>
        <v>Orny</v>
      </c>
      <c r="C63" s="8">
        <f>Données!Z60</f>
        <v>484</v>
      </c>
      <c r="D63" s="8">
        <f t="shared" si="1"/>
        <v>484</v>
      </c>
      <c r="E63" s="162">
        <f t="shared" si="1"/>
        <v>0</v>
      </c>
      <c r="F63" s="8">
        <f t="shared" si="1"/>
        <v>0</v>
      </c>
      <c r="G63" s="162">
        <f t="shared" si="1"/>
        <v>0</v>
      </c>
      <c r="H63" s="31">
        <f t="shared" si="1"/>
        <v>0</v>
      </c>
      <c r="I63" s="8">
        <f t="shared" si="1"/>
        <v>0</v>
      </c>
      <c r="J63" s="8">
        <f t="shared" si="2"/>
        <v>0</v>
      </c>
      <c r="K63" s="71">
        <f t="shared" si="3"/>
        <v>-63482.394366197172</v>
      </c>
    </row>
    <row r="64" spans="1:11" x14ac:dyDescent="0.25">
      <c r="A64" s="38">
        <f>Données!A61</f>
        <v>5495</v>
      </c>
      <c r="B64" s="131" t="str">
        <f>Données!B61</f>
        <v>Penthalaz</v>
      </c>
      <c r="C64" s="8">
        <f>Données!Z61</f>
        <v>3214</v>
      </c>
      <c r="D64" s="8">
        <f t="shared" si="1"/>
        <v>1000</v>
      </c>
      <c r="E64" s="162">
        <f t="shared" si="1"/>
        <v>2000</v>
      </c>
      <c r="F64" s="8">
        <f t="shared" si="1"/>
        <v>214</v>
      </c>
      <c r="G64" s="162">
        <f t="shared" si="1"/>
        <v>0</v>
      </c>
      <c r="H64" s="31">
        <f t="shared" si="1"/>
        <v>0</v>
      </c>
      <c r="I64" s="8">
        <f t="shared" si="1"/>
        <v>0</v>
      </c>
      <c r="J64" s="8">
        <f t="shared" si="2"/>
        <v>0</v>
      </c>
      <c r="K64" s="71">
        <f t="shared" si="3"/>
        <v>-977943.66197183076</v>
      </c>
    </row>
    <row r="65" spans="1:11" x14ac:dyDescent="0.25">
      <c r="A65" s="38">
        <f>Données!A62</f>
        <v>5496</v>
      </c>
      <c r="B65" s="131" t="str">
        <f>Données!B62</f>
        <v>Penthaz</v>
      </c>
      <c r="C65" s="8">
        <f>Données!Z62</f>
        <v>1923</v>
      </c>
      <c r="D65" s="8">
        <f t="shared" ref="D65:I107" si="4">IF($C65&gt;D$5,IF($C65&lt;D$6,$C65-D$5,D$6-D$5),0)</f>
        <v>1000</v>
      </c>
      <c r="E65" s="162">
        <f t="shared" si="4"/>
        <v>923</v>
      </c>
      <c r="F65" s="8">
        <f t="shared" si="4"/>
        <v>0</v>
      </c>
      <c r="G65" s="162">
        <f t="shared" si="4"/>
        <v>0</v>
      </c>
      <c r="H65" s="31">
        <f t="shared" si="4"/>
        <v>0</v>
      </c>
      <c r="I65" s="8">
        <f t="shared" si="4"/>
        <v>0</v>
      </c>
      <c r="J65" s="8">
        <f t="shared" si="2"/>
        <v>0</v>
      </c>
      <c r="K65" s="71">
        <f t="shared" si="3"/>
        <v>-470136.97183098586</v>
      </c>
    </row>
    <row r="66" spans="1:11" x14ac:dyDescent="0.25">
      <c r="A66" s="38">
        <f>Données!A63</f>
        <v>5497</v>
      </c>
      <c r="B66" s="131" t="str">
        <f>Données!B63</f>
        <v>Pompaples</v>
      </c>
      <c r="C66" s="8">
        <f>Données!Z63</f>
        <v>860</v>
      </c>
      <c r="D66" s="8">
        <f t="shared" si="4"/>
        <v>860</v>
      </c>
      <c r="E66" s="162">
        <f t="shared" si="4"/>
        <v>0</v>
      </c>
      <c r="F66" s="8">
        <f t="shared" si="4"/>
        <v>0</v>
      </c>
      <c r="G66" s="162">
        <f t="shared" si="4"/>
        <v>0</v>
      </c>
      <c r="H66" s="31">
        <f t="shared" si="4"/>
        <v>0</v>
      </c>
      <c r="I66" s="8">
        <f t="shared" si="4"/>
        <v>0</v>
      </c>
      <c r="J66" s="8">
        <f t="shared" si="2"/>
        <v>0</v>
      </c>
      <c r="K66" s="71">
        <f t="shared" si="3"/>
        <v>-112799.29577464786</v>
      </c>
    </row>
    <row r="67" spans="1:11" x14ac:dyDescent="0.25">
      <c r="A67" s="38">
        <f>Données!A64</f>
        <v>5498</v>
      </c>
      <c r="B67" s="131" t="str">
        <f>Données!B64</f>
        <v>La Sarraz</v>
      </c>
      <c r="C67" s="8">
        <f>Données!Z64</f>
        <v>2608</v>
      </c>
      <c r="D67" s="8">
        <f t="shared" si="4"/>
        <v>1000</v>
      </c>
      <c r="E67" s="162">
        <f t="shared" si="4"/>
        <v>1608</v>
      </c>
      <c r="F67" s="8">
        <f t="shared" si="4"/>
        <v>0</v>
      </c>
      <c r="G67" s="162">
        <f t="shared" si="4"/>
        <v>0</v>
      </c>
      <c r="H67" s="31">
        <f t="shared" si="4"/>
        <v>0</v>
      </c>
      <c r="I67" s="8">
        <f t="shared" si="4"/>
        <v>0</v>
      </c>
      <c r="J67" s="8">
        <f t="shared" si="2"/>
        <v>0</v>
      </c>
      <c r="K67" s="71">
        <f t="shared" si="3"/>
        <v>-721705.63380281674</v>
      </c>
    </row>
    <row r="68" spans="1:11" x14ac:dyDescent="0.25">
      <c r="A68" s="38">
        <f>Données!A65</f>
        <v>5499</v>
      </c>
      <c r="B68" s="131" t="str">
        <f>Données!B65</f>
        <v>Senarclens</v>
      </c>
      <c r="C68" s="8">
        <f>Données!Z65</f>
        <v>496</v>
      </c>
      <c r="D68" s="8">
        <f t="shared" si="4"/>
        <v>496</v>
      </c>
      <c r="E68" s="162">
        <f t="shared" si="4"/>
        <v>0</v>
      </c>
      <c r="F68" s="8">
        <f t="shared" si="4"/>
        <v>0</v>
      </c>
      <c r="G68" s="162">
        <f t="shared" si="4"/>
        <v>0</v>
      </c>
      <c r="H68" s="31">
        <f t="shared" si="4"/>
        <v>0</v>
      </c>
      <c r="I68" s="8">
        <f t="shared" si="4"/>
        <v>0</v>
      </c>
      <c r="J68" s="8">
        <f t="shared" si="2"/>
        <v>0</v>
      </c>
      <c r="K68" s="71">
        <f t="shared" si="3"/>
        <v>-65056.338028169004</v>
      </c>
    </row>
    <row r="69" spans="1:11" x14ac:dyDescent="0.25">
      <c r="A69" s="38">
        <f>Données!A66</f>
        <v>5501</v>
      </c>
      <c r="B69" s="131" t="str">
        <f>Données!B66</f>
        <v>Sullens</v>
      </c>
      <c r="C69" s="8">
        <f>Données!Z66</f>
        <v>1169</v>
      </c>
      <c r="D69" s="8">
        <f t="shared" si="4"/>
        <v>1000</v>
      </c>
      <c r="E69" s="162">
        <f t="shared" si="4"/>
        <v>169</v>
      </c>
      <c r="F69" s="8">
        <f t="shared" si="4"/>
        <v>0</v>
      </c>
      <c r="G69" s="162">
        <f t="shared" si="4"/>
        <v>0</v>
      </c>
      <c r="H69" s="31">
        <f t="shared" si="4"/>
        <v>0</v>
      </c>
      <c r="I69" s="8">
        <f t="shared" si="4"/>
        <v>0</v>
      </c>
      <c r="J69" s="8">
        <f t="shared" si="2"/>
        <v>0</v>
      </c>
      <c r="K69" s="71">
        <f t="shared" si="3"/>
        <v>-193227.81690140843</v>
      </c>
    </row>
    <row r="70" spans="1:11" x14ac:dyDescent="0.25">
      <c r="A70" s="38">
        <f>Données!A67</f>
        <v>5503</v>
      </c>
      <c r="B70" s="131" t="str">
        <f>Données!B67</f>
        <v>Vufflens-la-Ville</v>
      </c>
      <c r="C70" s="8">
        <f>Données!Z67</f>
        <v>1334</v>
      </c>
      <c r="D70" s="8">
        <f t="shared" si="4"/>
        <v>1000</v>
      </c>
      <c r="E70" s="162">
        <f t="shared" si="4"/>
        <v>334</v>
      </c>
      <c r="F70" s="8">
        <f t="shared" si="4"/>
        <v>0</v>
      </c>
      <c r="G70" s="162">
        <f t="shared" si="4"/>
        <v>0</v>
      </c>
      <c r="H70" s="31">
        <f t="shared" si="4"/>
        <v>0</v>
      </c>
      <c r="I70" s="8">
        <f t="shared" si="4"/>
        <v>0</v>
      </c>
      <c r="J70" s="8">
        <f t="shared" si="2"/>
        <v>0</v>
      </c>
      <c r="K70" s="71">
        <f t="shared" si="3"/>
        <v>-253824.6478873239</v>
      </c>
    </row>
    <row r="71" spans="1:11" x14ac:dyDescent="0.25">
      <c r="A71" s="38">
        <f>Données!A68</f>
        <v>5511</v>
      </c>
      <c r="B71" s="131" t="str">
        <f>Données!B68</f>
        <v>Assens</v>
      </c>
      <c r="C71" s="8">
        <f>Données!Z68</f>
        <v>1669</v>
      </c>
      <c r="D71" s="8">
        <f t="shared" si="4"/>
        <v>1000</v>
      </c>
      <c r="E71" s="162">
        <f t="shared" si="4"/>
        <v>669</v>
      </c>
      <c r="F71" s="8">
        <f t="shared" si="4"/>
        <v>0</v>
      </c>
      <c r="G71" s="162">
        <f t="shared" si="4"/>
        <v>0</v>
      </c>
      <c r="H71" s="31">
        <f t="shared" si="4"/>
        <v>0</v>
      </c>
      <c r="I71" s="8">
        <f t="shared" si="4"/>
        <v>0</v>
      </c>
      <c r="J71" s="8">
        <f t="shared" si="2"/>
        <v>0</v>
      </c>
      <c r="K71" s="71">
        <f t="shared" si="3"/>
        <v>-376854.57746478869</v>
      </c>
    </row>
    <row r="72" spans="1:11" x14ac:dyDescent="0.25">
      <c r="A72" s="38">
        <f>Données!A69</f>
        <v>5512</v>
      </c>
      <c r="B72" s="131" t="str">
        <f>Données!B69</f>
        <v>Bercher</v>
      </c>
      <c r="C72" s="8">
        <f>Données!Z69</f>
        <v>1359</v>
      </c>
      <c r="D72" s="8">
        <f t="shared" si="4"/>
        <v>1000</v>
      </c>
      <c r="E72" s="162">
        <f t="shared" si="4"/>
        <v>359</v>
      </c>
      <c r="F72" s="8">
        <f t="shared" si="4"/>
        <v>0</v>
      </c>
      <c r="G72" s="162">
        <f t="shared" si="4"/>
        <v>0</v>
      </c>
      <c r="H72" s="31">
        <f t="shared" si="4"/>
        <v>0</v>
      </c>
      <c r="I72" s="8">
        <f t="shared" si="4"/>
        <v>0</v>
      </c>
      <c r="J72" s="8">
        <f t="shared" si="2"/>
        <v>0</v>
      </c>
      <c r="K72" s="71">
        <f t="shared" si="3"/>
        <v>-263005.98591549287</v>
      </c>
    </row>
    <row r="73" spans="1:11" x14ac:dyDescent="0.25">
      <c r="A73" s="38">
        <f>Données!A70</f>
        <v>5514</v>
      </c>
      <c r="B73" s="131" t="str">
        <f>Données!B70</f>
        <v>Bottens</v>
      </c>
      <c r="C73" s="8">
        <f>Données!Z70</f>
        <v>1356</v>
      </c>
      <c r="D73" s="8">
        <f t="shared" si="4"/>
        <v>1000</v>
      </c>
      <c r="E73" s="162">
        <f t="shared" si="4"/>
        <v>356</v>
      </c>
      <c r="F73" s="8">
        <f t="shared" si="4"/>
        <v>0</v>
      </c>
      <c r="G73" s="162">
        <f t="shared" si="4"/>
        <v>0</v>
      </c>
      <c r="H73" s="31">
        <f t="shared" si="4"/>
        <v>0</v>
      </c>
      <c r="I73" s="8">
        <f t="shared" si="4"/>
        <v>0</v>
      </c>
      <c r="J73" s="8">
        <f t="shared" si="2"/>
        <v>0</v>
      </c>
      <c r="K73" s="71">
        <f t="shared" si="3"/>
        <v>-261904.22535211261</v>
      </c>
    </row>
    <row r="74" spans="1:11" x14ac:dyDescent="0.25">
      <c r="A74" s="38">
        <f>Données!A71</f>
        <v>5515</v>
      </c>
      <c r="B74" s="131" t="str">
        <f>Données!B71</f>
        <v>Bretigny-sur-Morrens</v>
      </c>
      <c r="C74" s="8">
        <f>Données!Z71</f>
        <v>878</v>
      </c>
      <c r="D74" s="8">
        <f t="shared" si="4"/>
        <v>878</v>
      </c>
      <c r="E74" s="162">
        <f t="shared" si="4"/>
        <v>0</v>
      </c>
      <c r="F74" s="8">
        <f t="shared" si="4"/>
        <v>0</v>
      </c>
      <c r="G74" s="162">
        <f t="shared" si="4"/>
        <v>0</v>
      </c>
      <c r="H74" s="31">
        <f t="shared" si="4"/>
        <v>0</v>
      </c>
      <c r="I74" s="8">
        <f t="shared" si="4"/>
        <v>0</v>
      </c>
      <c r="J74" s="8">
        <f t="shared" ref="J74:J137" si="5">IF(C74&gt;$J$5,C74-$J$5,0)</f>
        <v>0</v>
      </c>
      <c r="K74" s="71">
        <f t="shared" ref="K74:K137" si="6">-((D74*D$8)+(E74*E$8)+(F74*F$8)+(G74*G$8)+(H74*H$8)+(I74*I$8)+(J74*J$8))</f>
        <v>-115160.21126760561</v>
      </c>
    </row>
    <row r="75" spans="1:11" x14ac:dyDescent="0.25">
      <c r="A75" s="38">
        <f>Données!A72</f>
        <v>5516</v>
      </c>
      <c r="B75" s="131" t="str">
        <f>Données!B72</f>
        <v>Cugy</v>
      </c>
      <c r="C75" s="8">
        <f>Données!Z72</f>
        <v>2697</v>
      </c>
      <c r="D75" s="8">
        <f t="shared" si="4"/>
        <v>1000</v>
      </c>
      <c r="E75" s="162">
        <f t="shared" si="4"/>
        <v>1697</v>
      </c>
      <c r="F75" s="8">
        <f t="shared" si="4"/>
        <v>0</v>
      </c>
      <c r="G75" s="162">
        <f t="shared" si="4"/>
        <v>0</v>
      </c>
      <c r="H75" s="31">
        <f t="shared" si="4"/>
        <v>0</v>
      </c>
      <c r="I75" s="8">
        <f t="shared" si="4"/>
        <v>0</v>
      </c>
      <c r="J75" s="8">
        <f t="shared" si="5"/>
        <v>0</v>
      </c>
      <c r="K75" s="71">
        <f t="shared" si="6"/>
        <v>-754391.19718309841</v>
      </c>
    </row>
    <row r="76" spans="1:11" x14ac:dyDescent="0.25">
      <c r="A76" s="38">
        <f>Données!A73</f>
        <v>5518</v>
      </c>
      <c r="B76" s="131" t="str">
        <f>Données!B73</f>
        <v>Echallens</v>
      </c>
      <c r="C76" s="8">
        <f>Données!Z73</f>
        <v>5816</v>
      </c>
      <c r="D76" s="8">
        <f t="shared" si="4"/>
        <v>1000</v>
      </c>
      <c r="E76" s="162">
        <f t="shared" si="4"/>
        <v>2000</v>
      </c>
      <c r="F76" s="8">
        <f t="shared" si="4"/>
        <v>2000</v>
      </c>
      <c r="G76" s="162">
        <f t="shared" si="4"/>
        <v>816</v>
      </c>
      <c r="H76" s="31">
        <f t="shared" si="4"/>
        <v>0</v>
      </c>
      <c r="I76" s="8">
        <f t="shared" si="4"/>
        <v>0</v>
      </c>
      <c r="J76" s="8">
        <f t="shared" si="5"/>
        <v>0</v>
      </c>
      <c r="K76" s="71">
        <f t="shared" si="6"/>
        <v>-2428699.9999999995</v>
      </c>
    </row>
    <row r="77" spans="1:11" x14ac:dyDescent="0.25">
      <c r="A77" s="38">
        <f>Données!A74</f>
        <v>5520</v>
      </c>
      <c r="B77" s="131" t="str">
        <f>Données!B74</f>
        <v>Essertines-sur-Yverdon</v>
      </c>
      <c r="C77" s="8">
        <f>Données!Z74</f>
        <v>1081</v>
      </c>
      <c r="D77" s="8">
        <f t="shared" si="4"/>
        <v>1000</v>
      </c>
      <c r="E77" s="162">
        <f t="shared" si="4"/>
        <v>81</v>
      </c>
      <c r="F77" s="8">
        <f t="shared" si="4"/>
        <v>0</v>
      </c>
      <c r="G77" s="162">
        <f t="shared" si="4"/>
        <v>0</v>
      </c>
      <c r="H77" s="31">
        <f t="shared" si="4"/>
        <v>0</v>
      </c>
      <c r="I77" s="8">
        <f t="shared" si="4"/>
        <v>0</v>
      </c>
      <c r="J77" s="8">
        <f t="shared" si="5"/>
        <v>0</v>
      </c>
      <c r="K77" s="71">
        <f t="shared" si="6"/>
        <v>-160909.50704225348</v>
      </c>
    </row>
    <row r="78" spans="1:11" x14ac:dyDescent="0.25">
      <c r="A78" s="38">
        <f>Données!A75</f>
        <v>5521</v>
      </c>
      <c r="B78" s="131" t="str">
        <f>Données!B75</f>
        <v>Etagnières</v>
      </c>
      <c r="C78" s="8">
        <f>Données!Z75</f>
        <v>1154</v>
      </c>
      <c r="D78" s="8">
        <f t="shared" si="4"/>
        <v>1000</v>
      </c>
      <c r="E78" s="162">
        <f t="shared" si="4"/>
        <v>154</v>
      </c>
      <c r="F78" s="8">
        <f t="shared" si="4"/>
        <v>0</v>
      </c>
      <c r="G78" s="162">
        <f t="shared" si="4"/>
        <v>0</v>
      </c>
      <c r="H78" s="31">
        <f t="shared" si="4"/>
        <v>0</v>
      </c>
      <c r="I78" s="8">
        <f t="shared" si="4"/>
        <v>0</v>
      </c>
      <c r="J78" s="8">
        <f t="shared" si="5"/>
        <v>0</v>
      </c>
      <c r="K78" s="71">
        <f t="shared" si="6"/>
        <v>-187719.01408450701</v>
      </c>
    </row>
    <row r="79" spans="1:11" x14ac:dyDescent="0.25">
      <c r="A79" s="38">
        <f>Données!A76</f>
        <v>5522</v>
      </c>
      <c r="B79" s="131" t="str">
        <f>Données!B76</f>
        <v>Fey</v>
      </c>
      <c r="C79" s="8">
        <f>Données!Z76</f>
        <v>736</v>
      </c>
      <c r="D79" s="8">
        <f t="shared" si="4"/>
        <v>736</v>
      </c>
      <c r="E79" s="162">
        <f t="shared" si="4"/>
        <v>0</v>
      </c>
      <c r="F79" s="8">
        <f t="shared" si="4"/>
        <v>0</v>
      </c>
      <c r="G79" s="162">
        <f t="shared" si="4"/>
        <v>0</v>
      </c>
      <c r="H79" s="31">
        <f t="shared" si="4"/>
        <v>0</v>
      </c>
      <c r="I79" s="8">
        <f t="shared" si="4"/>
        <v>0</v>
      </c>
      <c r="J79" s="8">
        <f t="shared" si="5"/>
        <v>0</v>
      </c>
      <c r="K79" s="71">
        <f t="shared" si="6"/>
        <v>-96535.211267605613</v>
      </c>
    </row>
    <row r="80" spans="1:11" x14ac:dyDescent="0.25">
      <c r="A80" s="38">
        <f>Données!A77</f>
        <v>5523</v>
      </c>
      <c r="B80" s="131" t="str">
        <f>Données!B77</f>
        <v>Froideville</v>
      </c>
      <c r="C80" s="8">
        <f>Données!Z77</f>
        <v>2720</v>
      </c>
      <c r="D80" s="8">
        <f t="shared" si="4"/>
        <v>1000</v>
      </c>
      <c r="E80" s="162">
        <f t="shared" si="4"/>
        <v>1720</v>
      </c>
      <c r="F80" s="8">
        <f t="shared" si="4"/>
        <v>0</v>
      </c>
      <c r="G80" s="162">
        <f t="shared" si="4"/>
        <v>0</v>
      </c>
      <c r="H80" s="31">
        <f t="shared" si="4"/>
        <v>0</v>
      </c>
      <c r="I80" s="8">
        <f t="shared" si="4"/>
        <v>0</v>
      </c>
      <c r="J80" s="8">
        <f t="shared" si="5"/>
        <v>0</v>
      </c>
      <c r="K80" s="71">
        <f t="shared" si="6"/>
        <v>-762838.02816901391</v>
      </c>
    </row>
    <row r="81" spans="1:11" x14ac:dyDescent="0.25">
      <c r="A81" s="38">
        <f>Données!A78</f>
        <v>5527</v>
      </c>
      <c r="B81" s="131" t="str">
        <f>Données!B78</f>
        <v>Morrens</v>
      </c>
      <c r="C81" s="8">
        <f>Données!Z78</f>
        <v>1172</v>
      </c>
      <c r="D81" s="8">
        <f t="shared" si="4"/>
        <v>1000</v>
      </c>
      <c r="E81" s="162">
        <f t="shared" si="4"/>
        <v>172</v>
      </c>
      <c r="F81" s="8">
        <f t="shared" si="4"/>
        <v>0</v>
      </c>
      <c r="G81" s="162">
        <f t="shared" si="4"/>
        <v>0</v>
      </c>
      <c r="H81" s="31">
        <f t="shared" si="4"/>
        <v>0</v>
      </c>
      <c r="I81" s="8">
        <f t="shared" si="4"/>
        <v>0</v>
      </c>
      <c r="J81" s="8">
        <f t="shared" si="5"/>
        <v>0</v>
      </c>
      <c r="K81" s="71">
        <f t="shared" si="6"/>
        <v>-194329.57746478869</v>
      </c>
    </row>
    <row r="82" spans="1:11" x14ac:dyDescent="0.25">
      <c r="A82" s="38">
        <f>Données!A79</f>
        <v>5529</v>
      </c>
      <c r="B82" s="131" t="str">
        <f>Données!B79</f>
        <v>Oulens-sous-Echallens</v>
      </c>
      <c r="C82" s="8">
        <f>Données!Z79</f>
        <v>606</v>
      </c>
      <c r="D82" s="8">
        <f t="shared" si="4"/>
        <v>606</v>
      </c>
      <c r="E82" s="162">
        <f t="shared" si="4"/>
        <v>0</v>
      </c>
      <c r="F82" s="8">
        <f t="shared" si="4"/>
        <v>0</v>
      </c>
      <c r="G82" s="162">
        <f t="shared" si="4"/>
        <v>0</v>
      </c>
      <c r="H82" s="31">
        <f t="shared" si="4"/>
        <v>0</v>
      </c>
      <c r="I82" s="8">
        <f t="shared" si="4"/>
        <v>0</v>
      </c>
      <c r="J82" s="8">
        <f t="shared" si="5"/>
        <v>0</v>
      </c>
      <c r="K82" s="71">
        <f t="shared" si="6"/>
        <v>-79484.154929577446</v>
      </c>
    </row>
    <row r="83" spans="1:11" x14ac:dyDescent="0.25">
      <c r="A83" s="38">
        <f>Données!A80</f>
        <v>5530</v>
      </c>
      <c r="B83" s="131" t="str">
        <f>Données!B80</f>
        <v>Pailly</v>
      </c>
      <c r="C83" s="8">
        <f>Données!Z80</f>
        <v>566</v>
      </c>
      <c r="D83" s="8">
        <f t="shared" si="4"/>
        <v>566</v>
      </c>
      <c r="E83" s="162">
        <f t="shared" si="4"/>
        <v>0</v>
      </c>
      <c r="F83" s="8">
        <f t="shared" si="4"/>
        <v>0</v>
      </c>
      <c r="G83" s="162">
        <f t="shared" si="4"/>
        <v>0</v>
      </c>
      <c r="H83" s="31">
        <f t="shared" si="4"/>
        <v>0</v>
      </c>
      <c r="I83" s="8">
        <f t="shared" si="4"/>
        <v>0</v>
      </c>
      <c r="J83" s="8">
        <f t="shared" si="5"/>
        <v>0</v>
      </c>
      <c r="K83" s="71">
        <f t="shared" si="6"/>
        <v>-74237.676056338008</v>
      </c>
    </row>
    <row r="84" spans="1:11" x14ac:dyDescent="0.25">
      <c r="A84" s="38">
        <f>Données!A81</f>
        <v>5531</v>
      </c>
      <c r="B84" s="131" t="str">
        <f>Données!B81</f>
        <v>Penthéréaz</v>
      </c>
      <c r="C84" s="8">
        <f>Données!Z81</f>
        <v>433</v>
      </c>
      <c r="D84" s="8">
        <f t="shared" si="4"/>
        <v>433</v>
      </c>
      <c r="E84" s="162">
        <f t="shared" si="4"/>
        <v>0</v>
      </c>
      <c r="F84" s="8">
        <f t="shared" si="4"/>
        <v>0</v>
      </c>
      <c r="G84" s="162">
        <f t="shared" si="4"/>
        <v>0</v>
      </c>
      <c r="H84" s="31">
        <f t="shared" si="4"/>
        <v>0</v>
      </c>
      <c r="I84" s="8">
        <f t="shared" si="4"/>
        <v>0</v>
      </c>
      <c r="J84" s="8">
        <f t="shared" si="5"/>
        <v>0</v>
      </c>
      <c r="K84" s="71">
        <f t="shared" si="6"/>
        <v>-56793.13380281689</v>
      </c>
    </row>
    <row r="85" spans="1:11" x14ac:dyDescent="0.25">
      <c r="A85" s="38">
        <f>Données!A82</f>
        <v>5533</v>
      </c>
      <c r="B85" s="131" t="str">
        <f>Données!B82</f>
        <v>Poliez-Pittet</v>
      </c>
      <c r="C85" s="8">
        <f>Données!Z82</f>
        <v>848</v>
      </c>
      <c r="D85" s="8">
        <f t="shared" si="4"/>
        <v>848</v>
      </c>
      <c r="E85" s="162">
        <f t="shared" si="4"/>
        <v>0</v>
      </c>
      <c r="F85" s="8">
        <f t="shared" si="4"/>
        <v>0</v>
      </c>
      <c r="G85" s="162">
        <f t="shared" si="4"/>
        <v>0</v>
      </c>
      <c r="H85" s="31">
        <f t="shared" si="4"/>
        <v>0</v>
      </c>
      <c r="I85" s="8">
        <f t="shared" si="4"/>
        <v>0</v>
      </c>
      <c r="J85" s="8">
        <f t="shared" si="5"/>
        <v>0</v>
      </c>
      <c r="K85" s="71">
        <f t="shared" si="6"/>
        <v>-111225.35211267603</v>
      </c>
    </row>
    <row r="86" spans="1:11" x14ac:dyDescent="0.25">
      <c r="A86" s="38">
        <f>Données!A83</f>
        <v>5534</v>
      </c>
      <c r="B86" s="131" t="str">
        <f>Données!B83</f>
        <v>Rueyres</v>
      </c>
      <c r="C86" s="8">
        <f>Données!Z83</f>
        <v>303</v>
      </c>
      <c r="D86" s="8">
        <f t="shared" si="4"/>
        <v>303</v>
      </c>
      <c r="E86" s="162">
        <f t="shared" si="4"/>
        <v>0</v>
      </c>
      <c r="F86" s="8">
        <f t="shared" si="4"/>
        <v>0</v>
      </c>
      <c r="G86" s="162">
        <f t="shared" si="4"/>
        <v>0</v>
      </c>
      <c r="H86" s="31">
        <f t="shared" si="4"/>
        <v>0</v>
      </c>
      <c r="I86" s="8">
        <f t="shared" si="4"/>
        <v>0</v>
      </c>
      <c r="J86" s="8">
        <f t="shared" si="5"/>
        <v>0</v>
      </c>
      <c r="K86" s="71">
        <f t="shared" si="6"/>
        <v>-39742.077464788723</v>
      </c>
    </row>
    <row r="87" spans="1:11" x14ac:dyDescent="0.25">
      <c r="A87" s="38">
        <f>Données!A84</f>
        <v>5535</v>
      </c>
      <c r="B87" s="131" t="str">
        <f>Données!B84</f>
        <v>Saint-Barthélemy</v>
      </c>
      <c r="C87" s="8">
        <f>Données!Z84</f>
        <v>814</v>
      </c>
      <c r="D87" s="8">
        <f t="shared" si="4"/>
        <v>814</v>
      </c>
      <c r="E87" s="162">
        <f t="shared" si="4"/>
        <v>0</v>
      </c>
      <c r="F87" s="8">
        <f t="shared" si="4"/>
        <v>0</v>
      </c>
      <c r="G87" s="162">
        <f t="shared" si="4"/>
        <v>0</v>
      </c>
      <c r="H87" s="31">
        <f t="shared" si="4"/>
        <v>0</v>
      </c>
      <c r="I87" s="8">
        <f t="shared" si="4"/>
        <v>0</v>
      </c>
      <c r="J87" s="8">
        <f t="shared" si="5"/>
        <v>0</v>
      </c>
      <c r="K87" s="71">
        <f t="shared" si="6"/>
        <v>-106765.84507042251</v>
      </c>
    </row>
    <row r="88" spans="1:11" x14ac:dyDescent="0.25">
      <c r="A88" s="38">
        <f>Données!A85</f>
        <v>5537</v>
      </c>
      <c r="B88" s="131" t="str">
        <f>Données!B85</f>
        <v>Villars-le-Terroir</v>
      </c>
      <c r="C88" s="8">
        <f>Données!Z85</f>
        <v>1308</v>
      </c>
      <c r="D88" s="8">
        <f t="shared" si="4"/>
        <v>1000</v>
      </c>
      <c r="E88" s="162">
        <f t="shared" si="4"/>
        <v>308</v>
      </c>
      <c r="F88" s="8">
        <f t="shared" si="4"/>
        <v>0</v>
      </c>
      <c r="G88" s="162">
        <f t="shared" si="4"/>
        <v>0</v>
      </c>
      <c r="H88" s="31">
        <f t="shared" si="4"/>
        <v>0</v>
      </c>
      <c r="I88" s="8">
        <f t="shared" si="4"/>
        <v>0</v>
      </c>
      <c r="J88" s="8">
        <f t="shared" si="5"/>
        <v>0</v>
      </c>
      <c r="K88" s="71">
        <f t="shared" si="6"/>
        <v>-244276.05633802811</v>
      </c>
    </row>
    <row r="89" spans="1:11" x14ac:dyDescent="0.25">
      <c r="A89" s="38">
        <f>Données!A86</f>
        <v>5539</v>
      </c>
      <c r="B89" s="131" t="str">
        <f>Données!B86</f>
        <v>Vuarrens</v>
      </c>
      <c r="C89" s="8">
        <f>Données!Z86</f>
        <v>1106</v>
      </c>
      <c r="D89" s="8">
        <f t="shared" si="4"/>
        <v>1000</v>
      </c>
      <c r="E89" s="162">
        <f t="shared" si="4"/>
        <v>106</v>
      </c>
      <c r="F89" s="8">
        <f t="shared" si="4"/>
        <v>0</v>
      </c>
      <c r="G89" s="162">
        <f t="shared" si="4"/>
        <v>0</v>
      </c>
      <c r="H89" s="31">
        <f t="shared" si="4"/>
        <v>0</v>
      </c>
      <c r="I89" s="8">
        <f t="shared" si="4"/>
        <v>0</v>
      </c>
      <c r="J89" s="8">
        <f t="shared" si="5"/>
        <v>0</v>
      </c>
      <c r="K89" s="71">
        <f t="shared" si="6"/>
        <v>-170090.84507042251</v>
      </c>
    </row>
    <row r="90" spans="1:11" x14ac:dyDescent="0.25">
      <c r="A90" s="38">
        <f>Données!A87</f>
        <v>5540</v>
      </c>
      <c r="B90" s="131" t="str">
        <f>Données!B87</f>
        <v>Montilliez</v>
      </c>
      <c r="C90" s="8">
        <f>Données!Z87</f>
        <v>1895</v>
      </c>
      <c r="D90" s="8">
        <f t="shared" si="4"/>
        <v>1000</v>
      </c>
      <c r="E90" s="162">
        <f t="shared" si="4"/>
        <v>895</v>
      </c>
      <c r="F90" s="8">
        <f t="shared" si="4"/>
        <v>0</v>
      </c>
      <c r="G90" s="162">
        <f t="shared" si="4"/>
        <v>0</v>
      </c>
      <c r="H90" s="31">
        <f t="shared" si="4"/>
        <v>0</v>
      </c>
      <c r="I90" s="8">
        <f t="shared" si="4"/>
        <v>0</v>
      </c>
      <c r="J90" s="8">
        <f t="shared" si="5"/>
        <v>0</v>
      </c>
      <c r="K90" s="71">
        <f t="shared" si="6"/>
        <v>-459853.87323943654</v>
      </c>
    </row>
    <row r="91" spans="1:11" x14ac:dyDescent="0.25">
      <c r="A91" s="38">
        <f>Données!A88</f>
        <v>5541</v>
      </c>
      <c r="B91" s="131" t="str">
        <f>Données!B88</f>
        <v>Goumoëns</v>
      </c>
      <c r="C91" s="8">
        <f>Données!Z88</f>
        <v>1175</v>
      </c>
      <c r="D91" s="8">
        <f t="shared" si="4"/>
        <v>1000</v>
      </c>
      <c r="E91" s="162">
        <f t="shared" si="4"/>
        <v>175</v>
      </c>
      <c r="F91" s="8">
        <f t="shared" si="4"/>
        <v>0</v>
      </c>
      <c r="G91" s="162">
        <f t="shared" si="4"/>
        <v>0</v>
      </c>
      <c r="H91" s="31">
        <f t="shared" si="4"/>
        <v>0</v>
      </c>
      <c r="I91" s="8">
        <f t="shared" si="4"/>
        <v>0</v>
      </c>
      <c r="J91" s="8">
        <f t="shared" si="5"/>
        <v>0</v>
      </c>
      <c r="K91" s="71">
        <f t="shared" si="6"/>
        <v>-195431.33802816898</v>
      </c>
    </row>
    <row r="92" spans="1:11" x14ac:dyDescent="0.25">
      <c r="A92" s="38">
        <f>Données!A89</f>
        <v>5551</v>
      </c>
      <c r="B92" s="131" t="str">
        <f>Données!B89</f>
        <v>Bonvillars</v>
      </c>
      <c r="C92" s="8">
        <f>Données!Z89</f>
        <v>501</v>
      </c>
      <c r="D92" s="8">
        <f t="shared" si="4"/>
        <v>501</v>
      </c>
      <c r="E92" s="162">
        <f t="shared" si="4"/>
        <v>0</v>
      </c>
      <c r="F92" s="8">
        <f t="shared" si="4"/>
        <v>0</v>
      </c>
      <c r="G92" s="162">
        <f t="shared" si="4"/>
        <v>0</v>
      </c>
      <c r="H92" s="31">
        <f t="shared" si="4"/>
        <v>0</v>
      </c>
      <c r="I92" s="8">
        <f t="shared" si="4"/>
        <v>0</v>
      </c>
      <c r="J92" s="8">
        <f t="shared" si="5"/>
        <v>0</v>
      </c>
      <c r="K92" s="71">
        <f t="shared" si="6"/>
        <v>-65712.147887323925</v>
      </c>
    </row>
    <row r="93" spans="1:11" x14ac:dyDescent="0.25">
      <c r="A93" s="38">
        <f>Données!A90</f>
        <v>5552</v>
      </c>
      <c r="B93" s="131" t="str">
        <f>Données!B90</f>
        <v>Bullet</v>
      </c>
      <c r="C93" s="8">
        <f>Données!Z90</f>
        <v>651</v>
      </c>
      <c r="D93" s="8">
        <f t="shared" si="4"/>
        <v>651</v>
      </c>
      <c r="E93" s="162">
        <f t="shared" si="4"/>
        <v>0</v>
      </c>
      <c r="F93" s="8">
        <f t="shared" si="4"/>
        <v>0</v>
      </c>
      <c r="G93" s="162">
        <f t="shared" si="4"/>
        <v>0</v>
      </c>
      <c r="H93" s="31">
        <f t="shared" si="4"/>
        <v>0</v>
      </c>
      <c r="I93" s="8">
        <f t="shared" si="4"/>
        <v>0</v>
      </c>
      <c r="J93" s="8">
        <f t="shared" si="5"/>
        <v>0</v>
      </c>
      <c r="K93" s="71">
        <f t="shared" si="6"/>
        <v>-85386.443661971818</v>
      </c>
    </row>
    <row r="94" spans="1:11" x14ac:dyDescent="0.25">
      <c r="A94" s="38">
        <f>Données!A91</f>
        <v>5553</v>
      </c>
      <c r="B94" s="131" t="str">
        <f>Données!B91</f>
        <v>Champagne</v>
      </c>
      <c r="C94" s="8">
        <f>Données!Z91</f>
        <v>1077</v>
      </c>
      <c r="D94" s="8">
        <f t="shared" si="4"/>
        <v>1000</v>
      </c>
      <c r="E94" s="162">
        <f t="shared" si="4"/>
        <v>77</v>
      </c>
      <c r="F94" s="8">
        <f t="shared" si="4"/>
        <v>0</v>
      </c>
      <c r="G94" s="162">
        <f t="shared" si="4"/>
        <v>0</v>
      </c>
      <c r="H94" s="31">
        <f t="shared" si="4"/>
        <v>0</v>
      </c>
      <c r="I94" s="8">
        <f t="shared" si="4"/>
        <v>0</v>
      </c>
      <c r="J94" s="8">
        <f t="shared" si="5"/>
        <v>0</v>
      </c>
      <c r="K94" s="71">
        <f t="shared" si="6"/>
        <v>-159440.49295774644</v>
      </c>
    </row>
    <row r="95" spans="1:11" x14ac:dyDescent="0.25">
      <c r="A95" s="38">
        <f>Données!A92</f>
        <v>5554</v>
      </c>
      <c r="B95" s="131" t="str">
        <f>Données!B92</f>
        <v>Concise</v>
      </c>
      <c r="C95" s="8">
        <f>Données!Z92</f>
        <v>1002</v>
      </c>
      <c r="D95" s="8">
        <f t="shared" si="4"/>
        <v>1000</v>
      </c>
      <c r="E95" s="162">
        <f t="shared" si="4"/>
        <v>2</v>
      </c>
      <c r="F95" s="8">
        <f t="shared" si="4"/>
        <v>0</v>
      </c>
      <c r="G95" s="162">
        <f t="shared" si="4"/>
        <v>0</v>
      </c>
      <c r="H95" s="31">
        <f t="shared" si="4"/>
        <v>0</v>
      </c>
      <c r="I95" s="8">
        <f t="shared" si="4"/>
        <v>0</v>
      </c>
      <c r="J95" s="8">
        <f t="shared" si="5"/>
        <v>0</v>
      </c>
      <c r="K95" s="71">
        <f t="shared" si="6"/>
        <v>-131896.47887323942</v>
      </c>
    </row>
    <row r="96" spans="1:11" x14ac:dyDescent="0.25">
      <c r="A96" s="38">
        <f>Données!A93</f>
        <v>5555</v>
      </c>
      <c r="B96" s="131" t="str">
        <f>Données!B93</f>
        <v>Corcelles-près-Concise</v>
      </c>
      <c r="C96" s="8">
        <f>Données!Z93</f>
        <v>412</v>
      </c>
      <c r="D96" s="8">
        <f t="shared" si="4"/>
        <v>412</v>
      </c>
      <c r="E96" s="162">
        <f t="shared" si="4"/>
        <v>0</v>
      </c>
      <c r="F96" s="8">
        <f t="shared" si="4"/>
        <v>0</v>
      </c>
      <c r="G96" s="162">
        <f t="shared" si="4"/>
        <v>0</v>
      </c>
      <c r="H96" s="31">
        <f t="shared" si="4"/>
        <v>0</v>
      </c>
      <c r="I96" s="8">
        <f t="shared" si="4"/>
        <v>0</v>
      </c>
      <c r="J96" s="8">
        <f t="shared" si="5"/>
        <v>0</v>
      </c>
      <c r="K96" s="71">
        <f t="shared" si="6"/>
        <v>-54038.73239436619</v>
      </c>
    </row>
    <row r="97" spans="1:11" x14ac:dyDescent="0.25">
      <c r="A97" s="38">
        <f>Données!A94</f>
        <v>5556</v>
      </c>
      <c r="B97" s="131" t="str">
        <f>Données!B94</f>
        <v>Fiez</v>
      </c>
      <c r="C97" s="8">
        <f>Données!Z94</f>
        <v>436</v>
      </c>
      <c r="D97" s="8">
        <f t="shared" si="4"/>
        <v>436</v>
      </c>
      <c r="E97" s="162">
        <f t="shared" si="4"/>
        <v>0</v>
      </c>
      <c r="F97" s="8">
        <f t="shared" si="4"/>
        <v>0</v>
      </c>
      <c r="G97" s="162">
        <f t="shared" si="4"/>
        <v>0</v>
      </c>
      <c r="H97" s="31">
        <f t="shared" si="4"/>
        <v>0</v>
      </c>
      <c r="I97" s="8">
        <f t="shared" si="4"/>
        <v>0</v>
      </c>
      <c r="J97" s="8">
        <f t="shared" si="5"/>
        <v>0</v>
      </c>
      <c r="K97" s="71">
        <f t="shared" si="6"/>
        <v>-57186.619718309848</v>
      </c>
    </row>
    <row r="98" spans="1:11" x14ac:dyDescent="0.25">
      <c r="A98" s="38">
        <f>Données!A95</f>
        <v>5557</v>
      </c>
      <c r="B98" s="131" t="str">
        <f>Données!B95</f>
        <v>Fontaines-sur-Grandson</v>
      </c>
      <c r="C98" s="8">
        <f>Données!Z95</f>
        <v>214</v>
      </c>
      <c r="D98" s="8">
        <f t="shared" si="4"/>
        <v>214</v>
      </c>
      <c r="E98" s="162">
        <f t="shared" si="4"/>
        <v>0</v>
      </c>
      <c r="F98" s="8">
        <f t="shared" si="4"/>
        <v>0</v>
      </c>
      <c r="G98" s="162">
        <f t="shared" si="4"/>
        <v>0</v>
      </c>
      <c r="H98" s="31">
        <f t="shared" si="4"/>
        <v>0</v>
      </c>
      <c r="I98" s="8">
        <f t="shared" si="4"/>
        <v>0</v>
      </c>
      <c r="J98" s="8">
        <f t="shared" si="5"/>
        <v>0</v>
      </c>
      <c r="K98" s="71">
        <f t="shared" si="6"/>
        <v>-28068.661971830981</v>
      </c>
    </row>
    <row r="99" spans="1:11" x14ac:dyDescent="0.25">
      <c r="A99" s="38">
        <f>Données!A96</f>
        <v>5559</v>
      </c>
      <c r="B99" s="131" t="str">
        <f>Données!B96</f>
        <v>Giez</v>
      </c>
      <c r="C99" s="8">
        <f>Données!Z96</f>
        <v>450</v>
      </c>
      <c r="D99" s="8">
        <f t="shared" si="4"/>
        <v>450</v>
      </c>
      <c r="E99" s="162">
        <f t="shared" si="4"/>
        <v>0</v>
      </c>
      <c r="F99" s="8">
        <f t="shared" si="4"/>
        <v>0</v>
      </c>
      <c r="G99" s="162">
        <f t="shared" si="4"/>
        <v>0</v>
      </c>
      <c r="H99" s="31">
        <f t="shared" si="4"/>
        <v>0</v>
      </c>
      <c r="I99" s="8">
        <f t="shared" si="4"/>
        <v>0</v>
      </c>
      <c r="J99" s="8">
        <f t="shared" si="5"/>
        <v>0</v>
      </c>
      <c r="K99" s="71">
        <f t="shared" si="6"/>
        <v>-59022.887323943651</v>
      </c>
    </row>
    <row r="100" spans="1:11" x14ac:dyDescent="0.25">
      <c r="A100" s="38">
        <f>Données!A97</f>
        <v>5560</v>
      </c>
      <c r="B100" s="131" t="str">
        <f>Données!B97</f>
        <v>Grandevent</v>
      </c>
      <c r="C100" s="8">
        <f>Données!Z97</f>
        <v>237</v>
      </c>
      <c r="D100" s="8">
        <f t="shared" si="4"/>
        <v>237</v>
      </c>
      <c r="E100" s="162">
        <f t="shared" si="4"/>
        <v>0</v>
      </c>
      <c r="F100" s="8">
        <f t="shared" si="4"/>
        <v>0</v>
      </c>
      <c r="G100" s="162">
        <f t="shared" si="4"/>
        <v>0</v>
      </c>
      <c r="H100" s="31">
        <f t="shared" si="4"/>
        <v>0</v>
      </c>
      <c r="I100" s="8">
        <f t="shared" si="4"/>
        <v>0</v>
      </c>
      <c r="J100" s="8">
        <f t="shared" si="5"/>
        <v>0</v>
      </c>
      <c r="K100" s="71">
        <f t="shared" si="6"/>
        <v>-31085.387323943658</v>
      </c>
    </row>
    <row r="101" spans="1:11" x14ac:dyDescent="0.25">
      <c r="A101" s="38">
        <f>Données!A98</f>
        <v>5561</v>
      </c>
      <c r="B101" s="131" t="str">
        <f>Données!B98</f>
        <v>Grandson</v>
      </c>
      <c r="C101" s="8">
        <f>Données!Z98</f>
        <v>3358</v>
      </c>
      <c r="D101" s="8">
        <f t="shared" si="4"/>
        <v>1000</v>
      </c>
      <c r="E101" s="162">
        <f t="shared" si="4"/>
        <v>2000</v>
      </c>
      <c r="F101" s="8">
        <f t="shared" si="4"/>
        <v>358</v>
      </c>
      <c r="G101" s="162">
        <f t="shared" si="4"/>
        <v>0</v>
      </c>
      <c r="H101" s="31">
        <f t="shared" si="4"/>
        <v>0</v>
      </c>
      <c r="I101" s="8">
        <f t="shared" si="4"/>
        <v>0</v>
      </c>
      <c r="J101" s="8">
        <f t="shared" si="5"/>
        <v>0</v>
      </c>
      <c r="K101" s="71">
        <f t="shared" si="6"/>
        <v>-1053492.9577464787</v>
      </c>
    </row>
    <row r="102" spans="1:11" x14ac:dyDescent="0.25">
      <c r="A102" s="38">
        <f>Données!A99</f>
        <v>5562</v>
      </c>
      <c r="B102" s="131" t="str">
        <f>Données!B99</f>
        <v>Mauborget</v>
      </c>
      <c r="C102" s="8">
        <f>Données!Z99</f>
        <v>138</v>
      </c>
      <c r="D102" s="8">
        <f t="shared" si="4"/>
        <v>138</v>
      </c>
      <c r="E102" s="162">
        <f t="shared" si="4"/>
        <v>0</v>
      </c>
      <c r="F102" s="8">
        <f t="shared" si="4"/>
        <v>0</v>
      </c>
      <c r="G102" s="162">
        <f t="shared" si="4"/>
        <v>0</v>
      </c>
      <c r="H102" s="31">
        <f t="shared" si="4"/>
        <v>0</v>
      </c>
      <c r="I102" s="8">
        <f t="shared" si="4"/>
        <v>0</v>
      </c>
      <c r="J102" s="8">
        <f t="shared" si="5"/>
        <v>0</v>
      </c>
      <c r="K102" s="71">
        <f t="shared" si="6"/>
        <v>-18100.352112676053</v>
      </c>
    </row>
    <row r="103" spans="1:11" x14ac:dyDescent="0.25">
      <c r="A103" s="38">
        <f>Données!A100</f>
        <v>5563</v>
      </c>
      <c r="B103" s="131" t="str">
        <f>Données!B100</f>
        <v>Mutrux</v>
      </c>
      <c r="C103" s="8">
        <f>Données!Z100</f>
        <v>151</v>
      </c>
      <c r="D103" s="8">
        <f t="shared" si="4"/>
        <v>151</v>
      </c>
      <c r="E103" s="162">
        <f t="shared" si="4"/>
        <v>0</v>
      </c>
      <c r="F103" s="8">
        <f t="shared" si="4"/>
        <v>0</v>
      </c>
      <c r="G103" s="162">
        <f t="shared" si="4"/>
        <v>0</v>
      </c>
      <c r="H103" s="31">
        <f t="shared" si="4"/>
        <v>0</v>
      </c>
      <c r="I103" s="8">
        <f t="shared" si="4"/>
        <v>0</v>
      </c>
      <c r="J103" s="8">
        <f t="shared" si="5"/>
        <v>0</v>
      </c>
      <c r="K103" s="71">
        <f t="shared" si="6"/>
        <v>-19805.457746478871</v>
      </c>
    </row>
    <row r="104" spans="1:11" x14ac:dyDescent="0.25">
      <c r="A104" s="38">
        <f>Données!A101</f>
        <v>5564</v>
      </c>
      <c r="B104" s="131" t="str">
        <f>Données!B101</f>
        <v>Novalles</v>
      </c>
      <c r="C104" s="8">
        <f>Données!Z101</f>
        <v>99</v>
      </c>
      <c r="D104" s="8">
        <f t="shared" si="4"/>
        <v>99</v>
      </c>
      <c r="E104" s="162">
        <f t="shared" si="4"/>
        <v>0</v>
      </c>
      <c r="F104" s="8">
        <f t="shared" si="4"/>
        <v>0</v>
      </c>
      <c r="G104" s="162">
        <f t="shared" si="4"/>
        <v>0</v>
      </c>
      <c r="H104" s="31">
        <f t="shared" si="4"/>
        <v>0</v>
      </c>
      <c r="I104" s="8">
        <f t="shared" si="4"/>
        <v>0</v>
      </c>
      <c r="J104" s="8">
        <f t="shared" si="5"/>
        <v>0</v>
      </c>
      <c r="K104" s="71">
        <f t="shared" si="6"/>
        <v>-12985.035211267603</v>
      </c>
    </row>
    <row r="105" spans="1:11" x14ac:dyDescent="0.25">
      <c r="A105" s="38">
        <f>Données!A102</f>
        <v>5565</v>
      </c>
      <c r="B105" s="131" t="str">
        <f>Données!B102</f>
        <v>Onnens</v>
      </c>
      <c r="C105" s="8">
        <f>Données!Z102</f>
        <v>496</v>
      </c>
      <c r="D105" s="8">
        <f t="shared" si="4"/>
        <v>496</v>
      </c>
      <c r="E105" s="162">
        <f t="shared" si="4"/>
        <v>0</v>
      </c>
      <c r="F105" s="8">
        <f t="shared" si="4"/>
        <v>0</v>
      </c>
      <c r="G105" s="162">
        <f t="shared" si="4"/>
        <v>0</v>
      </c>
      <c r="H105" s="31">
        <f t="shared" si="4"/>
        <v>0</v>
      </c>
      <c r="I105" s="8">
        <f t="shared" si="4"/>
        <v>0</v>
      </c>
      <c r="J105" s="8">
        <f t="shared" si="5"/>
        <v>0</v>
      </c>
      <c r="K105" s="71">
        <f t="shared" si="6"/>
        <v>-65056.338028169004</v>
      </c>
    </row>
    <row r="106" spans="1:11" x14ac:dyDescent="0.25">
      <c r="A106" s="38">
        <f>Données!A103</f>
        <v>5566</v>
      </c>
      <c r="B106" s="131" t="str">
        <f>Données!B103</f>
        <v>Provence</v>
      </c>
      <c r="C106" s="8">
        <f>Données!Z103</f>
        <v>403</v>
      </c>
      <c r="D106" s="8">
        <f t="shared" si="4"/>
        <v>403</v>
      </c>
      <c r="E106" s="162">
        <f t="shared" si="4"/>
        <v>0</v>
      </c>
      <c r="F106" s="8">
        <f t="shared" si="4"/>
        <v>0</v>
      </c>
      <c r="G106" s="162">
        <f t="shared" si="4"/>
        <v>0</v>
      </c>
      <c r="H106" s="31">
        <f t="shared" si="4"/>
        <v>0</v>
      </c>
      <c r="I106" s="8">
        <f t="shared" si="4"/>
        <v>0</v>
      </c>
      <c r="J106" s="8">
        <f t="shared" si="5"/>
        <v>0</v>
      </c>
      <c r="K106" s="71">
        <f t="shared" si="6"/>
        <v>-52858.274647887316</v>
      </c>
    </row>
    <row r="107" spans="1:11" x14ac:dyDescent="0.25">
      <c r="A107" s="38">
        <f>Données!A104</f>
        <v>5568</v>
      </c>
      <c r="B107" s="131" t="str">
        <f>Données!B104</f>
        <v>Sainte-Croix</v>
      </c>
      <c r="C107" s="8">
        <f>Données!Z104</f>
        <v>4869</v>
      </c>
      <c r="D107" s="8">
        <f t="shared" si="4"/>
        <v>1000</v>
      </c>
      <c r="E107" s="162">
        <f t="shared" si="4"/>
        <v>2000</v>
      </c>
      <c r="F107" s="8">
        <f t="shared" si="4"/>
        <v>1869</v>
      </c>
      <c r="G107" s="162">
        <f t="shared" ref="E107:I158" si="7">IF($C107&gt;G$5,IF($C107&lt;G$6,$C107-G$5,G$6-G$5),0)</f>
        <v>0</v>
      </c>
      <c r="H107" s="31">
        <f t="shared" si="7"/>
        <v>0</v>
      </c>
      <c r="I107" s="8">
        <f t="shared" si="7"/>
        <v>0</v>
      </c>
      <c r="J107" s="8">
        <f t="shared" si="5"/>
        <v>0</v>
      </c>
      <c r="K107" s="71">
        <f t="shared" si="6"/>
        <v>-1846235.9154929575</v>
      </c>
    </row>
    <row r="108" spans="1:11" x14ac:dyDescent="0.25">
      <c r="A108" s="38">
        <f>Données!A105</f>
        <v>5571</v>
      </c>
      <c r="B108" s="131" t="str">
        <f>Données!B105</f>
        <v>Tévenon</v>
      </c>
      <c r="C108" s="8">
        <f>Données!Z105</f>
        <v>867</v>
      </c>
      <c r="D108" s="8">
        <f t="shared" ref="D108:D171" si="8">IF($C108&gt;D$5,IF($C108&lt;D$6,$C108-D$5,D$6-D$5),0)</f>
        <v>867</v>
      </c>
      <c r="E108" s="162">
        <f t="shared" si="7"/>
        <v>0</v>
      </c>
      <c r="F108" s="8">
        <f t="shared" si="7"/>
        <v>0</v>
      </c>
      <c r="G108" s="162">
        <f t="shared" si="7"/>
        <v>0</v>
      </c>
      <c r="H108" s="31">
        <f t="shared" si="7"/>
        <v>0</v>
      </c>
      <c r="I108" s="8">
        <f t="shared" si="7"/>
        <v>0</v>
      </c>
      <c r="J108" s="8">
        <f t="shared" si="5"/>
        <v>0</v>
      </c>
      <c r="K108" s="71">
        <f t="shared" si="6"/>
        <v>-113717.42957746476</v>
      </c>
    </row>
    <row r="109" spans="1:11" x14ac:dyDescent="0.25">
      <c r="A109" s="38">
        <f>Données!A106</f>
        <v>5581</v>
      </c>
      <c r="B109" s="131" t="str">
        <f>Données!B106</f>
        <v>Belmont-sur-Lausanne</v>
      </c>
      <c r="C109" s="8">
        <f>Données!Z106</f>
        <v>3835</v>
      </c>
      <c r="D109" s="8">
        <f t="shared" si="8"/>
        <v>1000</v>
      </c>
      <c r="E109" s="162">
        <f t="shared" si="7"/>
        <v>2000</v>
      </c>
      <c r="F109" s="8">
        <f t="shared" si="7"/>
        <v>835</v>
      </c>
      <c r="G109" s="162">
        <f t="shared" si="7"/>
        <v>0</v>
      </c>
      <c r="H109" s="31">
        <f t="shared" si="7"/>
        <v>0</v>
      </c>
      <c r="I109" s="8">
        <f t="shared" si="7"/>
        <v>0</v>
      </c>
      <c r="J109" s="8">
        <f t="shared" si="5"/>
        <v>0</v>
      </c>
      <c r="K109" s="71">
        <f t="shared" si="6"/>
        <v>-1303749.9999999998</v>
      </c>
    </row>
    <row r="110" spans="1:11" x14ac:dyDescent="0.25">
      <c r="A110" s="38">
        <f>Données!A107</f>
        <v>5582</v>
      </c>
      <c r="B110" s="131" t="str">
        <f>Données!B107</f>
        <v>Cheseaux-sur-Lausanne</v>
      </c>
      <c r="C110" s="8">
        <f>Données!Z107</f>
        <v>4525</v>
      </c>
      <c r="D110" s="8">
        <f t="shared" si="8"/>
        <v>1000</v>
      </c>
      <c r="E110" s="162">
        <f t="shared" si="7"/>
        <v>2000</v>
      </c>
      <c r="F110" s="8">
        <f t="shared" si="7"/>
        <v>1525</v>
      </c>
      <c r="G110" s="162">
        <f t="shared" si="7"/>
        <v>0</v>
      </c>
      <c r="H110" s="31">
        <f t="shared" si="7"/>
        <v>0</v>
      </c>
      <c r="I110" s="8">
        <f t="shared" si="7"/>
        <v>0</v>
      </c>
      <c r="J110" s="8">
        <f t="shared" si="5"/>
        <v>0</v>
      </c>
      <c r="K110" s="71">
        <f t="shared" si="6"/>
        <v>-1665757.0422535208</v>
      </c>
    </row>
    <row r="111" spans="1:11" x14ac:dyDescent="0.25">
      <c r="A111" s="38">
        <f>Données!A108</f>
        <v>5583</v>
      </c>
      <c r="B111" s="131" t="str">
        <f>Données!B108</f>
        <v>Crissier</v>
      </c>
      <c r="C111" s="8">
        <f>Données!Z108</f>
        <v>9161</v>
      </c>
      <c r="D111" s="8">
        <f t="shared" si="8"/>
        <v>1000</v>
      </c>
      <c r="E111" s="162">
        <f t="shared" si="7"/>
        <v>2000</v>
      </c>
      <c r="F111" s="8">
        <f t="shared" si="7"/>
        <v>2000</v>
      </c>
      <c r="G111" s="162">
        <f t="shared" si="7"/>
        <v>4000</v>
      </c>
      <c r="H111" s="31">
        <f t="shared" si="7"/>
        <v>161</v>
      </c>
      <c r="I111" s="8">
        <f t="shared" si="7"/>
        <v>0</v>
      </c>
      <c r="J111" s="8">
        <f t="shared" si="5"/>
        <v>0</v>
      </c>
      <c r="K111" s="71">
        <f t="shared" si="6"/>
        <v>-4576870.7746478869</v>
      </c>
    </row>
    <row r="112" spans="1:11" x14ac:dyDescent="0.25">
      <c r="A112" s="38">
        <f>Données!A109</f>
        <v>5584</v>
      </c>
      <c r="B112" s="131" t="str">
        <f>Données!B109</f>
        <v>Epalinges</v>
      </c>
      <c r="C112" s="8">
        <f>Données!Z109</f>
        <v>9825</v>
      </c>
      <c r="D112" s="8">
        <f t="shared" si="8"/>
        <v>1000</v>
      </c>
      <c r="E112" s="162">
        <f t="shared" si="7"/>
        <v>2000</v>
      </c>
      <c r="F112" s="8">
        <f t="shared" si="7"/>
        <v>2000</v>
      </c>
      <c r="G112" s="162">
        <f t="shared" si="7"/>
        <v>4000</v>
      </c>
      <c r="H112" s="31">
        <f t="shared" si="7"/>
        <v>825</v>
      </c>
      <c r="I112" s="8">
        <f t="shared" si="7"/>
        <v>0</v>
      </c>
      <c r="J112" s="8">
        <f t="shared" si="5"/>
        <v>0</v>
      </c>
      <c r="K112" s="71">
        <f t="shared" si="6"/>
        <v>-5169093.3098591538</v>
      </c>
    </row>
    <row r="113" spans="1:11" x14ac:dyDescent="0.25">
      <c r="A113" s="38">
        <f>Données!A110</f>
        <v>5585</v>
      </c>
      <c r="B113" s="131" t="str">
        <f>Données!B110</f>
        <v>Jouxtens-Mézery</v>
      </c>
      <c r="C113" s="8">
        <f>Données!Z110</f>
        <v>1468</v>
      </c>
      <c r="D113" s="8">
        <f t="shared" si="8"/>
        <v>1000</v>
      </c>
      <c r="E113" s="162">
        <f t="shared" si="7"/>
        <v>468</v>
      </c>
      <c r="F113" s="8">
        <f t="shared" si="7"/>
        <v>0</v>
      </c>
      <c r="G113" s="162">
        <f t="shared" si="7"/>
        <v>0</v>
      </c>
      <c r="H113" s="31">
        <f t="shared" si="7"/>
        <v>0</v>
      </c>
      <c r="I113" s="8">
        <f t="shared" si="7"/>
        <v>0</v>
      </c>
      <c r="J113" s="8">
        <f t="shared" si="5"/>
        <v>0</v>
      </c>
      <c r="K113" s="71">
        <f t="shared" si="6"/>
        <v>-303036.61971830984</v>
      </c>
    </row>
    <row r="114" spans="1:11" x14ac:dyDescent="0.25">
      <c r="A114" s="38">
        <f>Données!A111</f>
        <v>5586</v>
      </c>
      <c r="B114" s="131" t="str">
        <f>Données!B111</f>
        <v>Lausanne</v>
      </c>
      <c r="C114" s="8">
        <f>Données!Z111</f>
        <v>141513</v>
      </c>
      <c r="D114" s="8">
        <f t="shared" si="8"/>
        <v>1000</v>
      </c>
      <c r="E114" s="162">
        <f t="shared" si="7"/>
        <v>2000</v>
      </c>
      <c r="F114" s="8">
        <f t="shared" si="7"/>
        <v>2000</v>
      </c>
      <c r="G114" s="162">
        <f t="shared" si="7"/>
        <v>4000</v>
      </c>
      <c r="H114" s="31">
        <f t="shared" si="7"/>
        <v>3000</v>
      </c>
      <c r="I114" s="8">
        <f t="shared" si="7"/>
        <v>3000</v>
      </c>
      <c r="J114" s="8">
        <f t="shared" si="5"/>
        <v>126513</v>
      </c>
      <c r="K114" s="71">
        <f t="shared" si="6"/>
        <v>-149643900.35211268</v>
      </c>
    </row>
    <row r="115" spans="1:11" x14ac:dyDescent="0.25">
      <c r="A115" s="38">
        <f>Données!A112</f>
        <v>5587</v>
      </c>
      <c r="B115" s="131" t="str">
        <f>Données!B112</f>
        <v>Le Mont-sur-Lausanne</v>
      </c>
      <c r="C115" s="8">
        <f>Données!Z112</f>
        <v>9297</v>
      </c>
      <c r="D115" s="8">
        <f t="shared" si="8"/>
        <v>1000</v>
      </c>
      <c r="E115" s="162">
        <f t="shared" si="7"/>
        <v>2000</v>
      </c>
      <c r="F115" s="8">
        <f t="shared" si="7"/>
        <v>2000</v>
      </c>
      <c r="G115" s="162">
        <f t="shared" si="7"/>
        <v>4000</v>
      </c>
      <c r="H115" s="31">
        <f t="shared" si="7"/>
        <v>297</v>
      </c>
      <c r="I115" s="8">
        <f t="shared" si="7"/>
        <v>0</v>
      </c>
      <c r="J115" s="8">
        <f t="shared" si="5"/>
        <v>0</v>
      </c>
      <c r="K115" s="71">
        <f t="shared" si="6"/>
        <v>-4698169.3661971819</v>
      </c>
    </row>
    <row r="116" spans="1:11" x14ac:dyDescent="0.25">
      <c r="A116" s="38">
        <f>Données!A113</f>
        <v>5588</v>
      </c>
      <c r="B116" s="131" t="str">
        <f>Données!B113</f>
        <v>Paudex</v>
      </c>
      <c r="C116" s="8">
        <f>Données!Z113</f>
        <v>1550</v>
      </c>
      <c r="D116" s="8">
        <f t="shared" si="8"/>
        <v>1000</v>
      </c>
      <c r="E116" s="162">
        <f t="shared" si="7"/>
        <v>550</v>
      </c>
      <c r="F116" s="8">
        <f t="shared" si="7"/>
        <v>0</v>
      </c>
      <c r="G116" s="162">
        <f t="shared" si="7"/>
        <v>0</v>
      </c>
      <c r="H116" s="31">
        <f t="shared" si="7"/>
        <v>0</v>
      </c>
      <c r="I116" s="8">
        <f t="shared" si="7"/>
        <v>0</v>
      </c>
      <c r="J116" s="8">
        <f t="shared" si="5"/>
        <v>0</v>
      </c>
      <c r="K116" s="71">
        <f t="shared" si="6"/>
        <v>-333151.40845070418</v>
      </c>
    </row>
    <row r="117" spans="1:11" x14ac:dyDescent="0.25">
      <c r="A117" s="38">
        <f>Données!A114</f>
        <v>5589</v>
      </c>
      <c r="B117" s="131" t="str">
        <f>Données!B114</f>
        <v>Prilly</v>
      </c>
      <c r="C117" s="8">
        <f>Données!Z114</f>
        <v>12318</v>
      </c>
      <c r="D117" s="8">
        <f t="shared" si="8"/>
        <v>1000</v>
      </c>
      <c r="E117" s="162">
        <f t="shared" si="7"/>
        <v>2000</v>
      </c>
      <c r="F117" s="8">
        <f t="shared" si="7"/>
        <v>2000</v>
      </c>
      <c r="G117" s="162">
        <f t="shared" si="7"/>
        <v>4000</v>
      </c>
      <c r="H117" s="31">
        <f t="shared" si="7"/>
        <v>3000</v>
      </c>
      <c r="I117" s="8">
        <f t="shared" si="7"/>
        <v>318</v>
      </c>
      <c r="J117" s="8">
        <f t="shared" si="5"/>
        <v>0</v>
      </c>
      <c r="K117" s="71">
        <f t="shared" si="6"/>
        <v>-7442654.9295774633</v>
      </c>
    </row>
    <row r="118" spans="1:11" x14ac:dyDescent="0.25">
      <c r="A118" s="38">
        <f>Données!A115</f>
        <v>5590</v>
      </c>
      <c r="B118" s="131" t="str">
        <f>Données!B115</f>
        <v>Pully</v>
      </c>
      <c r="C118" s="8">
        <f>Données!Z115</f>
        <v>19005</v>
      </c>
      <c r="D118" s="8">
        <f t="shared" si="8"/>
        <v>1000</v>
      </c>
      <c r="E118" s="162">
        <f t="shared" si="7"/>
        <v>2000</v>
      </c>
      <c r="F118" s="8">
        <f t="shared" si="7"/>
        <v>2000</v>
      </c>
      <c r="G118" s="162">
        <f t="shared" si="7"/>
        <v>4000</v>
      </c>
      <c r="H118" s="31">
        <f t="shared" si="7"/>
        <v>3000</v>
      </c>
      <c r="I118" s="8">
        <f t="shared" si="7"/>
        <v>3000</v>
      </c>
      <c r="J118" s="8">
        <f t="shared" si="5"/>
        <v>4005</v>
      </c>
      <c r="K118" s="71">
        <f t="shared" si="6"/>
        <v>-14669417.253521126</v>
      </c>
    </row>
    <row r="119" spans="1:11" x14ac:dyDescent="0.25">
      <c r="A119" s="38">
        <f>Données!A116</f>
        <v>5591</v>
      </c>
      <c r="B119" s="131" t="str">
        <f>Données!B116</f>
        <v>Renens</v>
      </c>
      <c r="C119" s="8">
        <f>Données!Z116</f>
        <v>21116</v>
      </c>
      <c r="D119" s="8">
        <f t="shared" si="8"/>
        <v>1000</v>
      </c>
      <c r="E119" s="162">
        <f t="shared" si="7"/>
        <v>2000</v>
      </c>
      <c r="F119" s="8">
        <f t="shared" si="7"/>
        <v>2000</v>
      </c>
      <c r="G119" s="162">
        <f t="shared" si="7"/>
        <v>4000</v>
      </c>
      <c r="H119" s="31">
        <f t="shared" si="7"/>
        <v>3000</v>
      </c>
      <c r="I119" s="8">
        <f t="shared" si="7"/>
        <v>3000</v>
      </c>
      <c r="J119" s="8">
        <f t="shared" si="5"/>
        <v>6116</v>
      </c>
      <c r="K119" s="71">
        <f t="shared" si="6"/>
        <v>-16995233.802816898</v>
      </c>
    </row>
    <row r="120" spans="1:11" x14ac:dyDescent="0.25">
      <c r="A120" s="38">
        <f>Données!A117</f>
        <v>5592</v>
      </c>
      <c r="B120" s="131" t="str">
        <f>Données!B117</f>
        <v>Romanel-sur-Lausanne</v>
      </c>
      <c r="C120" s="8">
        <f>Données!Z117</f>
        <v>3798</v>
      </c>
      <c r="D120" s="8">
        <f t="shared" si="8"/>
        <v>1000</v>
      </c>
      <c r="E120" s="162">
        <f t="shared" si="7"/>
        <v>2000</v>
      </c>
      <c r="F120" s="8">
        <f t="shared" si="7"/>
        <v>798</v>
      </c>
      <c r="G120" s="162">
        <f t="shared" si="7"/>
        <v>0</v>
      </c>
      <c r="H120" s="31">
        <f t="shared" si="7"/>
        <v>0</v>
      </c>
      <c r="I120" s="8">
        <f t="shared" si="7"/>
        <v>0</v>
      </c>
      <c r="J120" s="8">
        <f t="shared" si="5"/>
        <v>0</v>
      </c>
      <c r="K120" s="71">
        <f t="shared" si="6"/>
        <v>-1284338.0281690138</v>
      </c>
    </row>
    <row r="121" spans="1:11" x14ac:dyDescent="0.25">
      <c r="A121" s="38">
        <f>Données!A118</f>
        <v>5601</v>
      </c>
      <c r="B121" s="131" t="str">
        <f>Données!B118</f>
        <v>Chexbres</v>
      </c>
      <c r="C121" s="8">
        <f>Données!Z118</f>
        <v>2204</v>
      </c>
      <c r="D121" s="8">
        <f t="shared" si="8"/>
        <v>1000</v>
      </c>
      <c r="E121" s="162">
        <f t="shared" si="7"/>
        <v>1204</v>
      </c>
      <c r="F121" s="8">
        <f t="shared" si="7"/>
        <v>0</v>
      </c>
      <c r="G121" s="162">
        <f t="shared" si="7"/>
        <v>0</v>
      </c>
      <c r="H121" s="31">
        <f t="shared" si="7"/>
        <v>0</v>
      </c>
      <c r="I121" s="8">
        <f t="shared" si="7"/>
        <v>0</v>
      </c>
      <c r="J121" s="8">
        <f t="shared" si="5"/>
        <v>0</v>
      </c>
      <c r="K121" s="71">
        <f t="shared" si="6"/>
        <v>-573335.21126760554</v>
      </c>
    </row>
    <row r="122" spans="1:11" x14ac:dyDescent="0.25">
      <c r="A122" s="38">
        <f>Données!A119</f>
        <v>5604</v>
      </c>
      <c r="B122" s="131" t="str">
        <f>Données!B119</f>
        <v>Forel (Lavaux)</v>
      </c>
      <c r="C122" s="8">
        <f>Données!Z119</f>
        <v>2067</v>
      </c>
      <c r="D122" s="8">
        <f t="shared" si="8"/>
        <v>1000</v>
      </c>
      <c r="E122" s="162">
        <f t="shared" si="7"/>
        <v>1067</v>
      </c>
      <c r="F122" s="8">
        <f t="shared" si="7"/>
        <v>0</v>
      </c>
      <c r="G122" s="162">
        <f t="shared" si="7"/>
        <v>0</v>
      </c>
      <c r="H122" s="31">
        <f t="shared" si="7"/>
        <v>0</v>
      </c>
      <c r="I122" s="8">
        <f t="shared" si="7"/>
        <v>0</v>
      </c>
      <c r="J122" s="8">
        <f t="shared" si="5"/>
        <v>0</v>
      </c>
      <c r="K122" s="71">
        <f t="shared" si="6"/>
        <v>-523021.47887323936</v>
      </c>
    </row>
    <row r="123" spans="1:11" x14ac:dyDescent="0.25">
      <c r="A123" s="38">
        <f>Données!A120</f>
        <v>5606</v>
      </c>
      <c r="B123" s="131" t="str">
        <f>Données!B120</f>
        <v>Lutry</v>
      </c>
      <c r="C123" s="8">
        <f>Données!Z120</f>
        <v>10713</v>
      </c>
      <c r="D123" s="8">
        <f t="shared" si="8"/>
        <v>1000</v>
      </c>
      <c r="E123" s="162">
        <f t="shared" si="7"/>
        <v>2000</v>
      </c>
      <c r="F123" s="8">
        <f t="shared" si="7"/>
        <v>2000</v>
      </c>
      <c r="G123" s="162">
        <f t="shared" si="7"/>
        <v>4000</v>
      </c>
      <c r="H123" s="31">
        <f t="shared" si="7"/>
        <v>1713</v>
      </c>
      <c r="I123" s="8">
        <f t="shared" si="7"/>
        <v>0</v>
      </c>
      <c r="J123" s="8">
        <f t="shared" si="5"/>
        <v>0</v>
      </c>
      <c r="K123" s="71">
        <f t="shared" si="6"/>
        <v>-5961101.7605633792</v>
      </c>
    </row>
    <row r="124" spans="1:11" x14ac:dyDescent="0.25">
      <c r="A124" s="38">
        <f>Données!A121</f>
        <v>5607</v>
      </c>
      <c r="B124" s="131" t="str">
        <f>Données!B121</f>
        <v>Puidoux</v>
      </c>
      <c r="C124" s="8">
        <f>Données!Z121</f>
        <v>2991</v>
      </c>
      <c r="D124" s="8">
        <f t="shared" si="8"/>
        <v>1000</v>
      </c>
      <c r="E124" s="162">
        <f t="shared" si="7"/>
        <v>1991</v>
      </c>
      <c r="F124" s="8">
        <f t="shared" si="7"/>
        <v>0</v>
      </c>
      <c r="G124" s="162">
        <f t="shared" si="7"/>
        <v>0</v>
      </c>
      <c r="H124" s="31">
        <f t="shared" si="7"/>
        <v>0</v>
      </c>
      <c r="I124" s="8">
        <f t="shared" si="7"/>
        <v>0</v>
      </c>
      <c r="J124" s="8">
        <f t="shared" si="5"/>
        <v>0</v>
      </c>
      <c r="K124" s="71">
        <f t="shared" si="6"/>
        <v>-862363.73239436606</v>
      </c>
    </row>
    <row r="125" spans="1:11" x14ac:dyDescent="0.25">
      <c r="A125" s="38">
        <f>Données!A122</f>
        <v>5609</v>
      </c>
      <c r="B125" s="131" t="str">
        <f>Données!B122</f>
        <v>Rivaz</v>
      </c>
      <c r="C125" s="8">
        <f>Données!Z122</f>
        <v>332</v>
      </c>
      <c r="D125" s="8">
        <f t="shared" si="8"/>
        <v>332</v>
      </c>
      <c r="E125" s="162">
        <f t="shared" si="7"/>
        <v>0</v>
      </c>
      <c r="F125" s="8">
        <f t="shared" si="7"/>
        <v>0</v>
      </c>
      <c r="G125" s="162">
        <f t="shared" si="7"/>
        <v>0</v>
      </c>
      <c r="H125" s="31">
        <f t="shared" si="7"/>
        <v>0</v>
      </c>
      <c r="I125" s="8">
        <f t="shared" si="7"/>
        <v>0</v>
      </c>
      <c r="J125" s="8">
        <f t="shared" si="5"/>
        <v>0</v>
      </c>
      <c r="K125" s="71">
        <f t="shared" si="6"/>
        <v>-43545.774647887316</v>
      </c>
    </row>
    <row r="126" spans="1:11" x14ac:dyDescent="0.25">
      <c r="A126" s="38">
        <f>Données!A123</f>
        <v>5610</v>
      </c>
      <c r="B126" s="131" t="str">
        <f>Données!B123</f>
        <v>St-Saphorin (Lavaux)</v>
      </c>
      <c r="C126" s="8">
        <f>Données!Z123</f>
        <v>402</v>
      </c>
      <c r="D126" s="8">
        <f t="shared" si="8"/>
        <v>402</v>
      </c>
      <c r="E126" s="162">
        <f t="shared" si="7"/>
        <v>0</v>
      </c>
      <c r="F126" s="8">
        <f t="shared" si="7"/>
        <v>0</v>
      </c>
      <c r="G126" s="162">
        <f t="shared" si="7"/>
        <v>0</v>
      </c>
      <c r="H126" s="31">
        <f t="shared" si="7"/>
        <v>0</v>
      </c>
      <c r="I126" s="8">
        <f t="shared" si="7"/>
        <v>0</v>
      </c>
      <c r="J126" s="8">
        <f t="shared" si="5"/>
        <v>0</v>
      </c>
      <c r="K126" s="71">
        <f t="shared" si="6"/>
        <v>-52727.112676056327</v>
      </c>
    </row>
    <row r="127" spans="1:11" x14ac:dyDescent="0.25">
      <c r="A127" s="38">
        <f>Données!A124</f>
        <v>5611</v>
      </c>
      <c r="B127" s="131" t="str">
        <f>Données!B124</f>
        <v>Savigny</v>
      </c>
      <c r="C127" s="8">
        <f>Données!Z124</f>
        <v>3421</v>
      </c>
      <c r="D127" s="8">
        <f t="shared" si="8"/>
        <v>1000</v>
      </c>
      <c r="E127" s="162">
        <f t="shared" si="7"/>
        <v>2000</v>
      </c>
      <c r="F127" s="8">
        <f t="shared" si="7"/>
        <v>421</v>
      </c>
      <c r="G127" s="162">
        <f t="shared" si="7"/>
        <v>0</v>
      </c>
      <c r="H127" s="31">
        <f t="shared" si="7"/>
        <v>0</v>
      </c>
      <c r="I127" s="8">
        <f t="shared" si="7"/>
        <v>0</v>
      </c>
      <c r="J127" s="8">
        <f t="shared" si="5"/>
        <v>0</v>
      </c>
      <c r="K127" s="71">
        <f t="shared" si="6"/>
        <v>-1086545.7746478871</v>
      </c>
    </row>
    <row r="128" spans="1:11" x14ac:dyDescent="0.25">
      <c r="A128" s="38">
        <f>Données!A125</f>
        <v>5613</v>
      </c>
      <c r="B128" s="131" t="str">
        <f>Données!B125</f>
        <v>Bourg-en-Lavaux</v>
      </c>
      <c r="C128" s="8">
        <f>Données!Z125</f>
        <v>5389</v>
      </c>
      <c r="D128" s="8">
        <f t="shared" si="8"/>
        <v>1000</v>
      </c>
      <c r="E128" s="162">
        <f t="shared" si="7"/>
        <v>2000</v>
      </c>
      <c r="F128" s="8">
        <f t="shared" si="7"/>
        <v>2000</v>
      </c>
      <c r="G128" s="162">
        <f t="shared" si="7"/>
        <v>389</v>
      </c>
      <c r="H128" s="31">
        <f t="shared" si="7"/>
        <v>0</v>
      </c>
      <c r="I128" s="8">
        <f t="shared" si="7"/>
        <v>0</v>
      </c>
      <c r="J128" s="8">
        <f t="shared" si="5"/>
        <v>0</v>
      </c>
      <c r="K128" s="71">
        <f t="shared" si="6"/>
        <v>-2159870.4225352108</v>
      </c>
    </row>
    <row r="129" spans="1:11" x14ac:dyDescent="0.25">
      <c r="A129" s="38">
        <f>Données!A126</f>
        <v>5621</v>
      </c>
      <c r="B129" s="131" t="str">
        <f>Données!B126</f>
        <v>Aclens</v>
      </c>
      <c r="C129" s="8">
        <f>Données!Z126</f>
        <v>557</v>
      </c>
      <c r="D129" s="8">
        <f t="shared" si="8"/>
        <v>557</v>
      </c>
      <c r="E129" s="162">
        <f t="shared" si="7"/>
        <v>0</v>
      </c>
      <c r="F129" s="8">
        <f t="shared" si="7"/>
        <v>0</v>
      </c>
      <c r="G129" s="162">
        <f t="shared" si="7"/>
        <v>0</v>
      </c>
      <c r="H129" s="31">
        <f t="shared" si="7"/>
        <v>0</v>
      </c>
      <c r="I129" s="8">
        <f t="shared" si="7"/>
        <v>0</v>
      </c>
      <c r="J129" s="8">
        <f t="shared" si="5"/>
        <v>0</v>
      </c>
      <c r="K129" s="71">
        <f t="shared" si="6"/>
        <v>-73057.218309859149</v>
      </c>
    </row>
    <row r="130" spans="1:11" x14ac:dyDescent="0.25">
      <c r="A130" s="38">
        <f>Données!A127</f>
        <v>5622</v>
      </c>
      <c r="B130" s="131" t="str">
        <f>Données!B127</f>
        <v>Bremblens</v>
      </c>
      <c r="C130" s="8">
        <f>Données!Z127</f>
        <v>604</v>
      </c>
      <c r="D130" s="8">
        <f t="shared" si="8"/>
        <v>604</v>
      </c>
      <c r="E130" s="162">
        <f t="shared" si="7"/>
        <v>0</v>
      </c>
      <c r="F130" s="8">
        <f t="shared" si="7"/>
        <v>0</v>
      </c>
      <c r="G130" s="162">
        <f t="shared" si="7"/>
        <v>0</v>
      </c>
      <c r="H130" s="31">
        <f t="shared" si="7"/>
        <v>0</v>
      </c>
      <c r="I130" s="8">
        <f t="shared" si="7"/>
        <v>0</v>
      </c>
      <c r="J130" s="8">
        <f t="shared" si="5"/>
        <v>0</v>
      </c>
      <c r="K130" s="71">
        <f t="shared" si="6"/>
        <v>-79221.830985915483</v>
      </c>
    </row>
    <row r="131" spans="1:11" x14ac:dyDescent="0.25">
      <c r="A131" s="38">
        <f>Données!A128</f>
        <v>5623</v>
      </c>
      <c r="B131" s="131" t="str">
        <f>Données!B128</f>
        <v>Buchillon</v>
      </c>
      <c r="C131" s="8">
        <f>Données!Z128</f>
        <v>670</v>
      </c>
      <c r="D131" s="8">
        <f t="shared" si="8"/>
        <v>670</v>
      </c>
      <c r="E131" s="162">
        <f t="shared" si="7"/>
        <v>0</v>
      </c>
      <c r="F131" s="8">
        <f t="shared" si="7"/>
        <v>0</v>
      </c>
      <c r="G131" s="162">
        <f t="shared" si="7"/>
        <v>0</v>
      </c>
      <c r="H131" s="31">
        <f t="shared" si="7"/>
        <v>0</v>
      </c>
      <c r="I131" s="8">
        <f t="shared" si="7"/>
        <v>0</v>
      </c>
      <c r="J131" s="8">
        <f t="shared" si="5"/>
        <v>0</v>
      </c>
      <c r="K131" s="71">
        <f t="shared" si="6"/>
        <v>-87878.521126760548</v>
      </c>
    </row>
    <row r="132" spans="1:11" x14ac:dyDescent="0.25">
      <c r="A132" s="38">
        <f>Données!A129</f>
        <v>5624</v>
      </c>
      <c r="B132" s="131" t="str">
        <f>Données!B129</f>
        <v>Bussigny</v>
      </c>
      <c r="C132" s="8">
        <f>Données!Z129</f>
        <v>10392</v>
      </c>
      <c r="D132" s="8">
        <f t="shared" si="8"/>
        <v>1000</v>
      </c>
      <c r="E132" s="162">
        <f t="shared" si="7"/>
        <v>2000</v>
      </c>
      <c r="F132" s="8">
        <f t="shared" si="7"/>
        <v>2000</v>
      </c>
      <c r="G132" s="162">
        <f t="shared" si="7"/>
        <v>4000</v>
      </c>
      <c r="H132" s="31">
        <f t="shared" si="7"/>
        <v>1392</v>
      </c>
      <c r="I132" s="8">
        <f t="shared" si="7"/>
        <v>0</v>
      </c>
      <c r="J132" s="8">
        <f t="shared" si="5"/>
        <v>0</v>
      </c>
      <c r="K132" s="71">
        <f t="shared" si="6"/>
        <v>-5674801.4084507031</v>
      </c>
    </row>
    <row r="133" spans="1:11" x14ac:dyDescent="0.25">
      <c r="A133" s="38">
        <f>Données!A130</f>
        <v>5627</v>
      </c>
      <c r="B133" s="131" t="str">
        <f>Données!B130</f>
        <v>Chavannes-près-Renens</v>
      </c>
      <c r="C133" s="8">
        <f>Données!Z130</f>
        <v>8725</v>
      </c>
      <c r="D133" s="8">
        <f t="shared" si="8"/>
        <v>1000</v>
      </c>
      <c r="E133" s="162">
        <f t="shared" si="7"/>
        <v>2000</v>
      </c>
      <c r="F133" s="8">
        <f t="shared" si="7"/>
        <v>2000</v>
      </c>
      <c r="G133" s="162">
        <f t="shared" si="7"/>
        <v>3725</v>
      </c>
      <c r="H133" s="31">
        <f t="shared" si="7"/>
        <v>0</v>
      </c>
      <c r="I133" s="8">
        <f t="shared" si="7"/>
        <v>0</v>
      </c>
      <c r="J133" s="8">
        <f t="shared" si="5"/>
        <v>0</v>
      </c>
      <c r="K133" s="71">
        <f t="shared" si="6"/>
        <v>-4260140.8450704217</v>
      </c>
    </row>
    <row r="134" spans="1:11" x14ac:dyDescent="0.25">
      <c r="A134" s="38">
        <f>Données!A131</f>
        <v>5628</v>
      </c>
      <c r="B134" s="131" t="str">
        <f>Données!B131</f>
        <v>Chigny</v>
      </c>
      <c r="C134" s="8">
        <f>Données!Z131</f>
        <v>419</v>
      </c>
      <c r="D134" s="8">
        <f t="shared" si="8"/>
        <v>419</v>
      </c>
      <c r="E134" s="162">
        <f t="shared" si="7"/>
        <v>0</v>
      </c>
      <c r="F134" s="8">
        <f t="shared" si="7"/>
        <v>0</v>
      </c>
      <c r="G134" s="162">
        <f t="shared" si="7"/>
        <v>0</v>
      </c>
      <c r="H134" s="31">
        <f t="shared" si="7"/>
        <v>0</v>
      </c>
      <c r="I134" s="8">
        <f t="shared" si="7"/>
        <v>0</v>
      </c>
      <c r="J134" s="8">
        <f t="shared" si="5"/>
        <v>0</v>
      </c>
      <c r="K134" s="71">
        <f t="shared" si="6"/>
        <v>-54956.866197183088</v>
      </c>
    </row>
    <row r="135" spans="1:11" x14ac:dyDescent="0.25">
      <c r="A135" s="38">
        <f>Données!A132</f>
        <v>5629</v>
      </c>
      <c r="B135" s="131" t="str">
        <f>Données!B132</f>
        <v>Clarmont</v>
      </c>
      <c r="C135" s="8">
        <f>Données!Z132</f>
        <v>213</v>
      </c>
      <c r="D135" s="8">
        <f t="shared" si="8"/>
        <v>213</v>
      </c>
      <c r="E135" s="162">
        <f t="shared" si="7"/>
        <v>0</v>
      </c>
      <c r="F135" s="8">
        <f t="shared" si="7"/>
        <v>0</v>
      </c>
      <c r="G135" s="162">
        <f t="shared" si="7"/>
        <v>0</v>
      </c>
      <c r="H135" s="31">
        <f t="shared" si="7"/>
        <v>0</v>
      </c>
      <c r="I135" s="8">
        <f t="shared" si="7"/>
        <v>0</v>
      </c>
      <c r="J135" s="8">
        <f t="shared" si="5"/>
        <v>0</v>
      </c>
      <c r="K135" s="71">
        <f t="shared" si="6"/>
        <v>-27937.499999999996</v>
      </c>
    </row>
    <row r="136" spans="1:11" x14ac:dyDescent="0.25">
      <c r="A136" s="38">
        <f>Données!A133</f>
        <v>5631</v>
      </c>
      <c r="B136" s="131" t="str">
        <f>Données!B133</f>
        <v>Denens</v>
      </c>
      <c r="C136" s="8">
        <f>Données!Z133</f>
        <v>715</v>
      </c>
      <c r="D136" s="8">
        <f t="shared" si="8"/>
        <v>715</v>
      </c>
      <c r="E136" s="162">
        <f t="shared" si="7"/>
        <v>0</v>
      </c>
      <c r="F136" s="8">
        <f t="shared" si="7"/>
        <v>0</v>
      </c>
      <c r="G136" s="162">
        <f t="shared" si="7"/>
        <v>0</v>
      </c>
      <c r="H136" s="31">
        <f t="shared" si="7"/>
        <v>0</v>
      </c>
      <c r="I136" s="8">
        <f t="shared" si="7"/>
        <v>0</v>
      </c>
      <c r="J136" s="8">
        <f t="shared" si="5"/>
        <v>0</v>
      </c>
      <c r="K136" s="71">
        <f t="shared" si="6"/>
        <v>-93780.809859154906</v>
      </c>
    </row>
    <row r="137" spans="1:11" x14ac:dyDescent="0.25">
      <c r="A137" s="38">
        <f>Données!A134</f>
        <v>5632</v>
      </c>
      <c r="B137" s="131" t="str">
        <f>Données!B134</f>
        <v>Denges</v>
      </c>
      <c r="C137" s="8">
        <f>Données!Z134</f>
        <v>1778</v>
      </c>
      <c r="D137" s="8">
        <f t="shared" si="8"/>
        <v>1000</v>
      </c>
      <c r="E137" s="162">
        <f t="shared" si="7"/>
        <v>778</v>
      </c>
      <c r="F137" s="8">
        <f t="shared" si="7"/>
        <v>0</v>
      </c>
      <c r="G137" s="162">
        <f t="shared" si="7"/>
        <v>0</v>
      </c>
      <c r="H137" s="31">
        <f t="shared" si="7"/>
        <v>0</v>
      </c>
      <c r="I137" s="8">
        <f t="shared" si="7"/>
        <v>0</v>
      </c>
      <c r="J137" s="8">
        <f t="shared" si="5"/>
        <v>0</v>
      </c>
      <c r="K137" s="71">
        <f t="shared" si="6"/>
        <v>-416885.21126760554</v>
      </c>
    </row>
    <row r="138" spans="1:11" x14ac:dyDescent="0.25">
      <c r="A138" s="38">
        <f>Données!A135</f>
        <v>5633</v>
      </c>
      <c r="B138" s="131" t="str">
        <f>Données!B135</f>
        <v>Echandens</v>
      </c>
      <c r="C138" s="8">
        <f>Données!Z135</f>
        <v>2891</v>
      </c>
      <c r="D138" s="8">
        <f t="shared" si="8"/>
        <v>1000</v>
      </c>
      <c r="E138" s="162">
        <f t="shared" si="7"/>
        <v>1891</v>
      </c>
      <c r="F138" s="8">
        <f t="shared" si="7"/>
        <v>0</v>
      </c>
      <c r="G138" s="162">
        <f t="shared" si="7"/>
        <v>0</v>
      </c>
      <c r="H138" s="31">
        <f t="shared" si="7"/>
        <v>0</v>
      </c>
      <c r="I138" s="8">
        <f t="shared" si="7"/>
        <v>0</v>
      </c>
      <c r="J138" s="8">
        <f t="shared" ref="J138:J201" si="9">IF(C138&gt;$J$5,C138-$J$5,0)</f>
        <v>0</v>
      </c>
      <c r="K138" s="71">
        <f t="shared" ref="K138:K201" si="10">-((D138*D$8)+(E138*E$8)+(F138*F$8)+(G138*G$8)+(H138*H$8)+(I138*I$8)+(J138*J$8))</f>
        <v>-825638.38028169004</v>
      </c>
    </row>
    <row r="139" spans="1:11" x14ac:dyDescent="0.25">
      <c r="A139" s="38">
        <f>Données!A136</f>
        <v>5634</v>
      </c>
      <c r="B139" s="131" t="str">
        <f>Données!B136</f>
        <v>Echichens</v>
      </c>
      <c r="C139" s="8">
        <f>Données!Z136</f>
        <v>3211</v>
      </c>
      <c r="D139" s="8">
        <f t="shared" si="8"/>
        <v>1000</v>
      </c>
      <c r="E139" s="162">
        <f t="shared" si="7"/>
        <v>2000</v>
      </c>
      <c r="F139" s="8">
        <f t="shared" si="7"/>
        <v>211</v>
      </c>
      <c r="G139" s="162">
        <f t="shared" si="7"/>
        <v>0</v>
      </c>
      <c r="H139" s="31">
        <f t="shared" si="7"/>
        <v>0</v>
      </c>
      <c r="I139" s="8">
        <f t="shared" si="7"/>
        <v>0</v>
      </c>
      <c r="J139" s="8">
        <f t="shared" si="9"/>
        <v>0</v>
      </c>
      <c r="K139" s="71">
        <f t="shared" si="10"/>
        <v>-976369.71830985905</v>
      </c>
    </row>
    <row r="140" spans="1:11" x14ac:dyDescent="0.25">
      <c r="A140" s="38">
        <f>Données!A137</f>
        <v>5635</v>
      </c>
      <c r="B140" s="131" t="str">
        <f>Données!B137</f>
        <v>Ecublens</v>
      </c>
      <c r="C140" s="8">
        <f>Données!Z137</f>
        <v>13129</v>
      </c>
      <c r="D140" s="8">
        <f t="shared" si="8"/>
        <v>1000</v>
      </c>
      <c r="E140" s="162">
        <f t="shared" si="7"/>
        <v>2000</v>
      </c>
      <c r="F140" s="8">
        <f t="shared" si="7"/>
        <v>2000</v>
      </c>
      <c r="G140" s="162">
        <f t="shared" si="7"/>
        <v>4000</v>
      </c>
      <c r="H140" s="31">
        <f t="shared" si="7"/>
        <v>3000</v>
      </c>
      <c r="I140" s="8">
        <f t="shared" si="7"/>
        <v>1129</v>
      </c>
      <c r="J140" s="8">
        <f t="shared" si="9"/>
        <v>0</v>
      </c>
      <c r="K140" s="71">
        <f t="shared" si="10"/>
        <v>-8293633.8028168995</v>
      </c>
    </row>
    <row r="141" spans="1:11" x14ac:dyDescent="0.25">
      <c r="A141" s="38">
        <f>Données!A138</f>
        <v>5636</v>
      </c>
      <c r="B141" s="131" t="str">
        <f>Données!B138</f>
        <v>Etoy</v>
      </c>
      <c r="C141" s="8">
        <f>Données!Z138</f>
        <v>2938</v>
      </c>
      <c r="D141" s="8">
        <f t="shared" si="8"/>
        <v>1000</v>
      </c>
      <c r="E141" s="162">
        <f t="shared" si="7"/>
        <v>1938</v>
      </c>
      <c r="F141" s="8">
        <f t="shared" si="7"/>
        <v>0</v>
      </c>
      <c r="G141" s="162">
        <f t="shared" si="7"/>
        <v>0</v>
      </c>
      <c r="H141" s="31">
        <f t="shared" si="7"/>
        <v>0</v>
      </c>
      <c r="I141" s="8">
        <f t="shared" si="7"/>
        <v>0</v>
      </c>
      <c r="J141" s="8">
        <f t="shared" si="9"/>
        <v>0</v>
      </c>
      <c r="K141" s="71">
        <f t="shared" si="10"/>
        <v>-842899.29577464773</v>
      </c>
    </row>
    <row r="142" spans="1:11" x14ac:dyDescent="0.25">
      <c r="A142" s="38">
        <f>Données!A139</f>
        <v>5637</v>
      </c>
      <c r="B142" s="131" t="str">
        <f>Données!B139</f>
        <v>Lavigny</v>
      </c>
      <c r="C142" s="8">
        <f>Données!Z139</f>
        <v>1038</v>
      </c>
      <c r="D142" s="8">
        <f t="shared" si="8"/>
        <v>1000</v>
      </c>
      <c r="E142" s="162">
        <f t="shared" si="7"/>
        <v>38</v>
      </c>
      <c r="F142" s="8">
        <f t="shared" si="7"/>
        <v>0</v>
      </c>
      <c r="G142" s="162">
        <f t="shared" si="7"/>
        <v>0</v>
      </c>
      <c r="H142" s="31">
        <f t="shared" si="7"/>
        <v>0</v>
      </c>
      <c r="I142" s="8">
        <f t="shared" si="7"/>
        <v>0</v>
      </c>
      <c r="J142" s="8">
        <f t="shared" si="9"/>
        <v>0</v>
      </c>
      <c r="K142" s="71">
        <f t="shared" si="10"/>
        <v>-145117.6056338028</v>
      </c>
    </row>
    <row r="143" spans="1:11" x14ac:dyDescent="0.25">
      <c r="A143" s="38">
        <f>Données!A140</f>
        <v>5638</v>
      </c>
      <c r="B143" s="131" t="str">
        <f>Données!B140</f>
        <v>Lonay</v>
      </c>
      <c r="C143" s="8">
        <f>Données!Z140</f>
        <v>2675</v>
      </c>
      <c r="D143" s="8">
        <f t="shared" si="8"/>
        <v>1000</v>
      </c>
      <c r="E143" s="162">
        <f t="shared" si="7"/>
        <v>1675</v>
      </c>
      <c r="F143" s="8">
        <f t="shared" si="7"/>
        <v>0</v>
      </c>
      <c r="G143" s="162">
        <f t="shared" si="7"/>
        <v>0</v>
      </c>
      <c r="H143" s="31">
        <f t="shared" si="7"/>
        <v>0</v>
      </c>
      <c r="I143" s="8">
        <f t="shared" si="7"/>
        <v>0</v>
      </c>
      <c r="J143" s="8">
        <f t="shared" si="9"/>
        <v>0</v>
      </c>
      <c r="K143" s="71">
        <f t="shared" si="10"/>
        <v>-746311.61971830972</v>
      </c>
    </row>
    <row r="144" spans="1:11" x14ac:dyDescent="0.25">
      <c r="A144" s="38">
        <f>Données!A141</f>
        <v>5639</v>
      </c>
      <c r="B144" s="131" t="str">
        <f>Données!B141</f>
        <v>Lully</v>
      </c>
      <c r="C144" s="8">
        <f>Données!Z141</f>
        <v>825</v>
      </c>
      <c r="D144" s="8">
        <f t="shared" si="8"/>
        <v>825</v>
      </c>
      <c r="E144" s="162">
        <f t="shared" si="7"/>
        <v>0</v>
      </c>
      <c r="F144" s="8">
        <f t="shared" si="7"/>
        <v>0</v>
      </c>
      <c r="G144" s="162">
        <f t="shared" si="7"/>
        <v>0</v>
      </c>
      <c r="H144" s="31">
        <f t="shared" si="7"/>
        <v>0</v>
      </c>
      <c r="I144" s="8">
        <f t="shared" si="7"/>
        <v>0</v>
      </c>
      <c r="J144" s="8">
        <f t="shared" si="9"/>
        <v>0</v>
      </c>
      <c r="K144" s="71">
        <f t="shared" si="10"/>
        <v>-108208.62676056336</v>
      </c>
    </row>
    <row r="145" spans="1:11" x14ac:dyDescent="0.25">
      <c r="A145" s="38">
        <f>Données!A142</f>
        <v>5640</v>
      </c>
      <c r="B145" s="131" t="str">
        <f>Données!B142</f>
        <v>Lussy-sur-Morges</v>
      </c>
      <c r="C145" s="8">
        <f>Données!Z142</f>
        <v>730</v>
      </c>
      <c r="D145" s="8">
        <f t="shared" si="8"/>
        <v>730</v>
      </c>
      <c r="E145" s="162">
        <f t="shared" si="7"/>
        <v>0</v>
      </c>
      <c r="F145" s="8">
        <f t="shared" si="7"/>
        <v>0</v>
      </c>
      <c r="G145" s="162">
        <f t="shared" si="7"/>
        <v>0</v>
      </c>
      <c r="H145" s="31">
        <f t="shared" si="7"/>
        <v>0</v>
      </c>
      <c r="I145" s="8">
        <f t="shared" si="7"/>
        <v>0</v>
      </c>
      <c r="J145" s="8">
        <f t="shared" si="9"/>
        <v>0</v>
      </c>
      <c r="K145" s="71">
        <f t="shared" si="10"/>
        <v>-95748.239436619697</v>
      </c>
    </row>
    <row r="146" spans="1:11" x14ac:dyDescent="0.25">
      <c r="A146" s="38">
        <f>Données!A143</f>
        <v>5642</v>
      </c>
      <c r="B146" s="131" t="str">
        <f>Données!B143</f>
        <v>Morges</v>
      </c>
      <c r="C146" s="8">
        <f>Données!Z143</f>
        <v>17530</v>
      </c>
      <c r="D146" s="8">
        <f t="shared" si="8"/>
        <v>1000</v>
      </c>
      <c r="E146" s="162">
        <f t="shared" si="7"/>
        <v>2000</v>
      </c>
      <c r="F146" s="8">
        <f t="shared" si="7"/>
        <v>2000</v>
      </c>
      <c r="G146" s="162">
        <f t="shared" si="7"/>
        <v>4000</v>
      </c>
      <c r="H146" s="31">
        <f t="shared" si="7"/>
        <v>3000</v>
      </c>
      <c r="I146" s="8">
        <f t="shared" si="7"/>
        <v>3000</v>
      </c>
      <c r="J146" s="8">
        <f t="shared" si="9"/>
        <v>2530</v>
      </c>
      <c r="K146" s="71">
        <f t="shared" si="10"/>
        <v>-13044320.422535209</v>
      </c>
    </row>
    <row r="147" spans="1:11" x14ac:dyDescent="0.25">
      <c r="A147" s="38">
        <f>Données!A144</f>
        <v>5643</v>
      </c>
      <c r="B147" s="131" t="str">
        <f>Données!B144</f>
        <v>Préverenges</v>
      </c>
      <c r="C147" s="8">
        <f>Données!Z144</f>
        <v>5209</v>
      </c>
      <c r="D147" s="8">
        <f t="shared" si="8"/>
        <v>1000</v>
      </c>
      <c r="E147" s="162">
        <f t="shared" si="7"/>
        <v>2000</v>
      </c>
      <c r="F147" s="8">
        <f t="shared" si="7"/>
        <v>2000</v>
      </c>
      <c r="G147" s="162">
        <f t="shared" si="7"/>
        <v>209</v>
      </c>
      <c r="H147" s="31">
        <f t="shared" si="7"/>
        <v>0</v>
      </c>
      <c r="I147" s="8">
        <f t="shared" si="7"/>
        <v>0</v>
      </c>
      <c r="J147" s="8">
        <f t="shared" si="9"/>
        <v>0</v>
      </c>
      <c r="K147" s="71">
        <f t="shared" si="10"/>
        <v>-2046546.4788732391</v>
      </c>
    </row>
    <row r="148" spans="1:11" x14ac:dyDescent="0.25">
      <c r="A148" s="38">
        <f>Données!A145</f>
        <v>5645</v>
      </c>
      <c r="B148" s="131" t="str">
        <f>Données!B145</f>
        <v>Romanel-sur-Morges</v>
      </c>
      <c r="C148" s="8">
        <f>Données!Z145</f>
        <v>458</v>
      </c>
      <c r="D148" s="8">
        <f t="shared" si="8"/>
        <v>458</v>
      </c>
      <c r="E148" s="162">
        <f t="shared" si="7"/>
        <v>0</v>
      </c>
      <c r="F148" s="8">
        <f t="shared" si="7"/>
        <v>0</v>
      </c>
      <c r="G148" s="162">
        <f t="shared" si="7"/>
        <v>0</v>
      </c>
      <c r="H148" s="31">
        <f t="shared" si="7"/>
        <v>0</v>
      </c>
      <c r="I148" s="8">
        <f t="shared" si="7"/>
        <v>0</v>
      </c>
      <c r="J148" s="8">
        <f t="shared" si="9"/>
        <v>0</v>
      </c>
      <c r="K148" s="71">
        <f t="shared" si="10"/>
        <v>-60072.183098591537</v>
      </c>
    </row>
    <row r="149" spans="1:11" x14ac:dyDescent="0.25">
      <c r="A149" s="38">
        <f>Données!A146</f>
        <v>5646</v>
      </c>
      <c r="B149" s="131" t="str">
        <f>Données!B146</f>
        <v>Saint-Prex</v>
      </c>
      <c r="C149" s="8">
        <f>Données!Z146</f>
        <v>5876</v>
      </c>
      <c r="D149" s="8">
        <f t="shared" si="8"/>
        <v>1000</v>
      </c>
      <c r="E149" s="162">
        <f t="shared" si="7"/>
        <v>2000</v>
      </c>
      <c r="F149" s="8">
        <f t="shared" si="7"/>
        <v>2000</v>
      </c>
      <c r="G149" s="162">
        <f t="shared" si="7"/>
        <v>876</v>
      </c>
      <c r="H149" s="31">
        <f t="shared" si="7"/>
        <v>0</v>
      </c>
      <c r="I149" s="8">
        <f t="shared" si="7"/>
        <v>0</v>
      </c>
      <c r="J149" s="8">
        <f t="shared" si="9"/>
        <v>0</v>
      </c>
      <c r="K149" s="71">
        <f t="shared" si="10"/>
        <v>-2466474.6478873235</v>
      </c>
    </row>
    <row r="150" spans="1:11" x14ac:dyDescent="0.25">
      <c r="A150" s="38">
        <f>Données!A147</f>
        <v>5648</v>
      </c>
      <c r="B150" s="131" t="str">
        <f>Données!B147</f>
        <v>Saint-Sulpice</v>
      </c>
      <c r="C150" s="8">
        <f>Données!Z147</f>
        <v>5036</v>
      </c>
      <c r="D150" s="8">
        <f t="shared" si="8"/>
        <v>1000</v>
      </c>
      <c r="E150" s="162">
        <f t="shared" si="7"/>
        <v>2000</v>
      </c>
      <c r="F150" s="8">
        <f t="shared" si="7"/>
        <v>2000</v>
      </c>
      <c r="G150" s="162">
        <f t="shared" si="7"/>
        <v>36</v>
      </c>
      <c r="H150" s="31">
        <f t="shared" si="7"/>
        <v>0</v>
      </c>
      <c r="I150" s="8">
        <f t="shared" si="7"/>
        <v>0</v>
      </c>
      <c r="J150" s="8">
        <f t="shared" si="9"/>
        <v>0</v>
      </c>
      <c r="K150" s="71">
        <f t="shared" si="10"/>
        <v>-1937629.5774647885</v>
      </c>
    </row>
    <row r="151" spans="1:11" x14ac:dyDescent="0.25">
      <c r="A151" s="38">
        <f>Données!A148</f>
        <v>5649</v>
      </c>
      <c r="B151" s="131" t="str">
        <f>Données!B148</f>
        <v>Tolochenaz</v>
      </c>
      <c r="C151" s="8">
        <f>Données!Z148</f>
        <v>1890</v>
      </c>
      <c r="D151" s="8">
        <f t="shared" si="8"/>
        <v>1000</v>
      </c>
      <c r="E151" s="162">
        <f t="shared" si="7"/>
        <v>890</v>
      </c>
      <c r="F151" s="8">
        <f t="shared" si="7"/>
        <v>0</v>
      </c>
      <c r="G151" s="162">
        <f t="shared" si="7"/>
        <v>0</v>
      </c>
      <c r="H151" s="31">
        <f t="shared" si="7"/>
        <v>0</v>
      </c>
      <c r="I151" s="8">
        <f t="shared" si="7"/>
        <v>0</v>
      </c>
      <c r="J151" s="8">
        <f t="shared" si="9"/>
        <v>0</v>
      </c>
      <c r="K151" s="71">
        <f t="shared" si="10"/>
        <v>-458017.60563380271</v>
      </c>
    </row>
    <row r="152" spans="1:11" x14ac:dyDescent="0.25">
      <c r="A152" s="38">
        <f>Données!A149</f>
        <v>5650</v>
      </c>
      <c r="B152" s="131" t="str">
        <f>Données!B149</f>
        <v>Vaux-sur-Morges</v>
      </c>
      <c r="C152" s="8">
        <f>Données!Z149</f>
        <v>185</v>
      </c>
      <c r="D152" s="8">
        <f t="shared" si="8"/>
        <v>185</v>
      </c>
      <c r="E152" s="162">
        <f t="shared" si="7"/>
        <v>0</v>
      </c>
      <c r="F152" s="8">
        <f t="shared" si="7"/>
        <v>0</v>
      </c>
      <c r="G152" s="162">
        <f t="shared" si="7"/>
        <v>0</v>
      </c>
      <c r="H152" s="31">
        <f t="shared" si="7"/>
        <v>0</v>
      </c>
      <c r="I152" s="8">
        <f t="shared" si="7"/>
        <v>0</v>
      </c>
      <c r="J152" s="8">
        <f t="shared" si="9"/>
        <v>0</v>
      </c>
      <c r="K152" s="71">
        <f t="shared" si="10"/>
        <v>-24264.964788732388</v>
      </c>
    </row>
    <row r="153" spans="1:11" x14ac:dyDescent="0.25">
      <c r="A153" s="38">
        <f>Données!A150</f>
        <v>5651</v>
      </c>
      <c r="B153" s="131" t="str">
        <f>Données!B150</f>
        <v>Villars-Sainte-Croix</v>
      </c>
      <c r="C153" s="8">
        <f>Données!Z150</f>
        <v>978</v>
      </c>
      <c r="D153" s="8">
        <f t="shared" si="8"/>
        <v>978</v>
      </c>
      <c r="E153" s="162">
        <f t="shared" si="7"/>
        <v>0</v>
      </c>
      <c r="F153" s="8">
        <f t="shared" si="7"/>
        <v>0</v>
      </c>
      <c r="G153" s="162">
        <f t="shared" si="7"/>
        <v>0</v>
      </c>
      <c r="H153" s="31">
        <f t="shared" si="7"/>
        <v>0</v>
      </c>
      <c r="I153" s="8">
        <f t="shared" si="7"/>
        <v>0</v>
      </c>
      <c r="J153" s="8">
        <f t="shared" si="9"/>
        <v>0</v>
      </c>
      <c r="K153" s="71">
        <f t="shared" si="10"/>
        <v>-128276.4084507042</v>
      </c>
    </row>
    <row r="154" spans="1:11" x14ac:dyDescent="0.25">
      <c r="A154" s="38">
        <f>Données!A151</f>
        <v>5652</v>
      </c>
      <c r="B154" s="131" t="str">
        <f>Données!B151</f>
        <v>Villars-sous-Yens</v>
      </c>
      <c r="C154" s="8">
        <f>Données!Z151</f>
        <v>615</v>
      </c>
      <c r="D154" s="8">
        <f t="shared" si="8"/>
        <v>615</v>
      </c>
      <c r="E154" s="162">
        <f t="shared" si="7"/>
        <v>0</v>
      </c>
      <c r="F154" s="8">
        <f t="shared" si="7"/>
        <v>0</v>
      </c>
      <c r="G154" s="162">
        <f t="shared" si="7"/>
        <v>0</v>
      </c>
      <c r="H154" s="31">
        <f t="shared" si="7"/>
        <v>0</v>
      </c>
      <c r="I154" s="8">
        <f t="shared" si="7"/>
        <v>0</v>
      </c>
      <c r="J154" s="8">
        <f t="shared" si="9"/>
        <v>0</v>
      </c>
      <c r="K154" s="71">
        <f t="shared" si="10"/>
        <v>-80664.61267605632</v>
      </c>
    </row>
    <row r="155" spans="1:11" x14ac:dyDescent="0.25">
      <c r="A155" s="38">
        <f>Données!A152</f>
        <v>5653</v>
      </c>
      <c r="B155" s="131" t="str">
        <f>Données!B152</f>
        <v>Vufflens-le-Château</v>
      </c>
      <c r="C155" s="8">
        <f>Données!Z152</f>
        <v>884</v>
      </c>
      <c r="D155" s="8">
        <f t="shared" si="8"/>
        <v>884</v>
      </c>
      <c r="E155" s="162">
        <f t="shared" si="7"/>
        <v>0</v>
      </c>
      <c r="F155" s="8">
        <f t="shared" si="7"/>
        <v>0</v>
      </c>
      <c r="G155" s="162">
        <f t="shared" si="7"/>
        <v>0</v>
      </c>
      <c r="H155" s="31">
        <f t="shared" si="7"/>
        <v>0</v>
      </c>
      <c r="I155" s="8">
        <f t="shared" si="7"/>
        <v>0</v>
      </c>
      <c r="J155" s="8">
        <f t="shared" si="9"/>
        <v>0</v>
      </c>
      <c r="K155" s="71">
        <f t="shared" si="10"/>
        <v>-115947.18309859153</v>
      </c>
    </row>
    <row r="156" spans="1:11" x14ac:dyDescent="0.25">
      <c r="A156" s="38">
        <f>Données!A153</f>
        <v>5654</v>
      </c>
      <c r="B156" s="131" t="str">
        <f>Données!B153</f>
        <v>Vullierens</v>
      </c>
      <c r="C156" s="8">
        <f>Données!Z153</f>
        <v>562</v>
      </c>
      <c r="D156" s="8">
        <f t="shared" si="8"/>
        <v>562</v>
      </c>
      <c r="E156" s="162">
        <f t="shared" si="7"/>
        <v>0</v>
      </c>
      <c r="F156" s="8">
        <f t="shared" si="7"/>
        <v>0</v>
      </c>
      <c r="G156" s="162">
        <f t="shared" si="7"/>
        <v>0</v>
      </c>
      <c r="H156" s="31">
        <f t="shared" si="7"/>
        <v>0</v>
      </c>
      <c r="I156" s="8">
        <f t="shared" si="7"/>
        <v>0</v>
      </c>
      <c r="J156" s="8">
        <f t="shared" si="9"/>
        <v>0</v>
      </c>
      <c r="K156" s="71">
        <f t="shared" si="10"/>
        <v>-73713.028169014069</v>
      </c>
    </row>
    <row r="157" spans="1:11" x14ac:dyDescent="0.25">
      <c r="A157" s="38">
        <f>Données!A154</f>
        <v>5655</v>
      </c>
      <c r="B157" s="131" t="str">
        <f>Données!B154</f>
        <v>Yens</v>
      </c>
      <c r="C157" s="8">
        <f>Données!Z154</f>
        <v>1513</v>
      </c>
      <c r="D157" s="8">
        <f t="shared" si="8"/>
        <v>1000</v>
      </c>
      <c r="E157" s="162">
        <f t="shared" si="7"/>
        <v>513</v>
      </c>
      <c r="F157" s="8">
        <f t="shared" si="7"/>
        <v>0</v>
      </c>
      <c r="G157" s="162">
        <f t="shared" si="7"/>
        <v>0</v>
      </c>
      <c r="H157" s="31">
        <f t="shared" si="7"/>
        <v>0</v>
      </c>
      <c r="I157" s="8">
        <f t="shared" si="7"/>
        <v>0</v>
      </c>
      <c r="J157" s="8">
        <f t="shared" si="9"/>
        <v>0</v>
      </c>
      <c r="K157" s="71">
        <f t="shared" si="10"/>
        <v>-319563.02816901403</v>
      </c>
    </row>
    <row r="158" spans="1:11" x14ac:dyDescent="0.25">
      <c r="A158" s="38">
        <f>Données!A155</f>
        <v>5656</v>
      </c>
      <c r="B158" s="131" t="str">
        <f>Données!B155</f>
        <v>Hautemorges</v>
      </c>
      <c r="C158" s="8">
        <f>Données!Z155</f>
        <v>4257</v>
      </c>
      <c r="D158" s="8">
        <f t="shared" si="8"/>
        <v>1000</v>
      </c>
      <c r="E158" s="162">
        <f t="shared" si="7"/>
        <v>2000</v>
      </c>
      <c r="F158" s="8">
        <f t="shared" si="7"/>
        <v>1257</v>
      </c>
      <c r="G158" s="162">
        <f t="shared" ref="E158:I209" si="11">IF($C158&gt;G$5,IF($C158&lt;G$6,$C158-G$5,G$6-G$5),0)</f>
        <v>0</v>
      </c>
      <c r="H158" s="31">
        <f t="shared" si="11"/>
        <v>0</v>
      </c>
      <c r="I158" s="8">
        <f t="shared" si="11"/>
        <v>0</v>
      </c>
      <c r="J158" s="8">
        <f t="shared" si="9"/>
        <v>0</v>
      </c>
      <c r="K158" s="71">
        <f t="shared" si="10"/>
        <v>-1525151.4084507041</v>
      </c>
    </row>
    <row r="159" spans="1:11" x14ac:dyDescent="0.25">
      <c r="A159" s="38">
        <f>Données!A156</f>
        <v>5661</v>
      </c>
      <c r="B159" s="131" t="str">
        <f>Données!B156</f>
        <v>Boulens</v>
      </c>
      <c r="C159" s="8">
        <f>Données!Z156</f>
        <v>383</v>
      </c>
      <c r="D159" s="8">
        <f t="shared" si="8"/>
        <v>383</v>
      </c>
      <c r="E159" s="162">
        <f t="shared" si="11"/>
        <v>0</v>
      </c>
      <c r="F159" s="8">
        <f t="shared" si="11"/>
        <v>0</v>
      </c>
      <c r="G159" s="162">
        <f t="shared" si="11"/>
        <v>0</v>
      </c>
      <c r="H159" s="31">
        <f t="shared" si="11"/>
        <v>0</v>
      </c>
      <c r="I159" s="8">
        <f t="shared" si="11"/>
        <v>0</v>
      </c>
      <c r="J159" s="8">
        <f t="shared" si="9"/>
        <v>0</v>
      </c>
      <c r="K159" s="71">
        <f t="shared" si="10"/>
        <v>-50235.035211267597</v>
      </c>
    </row>
    <row r="160" spans="1:11" x14ac:dyDescent="0.25">
      <c r="A160" s="38">
        <f>Données!A157</f>
        <v>5663</v>
      </c>
      <c r="B160" s="131" t="str">
        <f>Données!B157</f>
        <v>Bussy-sur-Moudon</v>
      </c>
      <c r="C160" s="8">
        <f>Données!Z157</f>
        <v>246</v>
      </c>
      <c r="D160" s="8">
        <f t="shared" si="8"/>
        <v>246</v>
      </c>
      <c r="E160" s="162">
        <f t="shared" si="11"/>
        <v>0</v>
      </c>
      <c r="F160" s="8">
        <f t="shared" si="11"/>
        <v>0</v>
      </c>
      <c r="G160" s="162">
        <f t="shared" si="11"/>
        <v>0</v>
      </c>
      <c r="H160" s="31">
        <f t="shared" si="11"/>
        <v>0</v>
      </c>
      <c r="I160" s="8">
        <f t="shared" si="11"/>
        <v>0</v>
      </c>
      <c r="J160" s="8">
        <f t="shared" si="9"/>
        <v>0</v>
      </c>
      <c r="K160" s="71">
        <f t="shared" si="10"/>
        <v>-32265.845070422529</v>
      </c>
    </row>
    <row r="161" spans="1:11" x14ac:dyDescent="0.25">
      <c r="A161" s="38">
        <f>Données!A158</f>
        <v>5665</v>
      </c>
      <c r="B161" s="131" t="str">
        <f>Données!B158</f>
        <v>Chavannes-sur-Moudon</v>
      </c>
      <c r="C161" s="8">
        <f>Données!Z158</f>
        <v>218</v>
      </c>
      <c r="D161" s="8">
        <f t="shared" si="8"/>
        <v>218</v>
      </c>
      <c r="E161" s="162">
        <f t="shared" si="11"/>
        <v>0</v>
      </c>
      <c r="F161" s="8">
        <f t="shared" si="11"/>
        <v>0</v>
      </c>
      <c r="G161" s="162">
        <f t="shared" si="11"/>
        <v>0</v>
      </c>
      <c r="H161" s="31">
        <f t="shared" si="11"/>
        <v>0</v>
      </c>
      <c r="I161" s="8">
        <f t="shared" si="11"/>
        <v>0</v>
      </c>
      <c r="J161" s="8">
        <f t="shared" si="9"/>
        <v>0</v>
      </c>
      <c r="K161" s="71">
        <f t="shared" si="10"/>
        <v>-28593.309859154924</v>
      </c>
    </row>
    <row r="162" spans="1:11" x14ac:dyDescent="0.25">
      <c r="A162" s="38">
        <f>Données!A159</f>
        <v>5669</v>
      </c>
      <c r="B162" s="131" t="str">
        <f>Données!B159</f>
        <v>Curtilles</v>
      </c>
      <c r="C162" s="8">
        <f>Données!Z159</f>
        <v>294</v>
      </c>
      <c r="D162" s="8">
        <f t="shared" si="8"/>
        <v>294</v>
      </c>
      <c r="E162" s="162">
        <f t="shared" si="11"/>
        <v>0</v>
      </c>
      <c r="F162" s="8">
        <f t="shared" si="11"/>
        <v>0</v>
      </c>
      <c r="G162" s="162">
        <f t="shared" si="11"/>
        <v>0</v>
      </c>
      <c r="H162" s="31">
        <f t="shared" si="11"/>
        <v>0</v>
      </c>
      <c r="I162" s="8">
        <f t="shared" si="11"/>
        <v>0</v>
      </c>
      <c r="J162" s="8">
        <f t="shared" si="9"/>
        <v>0</v>
      </c>
      <c r="K162" s="71">
        <f t="shared" si="10"/>
        <v>-38561.619718309848</v>
      </c>
    </row>
    <row r="163" spans="1:11" x14ac:dyDescent="0.25">
      <c r="A163" s="38">
        <f>Données!A160</f>
        <v>5671</v>
      </c>
      <c r="B163" s="131" t="str">
        <f>Données!B160</f>
        <v>Dompierre</v>
      </c>
      <c r="C163" s="8">
        <f>Données!Z160</f>
        <v>248</v>
      </c>
      <c r="D163" s="8">
        <f t="shared" si="8"/>
        <v>248</v>
      </c>
      <c r="E163" s="162">
        <f t="shared" si="11"/>
        <v>0</v>
      </c>
      <c r="F163" s="8">
        <f t="shared" si="11"/>
        <v>0</v>
      </c>
      <c r="G163" s="162">
        <f t="shared" si="11"/>
        <v>0</v>
      </c>
      <c r="H163" s="31">
        <f t="shared" si="11"/>
        <v>0</v>
      </c>
      <c r="I163" s="8">
        <f t="shared" si="11"/>
        <v>0</v>
      </c>
      <c r="J163" s="8">
        <f t="shared" si="9"/>
        <v>0</v>
      </c>
      <c r="K163" s="71">
        <f t="shared" si="10"/>
        <v>-32528.169014084502</v>
      </c>
    </row>
    <row r="164" spans="1:11" x14ac:dyDescent="0.25">
      <c r="A164" s="38">
        <f>Données!A161</f>
        <v>5673</v>
      </c>
      <c r="B164" s="131" t="str">
        <f>Données!B161</f>
        <v>Hermenches</v>
      </c>
      <c r="C164" s="8">
        <f>Données!Z161</f>
        <v>374</v>
      </c>
      <c r="D164" s="8">
        <f t="shared" si="8"/>
        <v>374</v>
      </c>
      <c r="E164" s="162">
        <f t="shared" si="11"/>
        <v>0</v>
      </c>
      <c r="F164" s="8">
        <f t="shared" si="11"/>
        <v>0</v>
      </c>
      <c r="G164" s="162">
        <f t="shared" si="11"/>
        <v>0</v>
      </c>
      <c r="H164" s="31">
        <f t="shared" si="11"/>
        <v>0</v>
      </c>
      <c r="I164" s="8">
        <f t="shared" si="11"/>
        <v>0</v>
      </c>
      <c r="J164" s="8">
        <f t="shared" si="9"/>
        <v>0</v>
      </c>
      <c r="K164" s="71">
        <f t="shared" si="10"/>
        <v>-49054.577464788723</v>
      </c>
    </row>
    <row r="165" spans="1:11" x14ac:dyDescent="0.25">
      <c r="A165" s="38">
        <f>Données!A162</f>
        <v>5674</v>
      </c>
      <c r="B165" s="131" t="str">
        <f>Données!B162</f>
        <v>Lovatens</v>
      </c>
      <c r="C165" s="8">
        <f>Données!Z162</f>
        <v>143</v>
      </c>
      <c r="D165" s="8">
        <f t="shared" si="8"/>
        <v>143</v>
      </c>
      <c r="E165" s="162">
        <f t="shared" si="11"/>
        <v>0</v>
      </c>
      <c r="F165" s="8">
        <f t="shared" si="11"/>
        <v>0</v>
      </c>
      <c r="G165" s="162">
        <f t="shared" si="11"/>
        <v>0</v>
      </c>
      <c r="H165" s="31">
        <f t="shared" si="11"/>
        <v>0</v>
      </c>
      <c r="I165" s="8">
        <f t="shared" si="11"/>
        <v>0</v>
      </c>
      <c r="J165" s="8">
        <f t="shared" si="9"/>
        <v>0</v>
      </c>
      <c r="K165" s="71">
        <f t="shared" si="10"/>
        <v>-18756.161971830981</v>
      </c>
    </row>
    <row r="166" spans="1:11" x14ac:dyDescent="0.25">
      <c r="A166" s="38">
        <f>Données!A163</f>
        <v>5675</v>
      </c>
      <c r="B166" s="131" t="str">
        <f>Données!B163</f>
        <v>Lucens</v>
      </c>
      <c r="C166" s="8">
        <f>Données!Z163</f>
        <v>4420</v>
      </c>
      <c r="D166" s="8">
        <f t="shared" si="8"/>
        <v>1000</v>
      </c>
      <c r="E166" s="162">
        <f t="shared" si="11"/>
        <v>2000</v>
      </c>
      <c r="F166" s="8">
        <f t="shared" si="11"/>
        <v>1420</v>
      </c>
      <c r="G166" s="162">
        <f t="shared" si="11"/>
        <v>0</v>
      </c>
      <c r="H166" s="31">
        <f t="shared" si="11"/>
        <v>0</v>
      </c>
      <c r="I166" s="8">
        <f t="shared" si="11"/>
        <v>0</v>
      </c>
      <c r="J166" s="8">
        <f t="shared" si="9"/>
        <v>0</v>
      </c>
      <c r="K166" s="71">
        <f t="shared" si="10"/>
        <v>-1610669.0140845068</v>
      </c>
    </row>
    <row r="167" spans="1:11" x14ac:dyDescent="0.25">
      <c r="A167" s="38">
        <f>Données!A164</f>
        <v>5678</v>
      </c>
      <c r="B167" s="131" t="str">
        <f>Données!B164</f>
        <v>Moudon</v>
      </c>
      <c r="C167" s="8">
        <f>Données!Z164</f>
        <v>6132</v>
      </c>
      <c r="D167" s="8">
        <f t="shared" si="8"/>
        <v>1000</v>
      </c>
      <c r="E167" s="162">
        <f t="shared" si="11"/>
        <v>2000</v>
      </c>
      <c r="F167" s="8">
        <f t="shared" si="11"/>
        <v>2000</v>
      </c>
      <c r="G167" s="162">
        <f t="shared" si="11"/>
        <v>1132</v>
      </c>
      <c r="H167" s="31">
        <f t="shared" si="11"/>
        <v>0</v>
      </c>
      <c r="I167" s="8">
        <f t="shared" si="11"/>
        <v>0</v>
      </c>
      <c r="J167" s="8">
        <f t="shared" si="9"/>
        <v>0</v>
      </c>
      <c r="K167" s="71">
        <f t="shared" si="10"/>
        <v>-2627646.4788732389</v>
      </c>
    </row>
    <row r="168" spans="1:11" x14ac:dyDescent="0.25">
      <c r="A168" s="38">
        <f>Données!A165</f>
        <v>5680</v>
      </c>
      <c r="B168" s="131" t="str">
        <f>Données!B165</f>
        <v>Ogens</v>
      </c>
      <c r="C168" s="8">
        <f>Données!Z165</f>
        <v>324</v>
      </c>
      <c r="D168" s="8">
        <f t="shared" si="8"/>
        <v>324</v>
      </c>
      <c r="E168" s="162">
        <f t="shared" si="11"/>
        <v>0</v>
      </c>
      <c r="F168" s="8">
        <f t="shared" si="11"/>
        <v>0</v>
      </c>
      <c r="G168" s="162">
        <f t="shared" si="11"/>
        <v>0</v>
      </c>
      <c r="H168" s="31">
        <f t="shared" si="11"/>
        <v>0</v>
      </c>
      <c r="I168" s="8">
        <f t="shared" si="11"/>
        <v>0</v>
      </c>
      <c r="J168" s="8">
        <f t="shared" si="9"/>
        <v>0</v>
      </c>
      <c r="K168" s="71">
        <f t="shared" si="10"/>
        <v>-42496.47887323943</v>
      </c>
    </row>
    <row r="169" spans="1:11" x14ac:dyDescent="0.25">
      <c r="A169" s="38">
        <f>Données!A166</f>
        <v>5683</v>
      </c>
      <c r="B169" s="131" t="str">
        <f>Données!B166</f>
        <v>Prévonloup</v>
      </c>
      <c r="C169" s="8">
        <f>Données!Z166</f>
        <v>220</v>
      </c>
      <c r="D169" s="8">
        <f t="shared" si="8"/>
        <v>220</v>
      </c>
      <c r="E169" s="162">
        <f t="shared" si="11"/>
        <v>0</v>
      </c>
      <c r="F169" s="8">
        <f t="shared" si="11"/>
        <v>0</v>
      </c>
      <c r="G169" s="162">
        <f t="shared" si="11"/>
        <v>0</v>
      </c>
      <c r="H169" s="31">
        <f t="shared" si="11"/>
        <v>0</v>
      </c>
      <c r="I169" s="8">
        <f t="shared" si="11"/>
        <v>0</v>
      </c>
      <c r="J169" s="8">
        <f t="shared" si="9"/>
        <v>0</v>
      </c>
      <c r="K169" s="71">
        <f t="shared" si="10"/>
        <v>-28855.633802816898</v>
      </c>
    </row>
    <row r="170" spans="1:11" x14ac:dyDescent="0.25">
      <c r="A170" s="38">
        <f>Données!A167</f>
        <v>5684</v>
      </c>
      <c r="B170" s="131" t="str">
        <f>Données!B167</f>
        <v>Rossenges</v>
      </c>
      <c r="C170" s="8">
        <f>Données!Z167</f>
        <v>93</v>
      </c>
      <c r="D170" s="8">
        <f t="shared" si="8"/>
        <v>93</v>
      </c>
      <c r="E170" s="162">
        <f t="shared" si="11"/>
        <v>0</v>
      </c>
      <c r="F170" s="8">
        <f t="shared" si="11"/>
        <v>0</v>
      </c>
      <c r="G170" s="162">
        <f t="shared" si="11"/>
        <v>0</v>
      </c>
      <c r="H170" s="31">
        <f t="shared" si="11"/>
        <v>0</v>
      </c>
      <c r="I170" s="8">
        <f t="shared" si="11"/>
        <v>0</v>
      </c>
      <c r="J170" s="8">
        <f t="shared" si="9"/>
        <v>0</v>
      </c>
      <c r="K170" s="71">
        <f t="shared" si="10"/>
        <v>-12198.063380281688</v>
      </c>
    </row>
    <row r="171" spans="1:11" x14ac:dyDescent="0.25">
      <c r="A171" s="38">
        <f>Données!A168</f>
        <v>5688</v>
      </c>
      <c r="B171" s="131" t="str">
        <f>Données!B168</f>
        <v>Syens</v>
      </c>
      <c r="C171" s="8">
        <f>Données!Z168</f>
        <v>164</v>
      </c>
      <c r="D171" s="8">
        <f t="shared" si="8"/>
        <v>164</v>
      </c>
      <c r="E171" s="162">
        <f t="shared" si="11"/>
        <v>0</v>
      </c>
      <c r="F171" s="8">
        <f t="shared" si="11"/>
        <v>0</v>
      </c>
      <c r="G171" s="162">
        <f t="shared" si="11"/>
        <v>0</v>
      </c>
      <c r="H171" s="31">
        <f t="shared" si="11"/>
        <v>0</v>
      </c>
      <c r="I171" s="8">
        <f t="shared" si="11"/>
        <v>0</v>
      </c>
      <c r="J171" s="8">
        <f t="shared" si="9"/>
        <v>0</v>
      </c>
      <c r="K171" s="71">
        <f t="shared" si="10"/>
        <v>-21510.563380281685</v>
      </c>
    </row>
    <row r="172" spans="1:11" x14ac:dyDescent="0.25">
      <c r="A172" s="38">
        <f>Données!A169</f>
        <v>5690</v>
      </c>
      <c r="B172" s="131" t="str">
        <f>Données!B169</f>
        <v>Villars-le-Comte</v>
      </c>
      <c r="C172" s="8">
        <f>Données!Z169</f>
        <v>138</v>
      </c>
      <c r="D172" s="8">
        <f t="shared" ref="D172:D235" si="12">IF($C172&gt;D$5,IF($C172&lt;D$6,$C172-D$5,D$6-D$5),0)</f>
        <v>138</v>
      </c>
      <c r="E172" s="162">
        <f t="shared" si="11"/>
        <v>0</v>
      </c>
      <c r="F172" s="8">
        <f t="shared" si="11"/>
        <v>0</v>
      </c>
      <c r="G172" s="162">
        <f t="shared" si="11"/>
        <v>0</v>
      </c>
      <c r="H172" s="31">
        <f t="shared" si="11"/>
        <v>0</v>
      </c>
      <c r="I172" s="8">
        <f t="shared" si="11"/>
        <v>0</v>
      </c>
      <c r="J172" s="8">
        <f t="shared" si="9"/>
        <v>0</v>
      </c>
      <c r="K172" s="71">
        <f t="shared" si="10"/>
        <v>-18100.352112676053</v>
      </c>
    </row>
    <row r="173" spans="1:11" x14ac:dyDescent="0.25">
      <c r="A173" s="38">
        <f>Données!A170</f>
        <v>5692</v>
      </c>
      <c r="B173" s="131" t="str">
        <f>Données!B170</f>
        <v>Vucherens</v>
      </c>
      <c r="C173" s="8">
        <f>Données!Z170</f>
        <v>637</v>
      </c>
      <c r="D173" s="8">
        <f t="shared" si="12"/>
        <v>637</v>
      </c>
      <c r="E173" s="162">
        <f t="shared" si="11"/>
        <v>0</v>
      </c>
      <c r="F173" s="8">
        <f t="shared" si="11"/>
        <v>0</v>
      </c>
      <c r="G173" s="162">
        <f t="shared" si="11"/>
        <v>0</v>
      </c>
      <c r="H173" s="31">
        <f t="shared" si="11"/>
        <v>0</v>
      </c>
      <c r="I173" s="8">
        <f t="shared" si="11"/>
        <v>0</v>
      </c>
      <c r="J173" s="8">
        <f t="shared" si="9"/>
        <v>0</v>
      </c>
      <c r="K173" s="71">
        <f t="shared" si="10"/>
        <v>-83550.176056338008</v>
      </c>
    </row>
    <row r="174" spans="1:11" x14ac:dyDescent="0.25">
      <c r="A174" s="38">
        <f>Données!A171</f>
        <v>5693</v>
      </c>
      <c r="B174" s="131" t="str">
        <f>Données!B171</f>
        <v>Montanaire</v>
      </c>
      <c r="C174" s="8">
        <f>Données!Z171</f>
        <v>2820</v>
      </c>
      <c r="D174" s="8">
        <f t="shared" si="12"/>
        <v>1000</v>
      </c>
      <c r="E174" s="162">
        <f t="shared" si="11"/>
        <v>1820</v>
      </c>
      <c r="F174" s="8">
        <f t="shared" si="11"/>
        <v>0</v>
      </c>
      <c r="G174" s="162">
        <f t="shared" si="11"/>
        <v>0</v>
      </c>
      <c r="H174" s="31">
        <f t="shared" si="11"/>
        <v>0</v>
      </c>
      <c r="I174" s="8">
        <f t="shared" si="11"/>
        <v>0</v>
      </c>
      <c r="J174" s="8">
        <f t="shared" si="9"/>
        <v>0</v>
      </c>
      <c r="K174" s="71">
        <f t="shared" si="10"/>
        <v>-799563.38028169004</v>
      </c>
    </row>
    <row r="175" spans="1:11" x14ac:dyDescent="0.25">
      <c r="A175" s="38">
        <f>Données!A172</f>
        <v>5701</v>
      </c>
      <c r="B175" s="131" t="str">
        <f>Données!B172</f>
        <v>Arnex-sur-Nyon</v>
      </c>
      <c r="C175" s="8">
        <f>Données!Z172</f>
        <v>240</v>
      </c>
      <c r="D175" s="8">
        <f t="shared" si="12"/>
        <v>240</v>
      </c>
      <c r="E175" s="162">
        <f t="shared" si="11"/>
        <v>0</v>
      </c>
      <c r="F175" s="8">
        <f t="shared" si="11"/>
        <v>0</v>
      </c>
      <c r="G175" s="162">
        <f t="shared" si="11"/>
        <v>0</v>
      </c>
      <c r="H175" s="31">
        <f t="shared" si="11"/>
        <v>0</v>
      </c>
      <c r="I175" s="8">
        <f t="shared" si="11"/>
        <v>0</v>
      </c>
      <c r="J175" s="8">
        <f t="shared" si="9"/>
        <v>0</v>
      </c>
      <c r="K175" s="71">
        <f t="shared" si="10"/>
        <v>-31478.873239436612</v>
      </c>
    </row>
    <row r="176" spans="1:11" x14ac:dyDescent="0.25">
      <c r="A176" s="38">
        <f>Données!A173</f>
        <v>5702</v>
      </c>
      <c r="B176" s="131" t="str">
        <f>Données!B173</f>
        <v>Arzier-Le Muids</v>
      </c>
      <c r="C176" s="8">
        <f>Données!Z173</f>
        <v>2954</v>
      </c>
      <c r="D176" s="8">
        <f t="shared" si="12"/>
        <v>1000</v>
      </c>
      <c r="E176" s="162">
        <f t="shared" si="11"/>
        <v>1954</v>
      </c>
      <c r="F176" s="8">
        <f t="shared" si="11"/>
        <v>0</v>
      </c>
      <c r="G176" s="162">
        <f t="shared" si="11"/>
        <v>0</v>
      </c>
      <c r="H176" s="31">
        <f t="shared" si="11"/>
        <v>0</v>
      </c>
      <c r="I176" s="8">
        <f t="shared" si="11"/>
        <v>0</v>
      </c>
      <c r="J176" s="8">
        <f t="shared" si="9"/>
        <v>0</v>
      </c>
      <c r="K176" s="71">
        <f t="shared" si="10"/>
        <v>-848775.3521126759</v>
      </c>
    </row>
    <row r="177" spans="1:11" x14ac:dyDescent="0.25">
      <c r="A177" s="38">
        <f>Données!A174</f>
        <v>5703</v>
      </c>
      <c r="B177" s="131" t="str">
        <f>Données!B174</f>
        <v>Bassins</v>
      </c>
      <c r="C177" s="8">
        <f>Données!Z174</f>
        <v>1478</v>
      </c>
      <c r="D177" s="8">
        <f t="shared" si="12"/>
        <v>1000</v>
      </c>
      <c r="E177" s="162">
        <f t="shared" si="11"/>
        <v>478</v>
      </c>
      <c r="F177" s="8">
        <f t="shared" si="11"/>
        <v>0</v>
      </c>
      <c r="G177" s="162">
        <f t="shared" si="11"/>
        <v>0</v>
      </c>
      <c r="H177" s="31">
        <f t="shared" si="11"/>
        <v>0</v>
      </c>
      <c r="I177" s="8">
        <f t="shared" si="11"/>
        <v>0</v>
      </c>
      <c r="J177" s="8">
        <f t="shared" si="9"/>
        <v>0</v>
      </c>
      <c r="K177" s="71">
        <f t="shared" si="10"/>
        <v>-306709.15492957737</v>
      </c>
    </row>
    <row r="178" spans="1:11" x14ac:dyDescent="0.25">
      <c r="A178" s="38">
        <f>Données!A175</f>
        <v>5704</v>
      </c>
      <c r="B178" s="131" t="str">
        <f>Données!B175</f>
        <v>Begnins</v>
      </c>
      <c r="C178" s="8">
        <f>Données!Z175</f>
        <v>1938</v>
      </c>
      <c r="D178" s="8">
        <f t="shared" si="12"/>
        <v>1000</v>
      </c>
      <c r="E178" s="162">
        <f t="shared" si="11"/>
        <v>938</v>
      </c>
      <c r="F178" s="8">
        <f t="shared" si="11"/>
        <v>0</v>
      </c>
      <c r="G178" s="162">
        <f t="shared" si="11"/>
        <v>0</v>
      </c>
      <c r="H178" s="31">
        <f t="shared" si="11"/>
        <v>0</v>
      </c>
      <c r="I178" s="8">
        <f t="shared" si="11"/>
        <v>0</v>
      </c>
      <c r="J178" s="8">
        <f t="shared" si="9"/>
        <v>0</v>
      </c>
      <c r="K178" s="71">
        <f t="shared" si="10"/>
        <v>-475645.77464788721</v>
      </c>
    </row>
    <row r="179" spans="1:11" x14ac:dyDescent="0.25">
      <c r="A179" s="38">
        <f>Données!A176</f>
        <v>5705</v>
      </c>
      <c r="B179" s="131" t="str">
        <f>Données!B176</f>
        <v>Bogis-Bossey</v>
      </c>
      <c r="C179" s="8">
        <f>Données!Z176</f>
        <v>923</v>
      </c>
      <c r="D179" s="8">
        <f t="shared" si="12"/>
        <v>923</v>
      </c>
      <c r="E179" s="162">
        <f t="shared" si="11"/>
        <v>0</v>
      </c>
      <c r="F179" s="8">
        <f t="shared" si="11"/>
        <v>0</v>
      </c>
      <c r="G179" s="162">
        <f t="shared" si="11"/>
        <v>0</v>
      </c>
      <c r="H179" s="31">
        <f t="shared" si="11"/>
        <v>0</v>
      </c>
      <c r="I179" s="8">
        <f t="shared" si="11"/>
        <v>0</v>
      </c>
      <c r="J179" s="8">
        <f t="shared" si="9"/>
        <v>0</v>
      </c>
      <c r="K179" s="71">
        <f t="shared" si="10"/>
        <v>-121062.49999999997</v>
      </c>
    </row>
    <row r="180" spans="1:11" x14ac:dyDescent="0.25">
      <c r="A180" s="38">
        <f>Données!A177</f>
        <v>5706</v>
      </c>
      <c r="B180" s="131" t="str">
        <f>Données!B177</f>
        <v>Borex</v>
      </c>
      <c r="C180" s="8">
        <f>Données!Z177</f>
        <v>1131</v>
      </c>
      <c r="D180" s="8">
        <f t="shared" si="12"/>
        <v>1000</v>
      </c>
      <c r="E180" s="162">
        <f t="shared" si="11"/>
        <v>131</v>
      </c>
      <c r="F180" s="8">
        <f t="shared" si="11"/>
        <v>0</v>
      </c>
      <c r="G180" s="162">
        <f t="shared" si="11"/>
        <v>0</v>
      </c>
      <c r="H180" s="31">
        <f t="shared" si="11"/>
        <v>0</v>
      </c>
      <c r="I180" s="8">
        <f t="shared" si="11"/>
        <v>0</v>
      </c>
      <c r="J180" s="8">
        <f t="shared" si="9"/>
        <v>0</v>
      </c>
      <c r="K180" s="71">
        <f t="shared" si="10"/>
        <v>-179272.18309859151</v>
      </c>
    </row>
    <row r="181" spans="1:11" x14ac:dyDescent="0.25">
      <c r="A181" s="38">
        <f>Données!A178</f>
        <v>5707</v>
      </c>
      <c r="B181" s="131" t="str">
        <f>Données!B178</f>
        <v>Chavannes-de-Bogis</v>
      </c>
      <c r="C181" s="8">
        <f>Données!Z178</f>
        <v>1314</v>
      </c>
      <c r="D181" s="8">
        <f t="shared" si="12"/>
        <v>1000</v>
      </c>
      <c r="E181" s="162">
        <f t="shared" si="11"/>
        <v>314</v>
      </c>
      <c r="F181" s="8">
        <f t="shared" si="11"/>
        <v>0</v>
      </c>
      <c r="G181" s="162">
        <f t="shared" si="11"/>
        <v>0</v>
      </c>
      <c r="H181" s="31">
        <f t="shared" si="11"/>
        <v>0</v>
      </c>
      <c r="I181" s="8">
        <f t="shared" si="11"/>
        <v>0</v>
      </c>
      <c r="J181" s="8">
        <f t="shared" si="9"/>
        <v>0</v>
      </c>
      <c r="K181" s="71">
        <f t="shared" si="10"/>
        <v>-246479.57746478869</v>
      </c>
    </row>
    <row r="182" spans="1:11" x14ac:dyDescent="0.25">
      <c r="A182" s="38">
        <f>Données!A179</f>
        <v>5708</v>
      </c>
      <c r="B182" s="131" t="str">
        <f>Données!B179</f>
        <v>Chavannes-des-Bois</v>
      </c>
      <c r="C182" s="8">
        <f>Données!Z179</f>
        <v>1019</v>
      </c>
      <c r="D182" s="8">
        <f t="shared" si="12"/>
        <v>1000</v>
      </c>
      <c r="E182" s="162">
        <f t="shared" si="11"/>
        <v>19</v>
      </c>
      <c r="F182" s="8">
        <f t="shared" si="11"/>
        <v>0</v>
      </c>
      <c r="G182" s="162">
        <f t="shared" si="11"/>
        <v>0</v>
      </c>
      <c r="H182" s="31">
        <f t="shared" si="11"/>
        <v>0</v>
      </c>
      <c r="I182" s="8">
        <f t="shared" si="11"/>
        <v>0</v>
      </c>
      <c r="J182" s="8">
        <f t="shared" si="9"/>
        <v>0</v>
      </c>
      <c r="K182" s="71">
        <f t="shared" si="10"/>
        <v>-138139.78873239434</v>
      </c>
    </row>
    <row r="183" spans="1:11" x14ac:dyDescent="0.25">
      <c r="A183" s="38">
        <f>Données!A180</f>
        <v>5709</v>
      </c>
      <c r="B183" s="131" t="str">
        <f>Données!B180</f>
        <v>Chéserex</v>
      </c>
      <c r="C183" s="8">
        <f>Données!Z180</f>
        <v>1251</v>
      </c>
      <c r="D183" s="8">
        <f t="shared" si="12"/>
        <v>1000</v>
      </c>
      <c r="E183" s="162">
        <f t="shared" si="11"/>
        <v>251</v>
      </c>
      <c r="F183" s="8">
        <f t="shared" si="11"/>
        <v>0</v>
      </c>
      <c r="G183" s="162">
        <f t="shared" si="11"/>
        <v>0</v>
      </c>
      <c r="H183" s="31">
        <f t="shared" si="11"/>
        <v>0</v>
      </c>
      <c r="I183" s="8">
        <f t="shared" si="11"/>
        <v>0</v>
      </c>
      <c r="J183" s="8">
        <f t="shared" si="9"/>
        <v>0</v>
      </c>
      <c r="K183" s="71">
        <f t="shared" si="10"/>
        <v>-223342.60563380277</v>
      </c>
    </row>
    <row r="184" spans="1:11" x14ac:dyDescent="0.25">
      <c r="A184" s="38">
        <f>Données!A181</f>
        <v>5710</v>
      </c>
      <c r="B184" s="131" t="str">
        <f>Données!B181</f>
        <v>Coinsins</v>
      </c>
      <c r="C184" s="8">
        <f>Données!Z181</f>
        <v>499</v>
      </c>
      <c r="D184" s="8">
        <f t="shared" si="12"/>
        <v>499</v>
      </c>
      <c r="E184" s="162">
        <f t="shared" si="11"/>
        <v>0</v>
      </c>
      <c r="F184" s="8">
        <f t="shared" si="11"/>
        <v>0</v>
      </c>
      <c r="G184" s="162">
        <f t="shared" si="11"/>
        <v>0</v>
      </c>
      <c r="H184" s="31">
        <f t="shared" si="11"/>
        <v>0</v>
      </c>
      <c r="I184" s="8">
        <f t="shared" si="11"/>
        <v>0</v>
      </c>
      <c r="J184" s="8">
        <f t="shared" si="9"/>
        <v>0</v>
      </c>
      <c r="K184" s="71">
        <f t="shared" si="10"/>
        <v>-65449.823943661962</v>
      </c>
    </row>
    <row r="185" spans="1:11" x14ac:dyDescent="0.25">
      <c r="A185" s="38">
        <f>Données!A182</f>
        <v>5711</v>
      </c>
      <c r="B185" s="131" t="str">
        <f>Données!B182</f>
        <v>Commugny</v>
      </c>
      <c r="C185" s="8">
        <f>Données!Z182</f>
        <v>2983</v>
      </c>
      <c r="D185" s="8">
        <f t="shared" si="12"/>
        <v>1000</v>
      </c>
      <c r="E185" s="162">
        <f t="shared" si="11"/>
        <v>1983</v>
      </c>
      <c r="F185" s="8">
        <f t="shared" si="11"/>
        <v>0</v>
      </c>
      <c r="G185" s="162">
        <f t="shared" si="11"/>
        <v>0</v>
      </c>
      <c r="H185" s="31">
        <f t="shared" si="11"/>
        <v>0</v>
      </c>
      <c r="I185" s="8">
        <f t="shared" si="11"/>
        <v>0</v>
      </c>
      <c r="J185" s="8">
        <f t="shared" si="9"/>
        <v>0</v>
      </c>
      <c r="K185" s="71">
        <f t="shared" si="10"/>
        <v>-859425.70422535192</v>
      </c>
    </row>
    <row r="186" spans="1:11" x14ac:dyDescent="0.25">
      <c r="A186" s="38">
        <f>Données!A183</f>
        <v>5712</v>
      </c>
      <c r="B186" s="131" t="str">
        <f>Données!B183</f>
        <v>Coppet</v>
      </c>
      <c r="C186" s="8">
        <f>Données!Z183</f>
        <v>3184</v>
      </c>
      <c r="D186" s="8">
        <f t="shared" si="12"/>
        <v>1000</v>
      </c>
      <c r="E186" s="162">
        <f t="shared" si="11"/>
        <v>2000</v>
      </c>
      <c r="F186" s="8">
        <f t="shared" si="11"/>
        <v>184</v>
      </c>
      <c r="G186" s="162">
        <f t="shared" si="11"/>
        <v>0</v>
      </c>
      <c r="H186" s="31">
        <f t="shared" si="11"/>
        <v>0</v>
      </c>
      <c r="I186" s="8">
        <f t="shared" si="11"/>
        <v>0</v>
      </c>
      <c r="J186" s="8">
        <f t="shared" si="9"/>
        <v>0</v>
      </c>
      <c r="K186" s="71">
        <f t="shared" si="10"/>
        <v>-962204.22535211255</v>
      </c>
    </row>
    <row r="187" spans="1:11" x14ac:dyDescent="0.25">
      <c r="A187" s="38">
        <f>Données!A184</f>
        <v>5713</v>
      </c>
      <c r="B187" s="131" t="str">
        <f>Données!B184</f>
        <v>Crans</v>
      </c>
      <c r="C187" s="8">
        <f>Données!Z184</f>
        <v>2357</v>
      </c>
      <c r="D187" s="8">
        <f t="shared" si="12"/>
        <v>1000</v>
      </c>
      <c r="E187" s="162">
        <f t="shared" si="11"/>
        <v>1357</v>
      </c>
      <c r="F187" s="8">
        <f t="shared" si="11"/>
        <v>0</v>
      </c>
      <c r="G187" s="162">
        <f t="shared" si="11"/>
        <v>0</v>
      </c>
      <c r="H187" s="31">
        <f t="shared" si="11"/>
        <v>0</v>
      </c>
      <c r="I187" s="8">
        <f t="shared" si="11"/>
        <v>0</v>
      </c>
      <c r="J187" s="8">
        <f t="shared" si="9"/>
        <v>0</v>
      </c>
      <c r="K187" s="71">
        <f t="shared" si="10"/>
        <v>-629524.99999999988</v>
      </c>
    </row>
    <row r="188" spans="1:11" x14ac:dyDescent="0.25">
      <c r="A188" s="38">
        <f>Données!A185</f>
        <v>5714</v>
      </c>
      <c r="B188" s="131" t="str">
        <f>Données!B185</f>
        <v>Crassier</v>
      </c>
      <c r="C188" s="8">
        <f>Données!Z185</f>
        <v>1233</v>
      </c>
      <c r="D188" s="8">
        <f t="shared" si="12"/>
        <v>1000</v>
      </c>
      <c r="E188" s="162">
        <f t="shared" si="11"/>
        <v>233</v>
      </c>
      <c r="F188" s="8">
        <f t="shared" si="11"/>
        <v>0</v>
      </c>
      <c r="G188" s="162">
        <f t="shared" si="11"/>
        <v>0</v>
      </c>
      <c r="H188" s="31">
        <f t="shared" si="11"/>
        <v>0</v>
      </c>
      <c r="I188" s="8">
        <f t="shared" si="11"/>
        <v>0</v>
      </c>
      <c r="J188" s="8">
        <f t="shared" si="9"/>
        <v>0</v>
      </c>
      <c r="K188" s="71">
        <f t="shared" si="10"/>
        <v>-216732.0422535211</v>
      </c>
    </row>
    <row r="189" spans="1:11" x14ac:dyDescent="0.25">
      <c r="A189" s="38">
        <f>Données!A186</f>
        <v>5715</v>
      </c>
      <c r="B189" s="131" t="str">
        <f>Données!B186</f>
        <v>Duillier</v>
      </c>
      <c r="C189" s="8">
        <f>Données!Z186</f>
        <v>1116</v>
      </c>
      <c r="D189" s="8">
        <f t="shared" si="12"/>
        <v>1000</v>
      </c>
      <c r="E189" s="162">
        <f t="shared" si="11"/>
        <v>116</v>
      </c>
      <c r="F189" s="8">
        <f t="shared" si="11"/>
        <v>0</v>
      </c>
      <c r="G189" s="162">
        <f t="shared" si="11"/>
        <v>0</v>
      </c>
      <c r="H189" s="31">
        <f t="shared" si="11"/>
        <v>0</v>
      </c>
      <c r="I189" s="8">
        <f t="shared" si="11"/>
        <v>0</v>
      </c>
      <c r="J189" s="8">
        <f t="shared" si="9"/>
        <v>0</v>
      </c>
      <c r="K189" s="71">
        <f t="shared" si="10"/>
        <v>-173763.3802816901</v>
      </c>
    </row>
    <row r="190" spans="1:11" x14ac:dyDescent="0.25">
      <c r="A190" s="38">
        <f>Données!A187</f>
        <v>5716</v>
      </c>
      <c r="B190" s="131" t="str">
        <f>Données!B187</f>
        <v>Eysins</v>
      </c>
      <c r="C190" s="8">
        <f>Données!Z187</f>
        <v>1768</v>
      </c>
      <c r="D190" s="8">
        <f t="shared" si="12"/>
        <v>1000</v>
      </c>
      <c r="E190" s="162">
        <f t="shared" si="11"/>
        <v>768</v>
      </c>
      <c r="F190" s="8">
        <f t="shared" si="11"/>
        <v>0</v>
      </c>
      <c r="G190" s="162">
        <f t="shared" si="11"/>
        <v>0</v>
      </c>
      <c r="H190" s="31">
        <f t="shared" si="11"/>
        <v>0</v>
      </c>
      <c r="I190" s="8">
        <f t="shared" si="11"/>
        <v>0</v>
      </c>
      <c r="J190" s="8">
        <f t="shared" si="9"/>
        <v>0</v>
      </c>
      <c r="K190" s="71">
        <f t="shared" si="10"/>
        <v>-413212.67605633801</v>
      </c>
    </row>
    <row r="191" spans="1:11" x14ac:dyDescent="0.25">
      <c r="A191" s="38">
        <f>Données!A188</f>
        <v>5717</v>
      </c>
      <c r="B191" s="131" t="str">
        <f>Données!B188</f>
        <v>Founex</v>
      </c>
      <c r="C191" s="8">
        <f>Données!Z188</f>
        <v>3763</v>
      </c>
      <c r="D191" s="8">
        <f t="shared" si="12"/>
        <v>1000</v>
      </c>
      <c r="E191" s="162">
        <f t="shared" si="11"/>
        <v>2000</v>
      </c>
      <c r="F191" s="8">
        <f t="shared" si="11"/>
        <v>763</v>
      </c>
      <c r="G191" s="162">
        <f t="shared" si="11"/>
        <v>0</v>
      </c>
      <c r="H191" s="31">
        <f t="shared" si="11"/>
        <v>0</v>
      </c>
      <c r="I191" s="8">
        <f t="shared" si="11"/>
        <v>0</v>
      </c>
      <c r="J191" s="8">
        <f t="shared" si="9"/>
        <v>0</v>
      </c>
      <c r="K191" s="71">
        <f t="shared" si="10"/>
        <v>-1265975.3521126758</v>
      </c>
    </row>
    <row r="192" spans="1:11" x14ac:dyDescent="0.25">
      <c r="A192" s="38">
        <f>Données!A189</f>
        <v>5718</v>
      </c>
      <c r="B192" s="131" t="str">
        <f>Données!B189</f>
        <v>Genolier</v>
      </c>
      <c r="C192" s="8">
        <f>Données!Z189</f>
        <v>2026</v>
      </c>
      <c r="D192" s="8">
        <f t="shared" si="12"/>
        <v>1000</v>
      </c>
      <c r="E192" s="162">
        <f t="shared" si="11"/>
        <v>1026</v>
      </c>
      <c r="F192" s="8">
        <f t="shared" si="11"/>
        <v>0</v>
      </c>
      <c r="G192" s="162">
        <f t="shared" si="11"/>
        <v>0</v>
      </c>
      <c r="H192" s="31">
        <f t="shared" si="11"/>
        <v>0</v>
      </c>
      <c r="I192" s="8">
        <f t="shared" si="11"/>
        <v>0</v>
      </c>
      <c r="J192" s="8">
        <f t="shared" si="9"/>
        <v>0</v>
      </c>
      <c r="K192" s="71">
        <f t="shared" si="10"/>
        <v>-507964.08450704219</v>
      </c>
    </row>
    <row r="193" spans="1:11" x14ac:dyDescent="0.25">
      <c r="A193" s="38">
        <f>Données!A190</f>
        <v>5719</v>
      </c>
      <c r="B193" s="131" t="str">
        <f>Données!B190</f>
        <v>Gingins</v>
      </c>
      <c r="C193" s="8">
        <f>Données!Z190</f>
        <v>1270</v>
      </c>
      <c r="D193" s="8">
        <f t="shared" si="12"/>
        <v>1000</v>
      </c>
      <c r="E193" s="162">
        <f t="shared" si="11"/>
        <v>270</v>
      </c>
      <c r="F193" s="8">
        <f t="shared" si="11"/>
        <v>0</v>
      </c>
      <c r="G193" s="162">
        <f t="shared" si="11"/>
        <v>0</v>
      </c>
      <c r="H193" s="31">
        <f t="shared" si="11"/>
        <v>0</v>
      </c>
      <c r="I193" s="8">
        <f t="shared" si="11"/>
        <v>0</v>
      </c>
      <c r="J193" s="8">
        <f t="shared" si="9"/>
        <v>0</v>
      </c>
      <c r="K193" s="71">
        <f t="shared" si="10"/>
        <v>-230320.42253521123</v>
      </c>
    </row>
    <row r="194" spans="1:11" x14ac:dyDescent="0.25">
      <c r="A194" s="38">
        <f>Données!A191</f>
        <v>5720</v>
      </c>
      <c r="B194" s="131" t="str">
        <f>Données!B191</f>
        <v>Givrins</v>
      </c>
      <c r="C194" s="8">
        <f>Données!Z191</f>
        <v>1024</v>
      </c>
      <c r="D194" s="8">
        <f t="shared" si="12"/>
        <v>1000</v>
      </c>
      <c r="E194" s="162">
        <f t="shared" si="11"/>
        <v>24</v>
      </c>
      <c r="F194" s="8">
        <f t="shared" si="11"/>
        <v>0</v>
      </c>
      <c r="G194" s="162">
        <f t="shared" si="11"/>
        <v>0</v>
      </c>
      <c r="H194" s="31">
        <f t="shared" si="11"/>
        <v>0</v>
      </c>
      <c r="I194" s="8">
        <f t="shared" si="11"/>
        <v>0</v>
      </c>
      <c r="J194" s="8">
        <f t="shared" si="9"/>
        <v>0</v>
      </c>
      <c r="K194" s="71">
        <f t="shared" si="10"/>
        <v>-139976.05633802814</v>
      </c>
    </row>
    <row r="195" spans="1:11" x14ac:dyDescent="0.25">
      <c r="A195" s="38">
        <f>Données!A192</f>
        <v>5721</v>
      </c>
      <c r="B195" s="131" t="str">
        <f>Données!B192</f>
        <v>Gland</v>
      </c>
      <c r="C195" s="8">
        <f>Données!Z192</f>
        <v>13686</v>
      </c>
      <c r="D195" s="8">
        <f t="shared" si="12"/>
        <v>1000</v>
      </c>
      <c r="E195" s="162">
        <f t="shared" si="11"/>
        <v>2000</v>
      </c>
      <c r="F195" s="8">
        <f t="shared" si="11"/>
        <v>2000</v>
      </c>
      <c r="G195" s="162">
        <f t="shared" si="11"/>
        <v>4000</v>
      </c>
      <c r="H195" s="31">
        <f t="shared" si="11"/>
        <v>3000</v>
      </c>
      <c r="I195" s="8">
        <f t="shared" si="11"/>
        <v>1686</v>
      </c>
      <c r="J195" s="8">
        <f t="shared" si="9"/>
        <v>0</v>
      </c>
      <c r="K195" s="71">
        <f t="shared" si="10"/>
        <v>-8878091.5492957737</v>
      </c>
    </row>
    <row r="196" spans="1:11" x14ac:dyDescent="0.25">
      <c r="A196" s="38">
        <f>Données!A193</f>
        <v>5722</v>
      </c>
      <c r="B196" s="131" t="str">
        <f>Données!B193</f>
        <v>Grens</v>
      </c>
      <c r="C196" s="8">
        <f>Données!Z193</f>
        <v>400</v>
      </c>
      <c r="D196" s="8">
        <f t="shared" si="12"/>
        <v>400</v>
      </c>
      <c r="E196" s="162">
        <f t="shared" si="11"/>
        <v>0</v>
      </c>
      <c r="F196" s="8">
        <f t="shared" si="11"/>
        <v>0</v>
      </c>
      <c r="G196" s="162">
        <f t="shared" si="11"/>
        <v>0</v>
      </c>
      <c r="H196" s="31">
        <f t="shared" si="11"/>
        <v>0</v>
      </c>
      <c r="I196" s="8">
        <f t="shared" si="11"/>
        <v>0</v>
      </c>
      <c r="J196" s="8">
        <f t="shared" si="9"/>
        <v>0</v>
      </c>
      <c r="K196" s="71">
        <f t="shared" si="10"/>
        <v>-52464.788732394358</v>
      </c>
    </row>
    <row r="197" spans="1:11" x14ac:dyDescent="0.25">
      <c r="A197" s="38">
        <f>Données!A194</f>
        <v>5723</v>
      </c>
      <c r="B197" s="131" t="str">
        <f>Données!B194</f>
        <v>Mies</v>
      </c>
      <c r="C197" s="8">
        <f>Données!Z194</f>
        <v>2226</v>
      </c>
      <c r="D197" s="8">
        <f t="shared" si="12"/>
        <v>1000</v>
      </c>
      <c r="E197" s="162">
        <f t="shared" si="11"/>
        <v>1226</v>
      </c>
      <c r="F197" s="8">
        <f t="shared" si="11"/>
        <v>0</v>
      </c>
      <c r="G197" s="162">
        <f t="shared" si="11"/>
        <v>0</v>
      </c>
      <c r="H197" s="31">
        <f t="shared" si="11"/>
        <v>0</v>
      </c>
      <c r="I197" s="8">
        <f t="shared" si="11"/>
        <v>0</v>
      </c>
      <c r="J197" s="8">
        <f t="shared" si="9"/>
        <v>0</v>
      </c>
      <c r="K197" s="71">
        <f t="shared" si="10"/>
        <v>-581414.78873239423</v>
      </c>
    </row>
    <row r="198" spans="1:11" x14ac:dyDescent="0.25">
      <c r="A198" s="38">
        <f>Données!A195</f>
        <v>5724</v>
      </c>
      <c r="B198" s="131" t="str">
        <f>Données!B195</f>
        <v>Nyon</v>
      </c>
      <c r="C198" s="8">
        <f>Données!Z195</f>
        <v>22461</v>
      </c>
      <c r="D198" s="8">
        <f t="shared" si="12"/>
        <v>1000</v>
      </c>
      <c r="E198" s="162">
        <f t="shared" si="11"/>
        <v>2000</v>
      </c>
      <c r="F198" s="8">
        <f t="shared" si="11"/>
        <v>2000</v>
      </c>
      <c r="G198" s="162">
        <f t="shared" si="11"/>
        <v>4000</v>
      </c>
      <c r="H198" s="31">
        <f t="shared" si="11"/>
        <v>3000</v>
      </c>
      <c r="I198" s="8">
        <f t="shared" si="11"/>
        <v>3000</v>
      </c>
      <c r="J198" s="8">
        <f t="shared" si="9"/>
        <v>7461</v>
      </c>
      <c r="K198" s="71">
        <f t="shared" si="10"/>
        <v>-18477101.760563377</v>
      </c>
    </row>
    <row r="199" spans="1:11" x14ac:dyDescent="0.25">
      <c r="A199" s="38">
        <f>Données!A196</f>
        <v>5725</v>
      </c>
      <c r="B199" s="131" t="str">
        <f>Données!B196</f>
        <v>Prangins</v>
      </c>
      <c r="C199" s="8">
        <f>Données!Z196</f>
        <v>4277</v>
      </c>
      <c r="D199" s="8">
        <f t="shared" si="12"/>
        <v>1000</v>
      </c>
      <c r="E199" s="162">
        <f t="shared" si="11"/>
        <v>2000</v>
      </c>
      <c r="F199" s="8">
        <f t="shared" si="11"/>
        <v>1277</v>
      </c>
      <c r="G199" s="162">
        <f t="shared" si="11"/>
        <v>0</v>
      </c>
      <c r="H199" s="31">
        <f t="shared" si="11"/>
        <v>0</v>
      </c>
      <c r="I199" s="8">
        <f t="shared" si="11"/>
        <v>0</v>
      </c>
      <c r="J199" s="8">
        <f t="shared" si="9"/>
        <v>0</v>
      </c>
      <c r="K199" s="71">
        <f t="shared" si="10"/>
        <v>-1535644.3661971828</v>
      </c>
    </row>
    <row r="200" spans="1:11" x14ac:dyDescent="0.25">
      <c r="A200" s="38">
        <f>Données!A197</f>
        <v>5726</v>
      </c>
      <c r="B200" s="131" t="str">
        <f>Données!B197</f>
        <v>La Rippe</v>
      </c>
      <c r="C200" s="8">
        <f>Données!Z197</f>
        <v>1197</v>
      </c>
      <c r="D200" s="8">
        <f t="shared" si="12"/>
        <v>1000</v>
      </c>
      <c r="E200" s="162">
        <f t="shared" si="11"/>
        <v>197</v>
      </c>
      <c r="F200" s="8">
        <f t="shared" si="11"/>
        <v>0</v>
      </c>
      <c r="G200" s="162">
        <f t="shared" si="11"/>
        <v>0</v>
      </c>
      <c r="H200" s="31">
        <f t="shared" si="11"/>
        <v>0</v>
      </c>
      <c r="I200" s="8">
        <f t="shared" si="11"/>
        <v>0</v>
      </c>
      <c r="J200" s="8">
        <f t="shared" si="9"/>
        <v>0</v>
      </c>
      <c r="K200" s="71">
        <f t="shared" si="10"/>
        <v>-203510.91549295769</v>
      </c>
    </row>
    <row r="201" spans="1:11" x14ac:dyDescent="0.25">
      <c r="A201" s="38">
        <f>Données!A198</f>
        <v>5727</v>
      </c>
      <c r="B201" s="131" t="str">
        <f>Données!B198</f>
        <v>Saint-Cergue</v>
      </c>
      <c r="C201" s="8">
        <f>Données!Z198</f>
        <v>2786</v>
      </c>
      <c r="D201" s="8">
        <f t="shared" si="12"/>
        <v>1000</v>
      </c>
      <c r="E201" s="162">
        <f t="shared" si="11"/>
        <v>1786</v>
      </c>
      <c r="F201" s="8">
        <f t="shared" si="11"/>
        <v>0</v>
      </c>
      <c r="G201" s="162">
        <f t="shared" si="11"/>
        <v>0</v>
      </c>
      <c r="H201" s="31">
        <f t="shared" si="11"/>
        <v>0</v>
      </c>
      <c r="I201" s="8">
        <f t="shared" si="11"/>
        <v>0</v>
      </c>
      <c r="J201" s="8">
        <f t="shared" si="9"/>
        <v>0</v>
      </c>
      <c r="K201" s="71">
        <f t="shared" si="10"/>
        <v>-787076.76056338008</v>
      </c>
    </row>
    <row r="202" spans="1:11" x14ac:dyDescent="0.25">
      <c r="A202" s="38">
        <f>Données!A199</f>
        <v>5728</v>
      </c>
      <c r="B202" s="131" t="str">
        <f>Données!B199</f>
        <v>Signy-Avenex</v>
      </c>
      <c r="C202" s="8">
        <f>Données!Z199</f>
        <v>583</v>
      </c>
      <c r="D202" s="8">
        <f t="shared" si="12"/>
        <v>583</v>
      </c>
      <c r="E202" s="162">
        <f t="shared" si="11"/>
        <v>0</v>
      </c>
      <c r="F202" s="8">
        <f t="shared" si="11"/>
        <v>0</v>
      </c>
      <c r="G202" s="162">
        <f t="shared" si="11"/>
        <v>0</v>
      </c>
      <c r="H202" s="31">
        <f t="shared" si="11"/>
        <v>0</v>
      </c>
      <c r="I202" s="8">
        <f t="shared" si="11"/>
        <v>0</v>
      </c>
      <c r="J202" s="8">
        <f t="shared" ref="J202:J265" si="13">IF(C202&gt;$J$5,C202-$J$5,0)</f>
        <v>0</v>
      </c>
      <c r="K202" s="71">
        <f t="shared" ref="K202:K265" si="14">-((D202*D$8)+(E202*E$8)+(F202*F$8)+(G202*G$8)+(H202*H$8)+(I202*I$8)+(J202*J$8))</f>
        <v>-76467.429577464776</v>
      </c>
    </row>
    <row r="203" spans="1:11" x14ac:dyDescent="0.25">
      <c r="A203" s="38">
        <f>Données!A200</f>
        <v>5729</v>
      </c>
      <c r="B203" s="131" t="str">
        <f>Données!B200</f>
        <v>Tannay</v>
      </c>
      <c r="C203" s="8">
        <f>Données!Z200</f>
        <v>1720</v>
      </c>
      <c r="D203" s="8">
        <f t="shared" si="12"/>
        <v>1000</v>
      </c>
      <c r="E203" s="162">
        <f t="shared" si="11"/>
        <v>720</v>
      </c>
      <c r="F203" s="8">
        <f t="shared" si="11"/>
        <v>0</v>
      </c>
      <c r="G203" s="162">
        <f t="shared" si="11"/>
        <v>0</v>
      </c>
      <c r="H203" s="31">
        <f t="shared" si="11"/>
        <v>0</v>
      </c>
      <c r="I203" s="8">
        <f t="shared" si="11"/>
        <v>0</v>
      </c>
      <c r="J203" s="8">
        <f t="shared" si="13"/>
        <v>0</v>
      </c>
      <c r="K203" s="71">
        <f t="shared" si="14"/>
        <v>-395584.50704225351</v>
      </c>
    </row>
    <row r="204" spans="1:11" x14ac:dyDescent="0.25">
      <c r="A204" s="38">
        <f>Données!A201</f>
        <v>5730</v>
      </c>
      <c r="B204" s="131" t="str">
        <f>Données!B201</f>
        <v>Trélex</v>
      </c>
      <c r="C204" s="8">
        <f>Données!Z201</f>
        <v>1427</v>
      </c>
      <c r="D204" s="8">
        <f t="shared" si="12"/>
        <v>1000</v>
      </c>
      <c r="E204" s="162">
        <f t="shared" si="11"/>
        <v>427</v>
      </c>
      <c r="F204" s="8">
        <f t="shared" si="11"/>
        <v>0</v>
      </c>
      <c r="G204" s="162">
        <f t="shared" si="11"/>
        <v>0</v>
      </c>
      <c r="H204" s="31">
        <f t="shared" si="11"/>
        <v>0</v>
      </c>
      <c r="I204" s="8">
        <f t="shared" si="11"/>
        <v>0</v>
      </c>
      <c r="J204" s="8">
        <f t="shared" si="13"/>
        <v>0</v>
      </c>
      <c r="K204" s="71">
        <f t="shared" si="14"/>
        <v>-287979.22535211267</v>
      </c>
    </row>
    <row r="205" spans="1:11" x14ac:dyDescent="0.25">
      <c r="A205" s="38">
        <f>Données!A202</f>
        <v>5731</v>
      </c>
      <c r="B205" s="131" t="str">
        <f>Données!B202</f>
        <v>Le Vaud</v>
      </c>
      <c r="C205" s="8">
        <f>Données!Z202</f>
        <v>1411</v>
      </c>
      <c r="D205" s="8">
        <f t="shared" si="12"/>
        <v>1000</v>
      </c>
      <c r="E205" s="162">
        <f t="shared" si="11"/>
        <v>411</v>
      </c>
      <c r="F205" s="8">
        <f t="shared" si="11"/>
        <v>0</v>
      </c>
      <c r="G205" s="162">
        <f t="shared" si="11"/>
        <v>0</v>
      </c>
      <c r="H205" s="31">
        <f t="shared" si="11"/>
        <v>0</v>
      </c>
      <c r="I205" s="8">
        <f t="shared" si="11"/>
        <v>0</v>
      </c>
      <c r="J205" s="8">
        <f t="shared" si="13"/>
        <v>0</v>
      </c>
      <c r="K205" s="71">
        <f t="shared" si="14"/>
        <v>-282103.1690140845</v>
      </c>
    </row>
    <row r="206" spans="1:11" x14ac:dyDescent="0.25">
      <c r="A206" s="38">
        <f>Données!A203</f>
        <v>5732</v>
      </c>
      <c r="B206" s="131" t="str">
        <f>Données!B203</f>
        <v>Vich</v>
      </c>
      <c r="C206" s="8">
        <f>Données!Z203</f>
        <v>1160</v>
      </c>
      <c r="D206" s="8">
        <f t="shared" si="12"/>
        <v>1000</v>
      </c>
      <c r="E206" s="162">
        <f t="shared" si="11"/>
        <v>160</v>
      </c>
      <c r="F206" s="8">
        <f t="shared" si="11"/>
        <v>0</v>
      </c>
      <c r="G206" s="162">
        <f t="shared" si="11"/>
        <v>0</v>
      </c>
      <c r="H206" s="31">
        <f t="shared" si="11"/>
        <v>0</v>
      </c>
      <c r="I206" s="8">
        <f t="shared" si="11"/>
        <v>0</v>
      </c>
      <c r="J206" s="8">
        <f t="shared" si="13"/>
        <v>0</v>
      </c>
      <c r="K206" s="71">
        <f t="shared" si="14"/>
        <v>-189922.53521126756</v>
      </c>
    </row>
    <row r="207" spans="1:11" x14ac:dyDescent="0.25">
      <c r="A207" s="38">
        <f>Données!A204</f>
        <v>5741</v>
      </c>
      <c r="B207" s="131" t="str">
        <f>Données!B204</f>
        <v>L'Abergement</v>
      </c>
      <c r="C207" s="8">
        <f>Données!Z204</f>
        <v>260</v>
      </c>
      <c r="D207" s="8">
        <f t="shared" si="12"/>
        <v>260</v>
      </c>
      <c r="E207" s="162">
        <f t="shared" si="11"/>
        <v>0</v>
      </c>
      <c r="F207" s="8">
        <f t="shared" si="11"/>
        <v>0</v>
      </c>
      <c r="G207" s="162">
        <f t="shared" si="11"/>
        <v>0</v>
      </c>
      <c r="H207" s="31">
        <f t="shared" si="11"/>
        <v>0</v>
      </c>
      <c r="I207" s="8">
        <f t="shared" si="11"/>
        <v>0</v>
      </c>
      <c r="J207" s="8">
        <f t="shared" si="13"/>
        <v>0</v>
      </c>
      <c r="K207" s="71">
        <f t="shared" si="14"/>
        <v>-34102.112676056335</v>
      </c>
    </row>
    <row r="208" spans="1:11" x14ac:dyDescent="0.25">
      <c r="A208" s="38">
        <f>Données!A205</f>
        <v>5742</v>
      </c>
      <c r="B208" s="131" t="str">
        <f>Données!B205</f>
        <v>Agiez</v>
      </c>
      <c r="C208" s="8">
        <f>Données!Z205</f>
        <v>381</v>
      </c>
      <c r="D208" s="8">
        <f t="shared" si="12"/>
        <v>381</v>
      </c>
      <c r="E208" s="162">
        <f t="shared" si="11"/>
        <v>0</v>
      </c>
      <c r="F208" s="8">
        <f t="shared" si="11"/>
        <v>0</v>
      </c>
      <c r="G208" s="162">
        <f t="shared" si="11"/>
        <v>0</v>
      </c>
      <c r="H208" s="31">
        <f t="shared" si="11"/>
        <v>0</v>
      </c>
      <c r="I208" s="8">
        <f t="shared" si="11"/>
        <v>0</v>
      </c>
      <c r="J208" s="8">
        <f t="shared" si="13"/>
        <v>0</v>
      </c>
      <c r="K208" s="71">
        <f t="shared" si="14"/>
        <v>-49972.711267605628</v>
      </c>
    </row>
    <row r="209" spans="1:11" x14ac:dyDescent="0.25">
      <c r="A209" s="38">
        <f>Données!A206</f>
        <v>5743</v>
      </c>
      <c r="B209" s="131" t="str">
        <f>Données!B206</f>
        <v>Arnex-sur-Orbe</v>
      </c>
      <c r="C209" s="8">
        <f>Données!Z206</f>
        <v>692</v>
      </c>
      <c r="D209" s="8">
        <f t="shared" si="12"/>
        <v>692</v>
      </c>
      <c r="E209" s="162">
        <f t="shared" si="11"/>
        <v>0</v>
      </c>
      <c r="F209" s="8">
        <f t="shared" si="11"/>
        <v>0</v>
      </c>
      <c r="G209" s="162">
        <f t="shared" ref="E209:I260" si="15">IF($C209&gt;G$5,IF($C209&lt;G$6,$C209-G$5,G$6-G$5),0)</f>
        <v>0</v>
      </c>
      <c r="H209" s="31">
        <f t="shared" si="15"/>
        <v>0</v>
      </c>
      <c r="I209" s="8">
        <f t="shared" si="15"/>
        <v>0</v>
      </c>
      <c r="J209" s="8">
        <f t="shared" si="13"/>
        <v>0</v>
      </c>
      <c r="K209" s="71">
        <f t="shared" si="14"/>
        <v>-90764.084507042237</v>
      </c>
    </row>
    <row r="210" spans="1:11" x14ac:dyDescent="0.25">
      <c r="A210" s="38">
        <f>Données!A207</f>
        <v>5744</v>
      </c>
      <c r="B210" s="131" t="str">
        <f>Données!B207</f>
        <v>Ballaigues</v>
      </c>
      <c r="C210" s="8">
        <f>Données!Z207</f>
        <v>1152</v>
      </c>
      <c r="D210" s="8">
        <f t="shared" si="12"/>
        <v>1000</v>
      </c>
      <c r="E210" s="162">
        <f t="shared" si="15"/>
        <v>152</v>
      </c>
      <c r="F210" s="8">
        <f t="shared" si="15"/>
        <v>0</v>
      </c>
      <c r="G210" s="162">
        <f t="shared" si="15"/>
        <v>0</v>
      </c>
      <c r="H210" s="31">
        <f t="shared" si="15"/>
        <v>0</v>
      </c>
      <c r="I210" s="8">
        <f t="shared" si="15"/>
        <v>0</v>
      </c>
      <c r="J210" s="8">
        <f t="shared" si="13"/>
        <v>0</v>
      </c>
      <c r="K210" s="71">
        <f t="shared" si="14"/>
        <v>-186984.50704225348</v>
      </c>
    </row>
    <row r="211" spans="1:11" x14ac:dyDescent="0.25">
      <c r="A211" s="38">
        <f>Données!A208</f>
        <v>5745</v>
      </c>
      <c r="B211" s="131" t="str">
        <f>Données!B208</f>
        <v>Baulmes</v>
      </c>
      <c r="C211" s="8">
        <f>Données!Z208</f>
        <v>1132</v>
      </c>
      <c r="D211" s="8">
        <f t="shared" si="12"/>
        <v>1000</v>
      </c>
      <c r="E211" s="162">
        <f t="shared" si="15"/>
        <v>132</v>
      </c>
      <c r="F211" s="8">
        <f t="shared" si="15"/>
        <v>0</v>
      </c>
      <c r="G211" s="162">
        <f t="shared" si="15"/>
        <v>0</v>
      </c>
      <c r="H211" s="31">
        <f t="shared" si="15"/>
        <v>0</v>
      </c>
      <c r="I211" s="8">
        <f t="shared" si="15"/>
        <v>0</v>
      </c>
      <c r="J211" s="8">
        <f t="shared" si="13"/>
        <v>0</v>
      </c>
      <c r="K211" s="71">
        <f t="shared" si="14"/>
        <v>-179639.43661971827</v>
      </c>
    </row>
    <row r="212" spans="1:11" x14ac:dyDescent="0.25">
      <c r="A212" s="38">
        <f>Données!A209</f>
        <v>5746</v>
      </c>
      <c r="B212" s="131" t="str">
        <f>Données!B209</f>
        <v>Bavois</v>
      </c>
      <c r="C212" s="8">
        <f>Données!Z209</f>
        <v>1009</v>
      </c>
      <c r="D212" s="8">
        <f t="shared" si="12"/>
        <v>1000</v>
      </c>
      <c r="E212" s="162">
        <f t="shared" si="15"/>
        <v>9</v>
      </c>
      <c r="F212" s="8">
        <f t="shared" si="15"/>
        <v>0</v>
      </c>
      <c r="G212" s="162">
        <f t="shared" si="15"/>
        <v>0</v>
      </c>
      <c r="H212" s="31">
        <f t="shared" si="15"/>
        <v>0</v>
      </c>
      <c r="I212" s="8">
        <f t="shared" si="15"/>
        <v>0</v>
      </c>
      <c r="J212" s="8">
        <f t="shared" si="13"/>
        <v>0</v>
      </c>
      <c r="K212" s="71">
        <f t="shared" si="14"/>
        <v>-134467.25352112672</v>
      </c>
    </row>
    <row r="213" spans="1:11" x14ac:dyDescent="0.25">
      <c r="A213" s="38">
        <f>Données!A210</f>
        <v>5747</v>
      </c>
      <c r="B213" s="131" t="str">
        <f>Données!B210</f>
        <v>Bofflens</v>
      </c>
      <c r="C213" s="8">
        <f>Données!Z210</f>
        <v>204</v>
      </c>
      <c r="D213" s="8">
        <f t="shared" si="12"/>
        <v>204</v>
      </c>
      <c r="E213" s="162">
        <f t="shared" si="15"/>
        <v>0</v>
      </c>
      <c r="F213" s="8">
        <f t="shared" si="15"/>
        <v>0</v>
      </c>
      <c r="G213" s="162">
        <f t="shared" si="15"/>
        <v>0</v>
      </c>
      <c r="H213" s="31">
        <f t="shared" si="15"/>
        <v>0</v>
      </c>
      <c r="I213" s="8">
        <f t="shared" si="15"/>
        <v>0</v>
      </c>
      <c r="J213" s="8">
        <f t="shared" si="13"/>
        <v>0</v>
      </c>
      <c r="K213" s="71">
        <f t="shared" si="14"/>
        <v>-26757.042253521122</v>
      </c>
    </row>
    <row r="214" spans="1:11" x14ac:dyDescent="0.25">
      <c r="A214" s="38">
        <f>Données!A211</f>
        <v>5748</v>
      </c>
      <c r="B214" s="131" t="str">
        <f>Données!B211</f>
        <v>Bretonnières</v>
      </c>
      <c r="C214" s="8">
        <f>Données!Z211</f>
        <v>264</v>
      </c>
      <c r="D214" s="8">
        <f t="shared" si="12"/>
        <v>264</v>
      </c>
      <c r="E214" s="162">
        <f t="shared" si="15"/>
        <v>0</v>
      </c>
      <c r="F214" s="8">
        <f t="shared" si="15"/>
        <v>0</v>
      </c>
      <c r="G214" s="162">
        <f t="shared" si="15"/>
        <v>0</v>
      </c>
      <c r="H214" s="31">
        <f t="shared" si="15"/>
        <v>0</v>
      </c>
      <c r="I214" s="8">
        <f t="shared" si="15"/>
        <v>0</v>
      </c>
      <c r="J214" s="8">
        <f t="shared" si="13"/>
        <v>0</v>
      </c>
      <c r="K214" s="71">
        <f t="shared" si="14"/>
        <v>-34626.760563380274</v>
      </c>
    </row>
    <row r="215" spans="1:11" x14ac:dyDescent="0.25">
      <c r="A215" s="38">
        <f>Données!A212</f>
        <v>5749</v>
      </c>
      <c r="B215" s="131" t="str">
        <f>Données!B212</f>
        <v>Chavornay</v>
      </c>
      <c r="C215" s="8">
        <f>Données!Z212</f>
        <v>5405</v>
      </c>
      <c r="D215" s="8">
        <f t="shared" si="12"/>
        <v>1000</v>
      </c>
      <c r="E215" s="162">
        <f t="shared" si="15"/>
        <v>2000</v>
      </c>
      <c r="F215" s="8">
        <f t="shared" si="15"/>
        <v>2000</v>
      </c>
      <c r="G215" s="162">
        <f t="shared" si="15"/>
        <v>405</v>
      </c>
      <c r="H215" s="31">
        <f t="shared" si="15"/>
        <v>0</v>
      </c>
      <c r="I215" s="8">
        <f t="shared" si="15"/>
        <v>0</v>
      </c>
      <c r="J215" s="8">
        <f t="shared" si="13"/>
        <v>0</v>
      </c>
      <c r="K215" s="71">
        <f t="shared" si="14"/>
        <v>-2169943.6619718308</v>
      </c>
    </row>
    <row r="216" spans="1:11" x14ac:dyDescent="0.25">
      <c r="A216" s="38">
        <f>Données!A213</f>
        <v>5750</v>
      </c>
      <c r="B216" s="131" t="str">
        <f>Données!B213</f>
        <v>Les Clées</v>
      </c>
      <c r="C216" s="8">
        <f>Données!Z213</f>
        <v>186</v>
      </c>
      <c r="D216" s="8">
        <f t="shared" si="12"/>
        <v>186</v>
      </c>
      <c r="E216" s="162">
        <f t="shared" si="15"/>
        <v>0</v>
      </c>
      <c r="F216" s="8">
        <f t="shared" si="15"/>
        <v>0</v>
      </c>
      <c r="G216" s="162">
        <f t="shared" si="15"/>
        <v>0</v>
      </c>
      <c r="H216" s="31">
        <f t="shared" si="15"/>
        <v>0</v>
      </c>
      <c r="I216" s="8">
        <f t="shared" si="15"/>
        <v>0</v>
      </c>
      <c r="J216" s="8">
        <f t="shared" si="13"/>
        <v>0</v>
      </c>
      <c r="K216" s="71">
        <f t="shared" si="14"/>
        <v>-24396.126760563377</v>
      </c>
    </row>
    <row r="217" spans="1:11" x14ac:dyDescent="0.25">
      <c r="A217" s="38">
        <f>Données!A214</f>
        <v>5752</v>
      </c>
      <c r="B217" s="131" t="str">
        <f>Données!B214</f>
        <v>Croy</v>
      </c>
      <c r="C217" s="8">
        <f>Données!Z214</f>
        <v>386</v>
      </c>
      <c r="D217" s="8">
        <f t="shared" si="12"/>
        <v>386</v>
      </c>
      <c r="E217" s="162">
        <f t="shared" si="15"/>
        <v>0</v>
      </c>
      <c r="F217" s="8">
        <f t="shared" si="15"/>
        <v>0</v>
      </c>
      <c r="G217" s="162">
        <f t="shared" si="15"/>
        <v>0</v>
      </c>
      <c r="H217" s="31">
        <f t="shared" si="15"/>
        <v>0</v>
      </c>
      <c r="I217" s="8">
        <f t="shared" si="15"/>
        <v>0</v>
      </c>
      <c r="J217" s="8">
        <f t="shared" si="13"/>
        <v>0</v>
      </c>
      <c r="K217" s="71">
        <f t="shared" si="14"/>
        <v>-50628.521126760555</v>
      </c>
    </row>
    <row r="218" spans="1:11" x14ac:dyDescent="0.25">
      <c r="A218" s="38">
        <f>Données!A215</f>
        <v>5754</v>
      </c>
      <c r="B218" s="131" t="str">
        <f>Données!B215</f>
        <v>Juriens</v>
      </c>
      <c r="C218" s="8">
        <f>Données!Z215</f>
        <v>346</v>
      </c>
      <c r="D218" s="8">
        <f t="shared" si="12"/>
        <v>346</v>
      </c>
      <c r="E218" s="162">
        <f t="shared" si="15"/>
        <v>0</v>
      </c>
      <c r="F218" s="8">
        <f t="shared" si="15"/>
        <v>0</v>
      </c>
      <c r="G218" s="162">
        <f t="shared" si="15"/>
        <v>0</v>
      </c>
      <c r="H218" s="31">
        <f t="shared" si="15"/>
        <v>0</v>
      </c>
      <c r="I218" s="8">
        <f t="shared" si="15"/>
        <v>0</v>
      </c>
      <c r="J218" s="8">
        <f t="shared" si="13"/>
        <v>0</v>
      </c>
      <c r="K218" s="71">
        <f t="shared" si="14"/>
        <v>-45382.042253521118</v>
      </c>
    </row>
    <row r="219" spans="1:11" x14ac:dyDescent="0.25">
      <c r="A219" s="38">
        <f>Données!A216</f>
        <v>5755</v>
      </c>
      <c r="B219" s="131" t="str">
        <f>Données!B216</f>
        <v>Lignerolle</v>
      </c>
      <c r="C219" s="8">
        <f>Données!Z216</f>
        <v>447</v>
      </c>
      <c r="D219" s="8">
        <f t="shared" si="12"/>
        <v>447</v>
      </c>
      <c r="E219" s="162">
        <f t="shared" si="15"/>
        <v>0</v>
      </c>
      <c r="F219" s="8">
        <f t="shared" si="15"/>
        <v>0</v>
      </c>
      <c r="G219" s="162">
        <f t="shared" si="15"/>
        <v>0</v>
      </c>
      <c r="H219" s="31">
        <f t="shared" si="15"/>
        <v>0</v>
      </c>
      <c r="I219" s="8">
        <f t="shared" si="15"/>
        <v>0</v>
      </c>
      <c r="J219" s="8">
        <f t="shared" si="13"/>
        <v>0</v>
      </c>
      <c r="K219" s="71">
        <f t="shared" si="14"/>
        <v>-58629.401408450693</v>
      </c>
    </row>
    <row r="220" spans="1:11" x14ac:dyDescent="0.25">
      <c r="A220" s="38">
        <f>Données!A217</f>
        <v>5756</v>
      </c>
      <c r="B220" s="131" t="str">
        <f>Données!B217</f>
        <v>Montcherand</v>
      </c>
      <c r="C220" s="8">
        <f>Données!Z217</f>
        <v>496</v>
      </c>
      <c r="D220" s="8">
        <f t="shared" si="12"/>
        <v>496</v>
      </c>
      <c r="E220" s="162">
        <f t="shared" si="15"/>
        <v>0</v>
      </c>
      <c r="F220" s="8">
        <f t="shared" si="15"/>
        <v>0</v>
      </c>
      <c r="G220" s="162">
        <f t="shared" si="15"/>
        <v>0</v>
      </c>
      <c r="H220" s="31">
        <f t="shared" si="15"/>
        <v>0</v>
      </c>
      <c r="I220" s="8">
        <f t="shared" si="15"/>
        <v>0</v>
      </c>
      <c r="J220" s="8">
        <f t="shared" si="13"/>
        <v>0</v>
      </c>
      <c r="K220" s="71">
        <f t="shared" si="14"/>
        <v>-65056.338028169004</v>
      </c>
    </row>
    <row r="221" spans="1:11" x14ac:dyDescent="0.25">
      <c r="A221" s="38">
        <f>Données!A218</f>
        <v>5757</v>
      </c>
      <c r="B221" s="131" t="str">
        <f>Données!B218</f>
        <v>Orbe</v>
      </c>
      <c r="C221" s="8">
        <f>Données!Z218</f>
        <v>7617</v>
      </c>
      <c r="D221" s="8">
        <f t="shared" si="12"/>
        <v>1000</v>
      </c>
      <c r="E221" s="162">
        <f t="shared" si="15"/>
        <v>2000</v>
      </c>
      <c r="F221" s="8">
        <f t="shared" si="15"/>
        <v>2000</v>
      </c>
      <c r="G221" s="162">
        <f t="shared" si="15"/>
        <v>2617</v>
      </c>
      <c r="H221" s="31">
        <f t="shared" si="15"/>
        <v>0</v>
      </c>
      <c r="I221" s="8">
        <f t="shared" si="15"/>
        <v>0</v>
      </c>
      <c r="J221" s="8">
        <f t="shared" si="13"/>
        <v>0</v>
      </c>
      <c r="K221" s="71">
        <f t="shared" si="14"/>
        <v>-3562569.0140845068</v>
      </c>
    </row>
    <row r="222" spans="1:11" x14ac:dyDescent="0.25">
      <c r="A222" s="38">
        <f>Données!A219</f>
        <v>5758</v>
      </c>
      <c r="B222" s="131" t="str">
        <f>Données!B219</f>
        <v>La Praz</v>
      </c>
      <c r="C222" s="8">
        <f>Données!Z219</f>
        <v>183</v>
      </c>
      <c r="D222" s="8">
        <f t="shared" si="12"/>
        <v>183</v>
      </c>
      <c r="E222" s="162">
        <f t="shared" si="15"/>
        <v>0</v>
      </c>
      <c r="F222" s="8">
        <f t="shared" si="15"/>
        <v>0</v>
      </c>
      <c r="G222" s="162">
        <f t="shared" si="15"/>
        <v>0</v>
      </c>
      <c r="H222" s="31">
        <f t="shared" si="15"/>
        <v>0</v>
      </c>
      <c r="I222" s="8">
        <f t="shared" si="15"/>
        <v>0</v>
      </c>
      <c r="J222" s="8">
        <f t="shared" si="13"/>
        <v>0</v>
      </c>
      <c r="K222" s="71">
        <f t="shared" si="14"/>
        <v>-24002.640845070418</v>
      </c>
    </row>
    <row r="223" spans="1:11" x14ac:dyDescent="0.25">
      <c r="A223" s="38">
        <f>Données!A220</f>
        <v>5759</v>
      </c>
      <c r="B223" s="131" t="str">
        <f>Données!B220</f>
        <v>Premier</v>
      </c>
      <c r="C223" s="8">
        <f>Données!Z220</f>
        <v>236</v>
      </c>
      <c r="D223" s="8">
        <f t="shared" si="12"/>
        <v>236</v>
      </c>
      <c r="E223" s="162">
        <f t="shared" si="15"/>
        <v>0</v>
      </c>
      <c r="F223" s="8">
        <f t="shared" si="15"/>
        <v>0</v>
      </c>
      <c r="G223" s="162">
        <f t="shared" si="15"/>
        <v>0</v>
      </c>
      <c r="H223" s="31">
        <f t="shared" si="15"/>
        <v>0</v>
      </c>
      <c r="I223" s="8">
        <f t="shared" si="15"/>
        <v>0</v>
      </c>
      <c r="J223" s="8">
        <f t="shared" si="13"/>
        <v>0</v>
      </c>
      <c r="K223" s="71">
        <f t="shared" si="14"/>
        <v>-30954.225352112669</v>
      </c>
    </row>
    <row r="224" spans="1:11" x14ac:dyDescent="0.25">
      <c r="A224" s="38">
        <f>Données!A221</f>
        <v>5760</v>
      </c>
      <c r="B224" s="131" t="str">
        <f>Données!B221</f>
        <v>Rances</v>
      </c>
      <c r="C224" s="8">
        <f>Données!Z221</f>
        <v>521</v>
      </c>
      <c r="D224" s="8">
        <f t="shared" si="12"/>
        <v>521</v>
      </c>
      <c r="E224" s="162">
        <f t="shared" si="15"/>
        <v>0</v>
      </c>
      <c r="F224" s="8">
        <f t="shared" si="15"/>
        <v>0</v>
      </c>
      <c r="G224" s="162">
        <f t="shared" si="15"/>
        <v>0</v>
      </c>
      <c r="H224" s="31">
        <f t="shared" si="15"/>
        <v>0</v>
      </c>
      <c r="I224" s="8">
        <f t="shared" si="15"/>
        <v>0</v>
      </c>
      <c r="J224" s="8">
        <f t="shared" si="13"/>
        <v>0</v>
      </c>
      <c r="K224" s="71">
        <f t="shared" si="14"/>
        <v>-68335.387323943651</v>
      </c>
    </row>
    <row r="225" spans="1:11" x14ac:dyDescent="0.25">
      <c r="A225" s="38">
        <f>Données!A222</f>
        <v>5761</v>
      </c>
      <c r="B225" s="131" t="str">
        <f>Données!B222</f>
        <v>Romainmôtier-Envy</v>
      </c>
      <c r="C225" s="8">
        <f>Données!Z222</f>
        <v>559</v>
      </c>
      <c r="D225" s="8">
        <f t="shared" si="12"/>
        <v>559</v>
      </c>
      <c r="E225" s="162">
        <f t="shared" si="15"/>
        <v>0</v>
      </c>
      <c r="F225" s="8">
        <f t="shared" si="15"/>
        <v>0</v>
      </c>
      <c r="G225" s="162">
        <f t="shared" si="15"/>
        <v>0</v>
      </c>
      <c r="H225" s="31">
        <f t="shared" si="15"/>
        <v>0</v>
      </c>
      <c r="I225" s="8">
        <f t="shared" si="15"/>
        <v>0</v>
      </c>
      <c r="J225" s="8">
        <f t="shared" si="13"/>
        <v>0</v>
      </c>
      <c r="K225" s="71">
        <f t="shared" si="14"/>
        <v>-73319.542253521111</v>
      </c>
    </row>
    <row r="226" spans="1:11" x14ac:dyDescent="0.25">
      <c r="A226" s="38">
        <f>Données!A223</f>
        <v>5762</v>
      </c>
      <c r="B226" s="131" t="str">
        <f>Données!B223</f>
        <v>Sergey</v>
      </c>
      <c r="C226" s="8">
        <f>Données!Z223</f>
        <v>140</v>
      </c>
      <c r="D226" s="8">
        <f t="shared" si="12"/>
        <v>140</v>
      </c>
      <c r="E226" s="162">
        <f t="shared" si="15"/>
        <v>0</v>
      </c>
      <c r="F226" s="8">
        <f t="shared" si="15"/>
        <v>0</v>
      </c>
      <c r="G226" s="162">
        <f t="shared" si="15"/>
        <v>0</v>
      </c>
      <c r="H226" s="31">
        <f t="shared" si="15"/>
        <v>0</v>
      </c>
      <c r="I226" s="8">
        <f t="shared" si="15"/>
        <v>0</v>
      </c>
      <c r="J226" s="8">
        <f t="shared" si="13"/>
        <v>0</v>
      </c>
      <c r="K226" s="71">
        <f t="shared" si="14"/>
        <v>-18362.676056338023</v>
      </c>
    </row>
    <row r="227" spans="1:11" x14ac:dyDescent="0.25">
      <c r="A227" s="38">
        <f>Données!A224</f>
        <v>5763</v>
      </c>
      <c r="B227" s="131" t="str">
        <f>Données!B224</f>
        <v>Valeyres-sous-Rances</v>
      </c>
      <c r="C227" s="8">
        <f>Données!Z224</f>
        <v>606</v>
      </c>
      <c r="D227" s="8">
        <f t="shared" si="12"/>
        <v>606</v>
      </c>
      <c r="E227" s="162">
        <f t="shared" si="15"/>
        <v>0</v>
      </c>
      <c r="F227" s="8">
        <f t="shared" si="15"/>
        <v>0</v>
      </c>
      <c r="G227" s="162">
        <f t="shared" si="15"/>
        <v>0</v>
      </c>
      <c r="H227" s="31">
        <f t="shared" si="15"/>
        <v>0</v>
      </c>
      <c r="I227" s="8">
        <f t="shared" si="15"/>
        <v>0</v>
      </c>
      <c r="J227" s="8">
        <f t="shared" si="13"/>
        <v>0</v>
      </c>
      <c r="K227" s="71">
        <f t="shared" si="14"/>
        <v>-79484.154929577446</v>
      </c>
    </row>
    <row r="228" spans="1:11" x14ac:dyDescent="0.25">
      <c r="A228" s="38">
        <f>Données!A225</f>
        <v>5764</v>
      </c>
      <c r="B228" s="131" t="str">
        <f>Données!B225</f>
        <v>Vallorbe</v>
      </c>
      <c r="C228" s="8">
        <f>Données!Z225</f>
        <v>3987</v>
      </c>
      <c r="D228" s="8">
        <f t="shared" si="12"/>
        <v>1000</v>
      </c>
      <c r="E228" s="162">
        <f t="shared" si="15"/>
        <v>2000</v>
      </c>
      <c r="F228" s="8">
        <f t="shared" si="15"/>
        <v>987</v>
      </c>
      <c r="G228" s="162">
        <f t="shared" si="15"/>
        <v>0</v>
      </c>
      <c r="H228" s="31">
        <f t="shared" si="15"/>
        <v>0</v>
      </c>
      <c r="I228" s="8">
        <f t="shared" si="15"/>
        <v>0</v>
      </c>
      <c r="J228" s="8">
        <f t="shared" si="13"/>
        <v>0</v>
      </c>
      <c r="K228" s="71">
        <f t="shared" si="14"/>
        <v>-1383496.4788732391</v>
      </c>
    </row>
    <row r="229" spans="1:11" x14ac:dyDescent="0.25">
      <c r="A229" s="38">
        <f>Données!A226</f>
        <v>5765</v>
      </c>
      <c r="B229" s="131" t="str">
        <f>Données!B226</f>
        <v>Vaulion</v>
      </c>
      <c r="C229" s="8">
        <f>Données!Z226</f>
        <v>483</v>
      </c>
      <c r="D229" s="8">
        <f t="shared" si="12"/>
        <v>483</v>
      </c>
      <c r="E229" s="162">
        <f t="shared" si="15"/>
        <v>0</v>
      </c>
      <c r="F229" s="8">
        <f t="shared" si="15"/>
        <v>0</v>
      </c>
      <c r="G229" s="162">
        <f t="shared" si="15"/>
        <v>0</v>
      </c>
      <c r="H229" s="31">
        <f t="shared" si="15"/>
        <v>0</v>
      </c>
      <c r="I229" s="8">
        <f t="shared" si="15"/>
        <v>0</v>
      </c>
      <c r="J229" s="8">
        <f t="shared" si="13"/>
        <v>0</v>
      </c>
      <c r="K229" s="71">
        <f t="shared" si="14"/>
        <v>-63351.232394366183</v>
      </c>
    </row>
    <row r="230" spans="1:11" x14ac:dyDescent="0.25">
      <c r="A230" s="38">
        <f>Données!A227</f>
        <v>5766</v>
      </c>
      <c r="B230" s="131" t="str">
        <f>Données!B227</f>
        <v>Vuiteboeuf</v>
      </c>
      <c r="C230" s="8">
        <f>Données!Z227</f>
        <v>592</v>
      </c>
      <c r="D230" s="8">
        <f t="shared" si="12"/>
        <v>592</v>
      </c>
      <c r="E230" s="162">
        <f t="shared" si="15"/>
        <v>0</v>
      </c>
      <c r="F230" s="8">
        <f t="shared" si="15"/>
        <v>0</v>
      </c>
      <c r="G230" s="162">
        <f t="shared" si="15"/>
        <v>0</v>
      </c>
      <c r="H230" s="31">
        <f t="shared" si="15"/>
        <v>0</v>
      </c>
      <c r="I230" s="8">
        <f t="shared" si="15"/>
        <v>0</v>
      </c>
      <c r="J230" s="8">
        <f t="shared" si="13"/>
        <v>0</v>
      </c>
      <c r="K230" s="71">
        <f t="shared" si="14"/>
        <v>-77647.887323943651</v>
      </c>
    </row>
    <row r="231" spans="1:11" x14ac:dyDescent="0.25">
      <c r="A231" s="38">
        <f>Données!A228</f>
        <v>5785</v>
      </c>
      <c r="B231" s="131" t="str">
        <f>Données!B228</f>
        <v>Corcelles-le-Jorat</v>
      </c>
      <c r="C231" s="8">
        <f>Données!Z228</f>
        <v>485</v>
      </c>
      <c r="D231" s="8">
        <f t="shared" si="12"/>
        <v>485</v>
      </c>
      <c r="E231" s="162">
        <f t="shared" si="15"/>
        <v>0</v>
      </c>
      <c r="F231" s="8">
        <f t="shared" si="15"/>
        <v>0</v>
      </c>
      <c r="G231" s="162">
        <f t="shared" si="15"/>
        <v>0</v>
      </c>
      <c r="H231" s="31">
        <f t="shared" si="15"/>
        <v>0</v>
      </c>
      <c r="I231" s="8">
        <f t="shared" si="15"/>
        <v>0</v>
      </c>
      <c r="J231" s="8">
        <f t="shared" si="13"/>
        <v>0</v>
      </c>
      <c r="K231" s="71">
        <f t="shared" si="14"/>
        <v>-63613.55633802816</v>
      </c>
    </row>
    <row r="232" spans="1:11" x14ac:dyDescent="0.25">
      <c r="A232" s="38">
        <f>Données!A229</f>
        <v>5790</v>
      </c>
      <c r="B232" s="131" t="str">
        <f>Données!B229</f>
        <v>Maracon</v>
      </c>
      <c r="C232" s="8">
        <f>Données!Z229</f>
        <v>544</v>
      </c>
      <c r="D232" s="8">
        <f t="shared" si="12"/>
        <v>544</v>
      </c>
      <c r="E232" s="162">
        <f t="shared" si="15"/>
        <v>0</v>
      </c>
      <c r="F232" s="8">
        <f t="shared" si="15"/>
        <v>0</v>
      </c>
      <c r="G232" s="162">
        <f t="shared" si="15"/>
        <v>0</v>
      </c>
      <c r="H232" s="31">
        <f t="shared" si="15"/>
        <v>0</v>
      </c>
      <c r="I232" s="8">
        <f t="shared" si="15"/>
        <v>0</v>
      </c>
      <c r="J232" s="8">
        <f t="shared" si="13"/>
        <v>0</v>
      </c>
      <c r="K232" s="71">
        <f t="shared" si="14"/>
        <v>-71352.11267605632</v>
      </c>
    </row>
    <row r="233" spans="1:11" x14ac:dyDescent="0.25">
      <c r="A233" s="38">
        <f>Données!A230</f>
        <v>5792</v>
      </c>
      <c r="B233" s="131" t="str">
        <f>Données!B230</f>
        <v>Montpreveyres</v>
      </c>
      <c r="C233" s="8">
        <f>Données!Z230</f>
        <v>661</v>
      </c>
      <c r="D233" s="8">
        <f t="shared" si="12"/>
        <v>661</v>
      </c>
      <c r="E233" s="162">
        <f t="shared" si="15"/>
        <v>0</v>
      </c>
      <c r="F233" s="8">
        <f t="shared" si="15"/>
        <v>0</v>
      </c>
      <c r="G233" s="162">
        <f t="shared" si="15"/>
        <v>0</v>
      </c>
      <c r="H233" s="31">
        <f t="shared" si="15"/>
        <v>0</v>
      </c>
      <c r="I233" s="8">
        <f t="shared" si="15"/>
        <v>0</v>
      </c>
      <c r="J233" s="8">
        <f t="shared" si="13"/>
        <v>0</v>
      </c>
      <c r="K233" s="71">
        <f t="shared" si="14"/>
        <v>-86698.063380281674</v>
      </c>
    </row>
    <row r="234" spans="1:11" x14ac:dyDescent="0.25">
      <c r="A234" s="38">
        <f>Données!A231</f>
        <v>5798</v>
      </c>
      <c r="B234" s="131" t="str">
        <f>Données!B231</f>
        <v>Ropraz</v>
      </c>
      <c r="C234" s="8">
        <f>Données!Z231</f>
        <v>529</v>
      </c>
      <c r="D234" s="8">
        <f t="shared" si="12"/>
        <v>529</v>
      </c>
      <c r="E234" s="162">
        <f t="shared" si="15"/>
        <v>0</v>
      </c>
      <c r="F234" s="8">
        <f t="shared" si="15"/>
        <v>0</v>
      </c>
      <c r="G234" s="162">
        <f t="shared" si="15"/>
        <v>0</v>
      </c>
      <c r="H234" s="31">
        <f t="shared" si="15"/>
        <v>0</v>
      </c>
      <c r="I234" s="8">
        <f t="shared" si="15"/>
        <v>0</v>
      </c>
      <c r="J234" s="8">
        <f t="shared" si="13"/>
        <v>0</v>
      </c>
      <c r="K234" s="71">
        <f t="shared" si="14"/>
        <v>-69384.683098591529</v>
      </c>
    </row>
    <row r="235" spans="1:11" x14ac:dyDescent="0.25">
      <c r="A235" s="38">
        <f>Données!A232</f>
        <v>5799</v>
      </c>
      <c r="B235" s="131" t="str">
        <f>Données!B232</f>
        <v>Servion</v>
      </c>
      <c r="C235" s="8">
        <f>Données!Z232</f>
        <v>2136</v>
      </c>
      <c r="D235" s="8">
        <f t="shared" si="12"/>
        <v>1000</v>
      </c>
      <c r="E235" s="162">
        <f t="shared" si="15"/>
        <v>1136</v>
      </c>
      <c r="F235" s="8">
        <f t="shared" si="15"/>
        <v>0</v>
      </c>
      <c r="G235" s="162">
        <f t="shared" si="15"/>
        <v>0</v>
      </c>
      <c r="H235" s="31">
        <f t="shared" si="15"/>
        <v>0</v>
      </c>
      <c r="I235" s="8">
        <f t="shared" si="15"/>
        <v>0</v>
      </c>
      <c r="J235" s="8">
        <f t="shared" si="13"/>
        <v>0</v>
      </c>
      <c r="K235" s="71">
        <f t="shared" si="14"/>
        <v>-548361.97183098586</v>
      </c>
    </row>
    <row r="236" spans="1:11" x14ac:dyDescent="0.25">
      <c r="A236" s="38">
        <f>Données!A233</f>
        <v>5803</v>
      </c>
      <c r="B236" s="131" t="str">
        <f>Données!B233</f>
        <v>Vulliens</v>
      </c>
      <c r="C236" s="8">
        <f>Données!Z233</f>
        <v>632</v>
      </c>
      <c r="D236" s="8">
        <f t="shared" ref="D236:D299" si="16">IF($C236&gt;D$5,IF($C236&lt;D$6,$C236-D$5,D$6-D$5),0)</f>
        <v>632</v>
      </c>
      <c r="E236" s="162">
        <f t="shared" si="15"/>
        <v>0</v>
      </c>
      <c r="F236" s="8">
        <f t="shared" si="15"/>
        <v>0</v>
      </c>
      <c r="G236" s="162">
        <f t="shared" si="15"/>
        <v>0</v>
      </c>
      <c r="H236" s="31">
        <f t="shared" si="15"/>
        <v>0</v>
      </c>
      <c r="I236" s="8">
        <f t="shared" si="15"/>
        <v>0</v>
      </c>
      <c r="J236" s="8">
        <f t="shared" si="13"/>
        <v>0</v>
      </c>
      <c r="K236" s="71">
        <f t="shared" si="14"/>
        <v>-82894.366197183088</v>
      </c>
    </row>
    <row r="237" spans="1:11" x14ac:dyDescent="0.25">
      <c r="A237" s="38">
        <f>Données!A234</f>
        <v>5804</v>
      </c>
      <c r="B237" s="131" t="str">
        <f>Données!B234</f>
        <v>Jorat-Menthue</v>
      </c>
      <c r="C237" s="8">
        <f>Données!Z234</f>
        <v>1565</v>
      </c>
      <c r="D237" s="8">
        <f t="shared" si="16"/>
        <v>1000</v>
      </c>
      <c r="E237" s="162">
        <f t="shared" si="15"/>
        <v>565</v>
      </c>
      <c r="F237" s="8">
        <f t="shared" si="15"/>
        <v>0</v>
      </c>
      <c r="G237" s="162">
        <f t="shared" si="15"/>
        <v>0</v>
      </c>
      <c r="H237" s="31">
        <f t="shared" si="15"/>
        <v>0</v>
      </c>
      <c r="I237" s="8">
        <f t="shared" si="15"/>
        <v>0</v>
      </c>
      <c r="J237" s="8">
        <f t="shared" si="13"/>
        <v>0</v>
      </c>
      <c r="K237" s="71">
        <f t="shared" si="14"/>
        <v>-338660.21126760554</v>
      </c>
    </row>
    <row r="238" spans="1:11" x14ac:dyDescent="0.25">
      <c r="A238" s="38">
        <f>Données!A235</f>
        <v>5805</v>
      </c>
      <c r="B238" s="131" t="str">
        <f>Données!B235</f>
        <v>Oron</v>
      </c>
      <c r="C238" s="8">
        <f>Données!Z235</f>
        <v>6119</v>
      </c>
      <c r="D238" s="8">
        <f t="shared" si="16"/>
        <v>1000</v>
      </c>
      <c r="E238" s="162">
        <f t="shared" si="15"/>
        <v>2000</v>
      </c>
      <c r="F238" s="8">
        <f t="shared" si="15"/>
        <v>2000</v>
      </c>
      <c r="G238" s="162">
        <f t="shared" si="15"/>
        <v>1119</v>
      </c>
      <c r="H238" s="31">
        <f t="shared" si="15"/>
        <v>0</v>
      </c>
      <c r="I238" s="8">
        <f t="shared" si="15"/>
        <v>0</v>
      </c>
      <c r="J238" s="8">
        <f t="shared" si="13"/>
        <v>0</v>
      </c>
      <c r="K238" s="71">
        <f t="shared" si="14"/>
        <v>-2619461.9718309855</v>
      </c>
    </row>
    <row r="239" spans="1:11" x14ac:dyDescent="0.25">
      <c r="A239" s="38">
        <f>Données!A236</f>
        <v>5806</v>
      </c>
      <c r="B239" s="131" t="str">
        <f>Données!B236</f>
        <v>Jorat-Mézières</v>
      </c>
      <c r="C239" s="8">
        <f>Données!Z236</f>
        <v>3110</v>
      </c>
      <c r="D239" s="8">
        <f t="shared" si="16"/>
        <v>1000</v>
      </c>
      <c r="E239" s="162">
        <f t="shared" si="15"/>
        <v>2000</v>
      </c>
      <c r="F239" s="8">
        <f t="shared" si="15"/>
        <v>110</v>
      </c>
      <c r="G239" s="162">
        <f t="shared" si="15"/>
        <v>0</v>
      </c>
      <c r="H239" s="31">
        <f t="shared" si="15"/>
        <v>0</v>
      </c>
      <c r="I239" s="8">
        <f t="shared" si="15"/>
        <v>0</v>
      </c>
      <c r="J239" s="8">
        <f t="shared" si="13"/>
        <v>0</v>
      </c>
      <c r="K239" s="71">
        <f t="shared" si="14"/>
        <v>-923380.28169014072</v>
      </c>
    </row>
    <row r="240" spans="1:11" x14ac:dyDescent="0.25">
      <c r="A240" s="38">
        <f>Données!A237</f>
        <v>5812</v>
      </c>
      <c r="B240" s="131" t="str">
        <f>Données!B237</f>
        <v>Champtauroz</v>
      </c>
      <c r="C240" s="8">
        <f>Données!Z237</f>
        <v>169</v>
      </c>
      <c r="D240" s="8">
        <f t="shared" si="16"/>
        <v>169</v>
      </c>
      <c r="E240" s="162">
        <f t="shared" si="15"/>
        <v>0</v>
      </c>
      <c r="F240" s="8">
        <f t="shared" si="15"/>
        <v>0</v>
      </c>
      <c r="G240" s="162">
        <f t="shared" si="15"/>
        <v>0</v>
      </c>
      <c r="H240" s="31">
        <f t="shared" si="15"/>
        <v>0</v>
      </c>
      <c r="I240" s="8">
        <f t="shared" si="15"/>
        <v>0</v>
      </c>
      <c r="J240" s="8">
        <f t="shared" si="13"/>
        <v>0</v>
      </c>
      <c r="K240" s="71">
        <f t="shared" si="14"/>
        <v>-22166.373239436616</v>
      </c>
    </row>
    <row r="241" spans="1:11" x14ac:dyDescent="0.25">
      <c r="A241" s="38">
        <f>Données!A238</f>
        <v>5813</v>
      </c>
      <c r="B241" s="131" t="str">
        <f>Données!B238</f>
        <v>Chevroux</v>
      </c>
      <c r="C241" s="8">
        <f>Données!Z238</f>
        <v>522</v>
      </c>
      <c r="D241" s="8">
        <f t="shared" si="16"/>
        <v>522</v>
      </c>
      <c r="E241" s="162">
        <f t="shared" si="15"/>
        <v>0</v>
      </c>
      <c r="F241" s="8">
        <f t="shared" si="15"/>
        <v>0</v>
      </c>
      <c r="G241" s="162">
        <f t="shared" si="15"/>
        <v>0</v>
      </c>
      <c r="H241" s="31">
        <f t="shared" si="15"/>
        <v>0</v>
      </c>
      <c r="I241" s="8">
        <f t="shared" si="15"/>
        <v>0</v>
      </c>
      <c r="J241" s="8">
        <f t="shared" si="13"/>
        <v>0</v>
      </c>
      <c r="K241" s="71">
        <f t="shared" si="14"/>
        <v>-68466.549295774632</v>
      </c>
    </row>
    <row r="242" spans="1:11" x14ac:dyDescent="0.25">
      <c r="A242" s="38">
        <f>Données!A239</f>
        <v>5816</v>
      </c>
      <c r="B242" s="131" t="str">
        <f>Données!B239</f>
        <v>Corcelles-près-Payerne</v>
      </c>
      <c r="C242" s="8">
        <f>Données!Z239</f>
        <v>2856</v>
      </c>
      <c r="D242" s="8">
        <f t="shared" si="16"/>
        <v>1000</v>
      </c>
      <c r="E242" s="162">
        <f t="shared" si="15"/>
        <v>1856</v>
      </c>
      <c r="F242" s="8">
        <f t="shared" si="15"/>
        <v>0</v>
      </c>
      <c r="G242" s="162">
        <f t="shared" si="15"/>
        <v>0</v>
      </c>
      <c r="H242" s="31">
        <f t="shared" si="15"/>
        <v>0</v>
      </c>
      <c r="I242" s="8">
        <f t="shared" si="15"/>
        <v>0</v>
      </c>
      <c r="J242" s="8">
        <f t="shared" si="13"/>
        <v>0</v>
      </c>
      <c r="K242" s="71">
        <f t="shared" si="14"/>
        <v>-812784.50704225339</v>
      </c>
    </row>
    <row r="243" spans="1:11" x14ac:dyDescent="0.25">
      <c r="A243" s="38">
        <f>Données!A240</f>
        <v>5817</v>
      </c>
      <c r="B243" s="131" t="str">
        <f>Données!B240</f>
        <v>Grandcour</v>
      </c>
      <c r="C243" s="8">
        <f>Données!Z240</f>
        <v>1001</v>
      </c>
      <c r="D243" s="8">
        <f t="shared" si="16"/>
        <v>1000</v>
      </c>
      <c r="E243" s="162">
        <f t="shared" si="15"/>
        <v>1</v>
      </c>
      <c r="F243" s="8">
        <f t="shared" si="15"/>
        <v>0</v>
      </c>
      <c r="G243" s="162">
        <f t="shared" si="15"/>
        <v>0</v>
      </c>
      <c r="H243" s="31">
        <f t="shared" si="15"/>
        <v>0</v>
      </c>
      <c r="I243" s="8">
        <f t="shared" si="15"/>
        <v>0</v>
      </c>
      <c r="J243" s="8">
        <f t="shared" si="13"/>
        <v>0</v>
      </c>
      <c r="K243" s="71">
        <f t="shared" si="14"/>
        <v>-131529.22535211264</v>
      </c>
    </row>
    <row r="244" spans="1:11" x14ac:dyDescent="0.25">
      <c r="A244" s="38">
        <f>Données!A241</f>
        <v>5819</v>
      </c>
      <c r="B244" s="131" t="str">
        <f>Données!B241</f>
        <v>Henniez</v>
      </c>
      <c r="C244" s="8">
        <f>Données!Z241</f>
        <v>414</v>
      </c>
      <c r="D244" s="8">
        <f t="shared" si="16"/>
        <v>414</v>
      </c>
      <c r="E244" s="162">
        <f t="shared" si="15"/>
        <v>0</v>
      </c>
      <c r="F244" s="8">
        <f t="shared" si="15"/>
        <v>0</v>
      </c>
      <c r="G244" s="162">
        <f t="shared" si="15"/>
        <v>0</v>
      </c>
      <c r="H244" s="31">
        <f t="shared" si="15"/>
        <v>0</v>
      </c>
      <c r="I244" s="8">
        <f t="shared" si="15"/>
        <v>0</v>
      </c>
      <c r="J244" s="8">
        <f t="shared" si="13"/>
        <v>0</v>
      </c>
      <c r="K244" s="71">
        <f t="shared" si="14"/>
        <v>-54301.05633802816</v>
      </c>
    </row>
    <row r="245" spans="1:11" x14ac:dyDescent="0.25">
      <c r="A245" s="38">
        <f>Données!A242</f>
        <v>5821</v>
      </c>
      <c r="B245" s="131" t="str">
        <f>Données!B242</f>
        <v>Missy</v>
      </c>
      <c r="C245" s="8">
        <f>Données!Z242</f>
        <v>387</v>
      </c>
      <c r="D245" s="8">
        <f t="shared" si="16"/>
        <v>387</v>
      </c>
      <c r="E245" s="162">
        <f t="shared" si="15"/>
        <v>0</v>
      </c>
      <c r="F245" s="8">
        <f t="shared" si="15"/>
        <v>0</v>
      </c>
      <c r="G245" s="162">
        <f t="shared" si="15"/>
        <v>0</v>
      </c>
      <c r="H245" s="31">
        <f t="shared" si="15"/>
        <v>0</v>
      </c>
      <c r="I245" s="8">
        <f t="shared" si="15"/>
        <v>0</v>
      </c>
      <c r="J245" s="8">
        <f t="shared" si="13"/>
        <v>0</v>
      </c>
      <c r="K245" s="71">
        <f t="shared" si="14"/>
        <v>-50759.683098591537</v>
      </c>
    </row>
    <row r="246" spans="1:11" x14ac:dyDescent="0.25">
      <c r="A246" s="38">
        <f>Données!A243</f>
        <v>5822</v>
      </c>
      <c r="B246" s="131" t="str">
        <f>Données!B243</f>
        <v>Payerne</v>
      </c>
      <c r="C246" s="8">
        <f>Données!Z243</f>
        <v>10372</v>
      </c>
      <c r="D246" s="8">
        <f t="shared" si="16"/>
        <v>1000</v>
      </c>
      <c r="E246" s="162">
        <f t="shared" si="15"/>
        <v>2000</v>
      </c>
      <c r="F246" s="8">
        <f t="shared" si="15"/>
        <v>2000</v>
      </c>
      <c r="G246" s="162">
        <f t="shared" si="15"/>
        <v>4000</v>
      </c>
      <c r="H246" s="31">
        <f t="shared" si="15"/>
        <v>1372</v>
      </c>
      <c r="I246" s="8">
        <f t="shared" si="15"/>
        <v>0</v>
      </c>
      <c r="J246" s="8">
        <f t="shared" si="13"/>
        <v>0</v>
      </c>
      <c r="K246" s="71">
        <f t="shared" si="14"/>
        <v>-5656963.3802816886</v>
      </c>
    </row>
    <row r="247" spans="1:11" x14ac:dyDescent="0.25">
      <c r="A247" s="38">
        <f>Données!A244</f>
        <v>5827</v>
      </c>
      <c r="B247" s="131" t="str">
        <f>Données!B244</f>
        <v>Trey</v>
      </c>
      <c r="C247" s="8">
        <f>Données!Z244</f>
        <v>302</v>
      </c>
      <c r="D247" s="8">
        <f t="shared" si="16"/>
        <v>302</v>
      </c>
      <c r="E247" s="162">
        <f t="shared" si="15"/>
        <v>0</v>
      </c>
      <c r="F247" s="8">
        <f t="shared" si="15"/>
        <v>0</v>
      </c>
      <c r="G247" s="162">
        <f t="shared" si="15"/>
        <v>0</v>
      </c>
      <c r="H247" s="31">
        <f t="shared" si="15"/>
        <v>0</v>
      </c>
      <c r="I247" s="8">
        <f t="shared" si="15"/>
        <v>0</v>
      </c>
      <c r="J247" s="8">
        <f t="shared" si="13"/>
        <v>0</v>
      </c>
      <c r="K247" s="71">
        <f t="shared" si="14"/>
        <v>-39610.915492957742</v>
      </c>
    </row>
    <row r="248" spans="1:11" x14ac:dyDescent="0.25">
      <c r="A248" s="38">
        <f>Données!A245</f>
        <v>5828</v>
      </c>
      <c r="B248" s="131" t="str">
        <f>Données!B245</f>
        <v>Treytorrens (Payerne)</v>
      </c>
      <c r="C248" s="8">
        <f>Données!Z245</f>
        <v>105</v>
      </c>
      <c r="D248" s="8">
        <f t="shared" si="16"/>
        <v>105</v>
      </c>
      <c r="E248" s="162">
        <f t="shared" si="15"/>
        <v>0</v>
      </c>
      <c r="F248" s="8">
        <f t="shared" si="15"/>
        <v>0</v>
      </c>
      <c r="G248" s="162">
        <f t="shared" si="15"/>
        <v>0</v>
      </c>
      <c r="H248" s="31">
        <f t="shared" si="15"/>
        <v>0</v>
      </c>
      <c r="I248" s="8">
        <f t="shared" si="15"/>
        <v>0</v>
      </c>
      <c r="J248" s="8">
        <f t="shared" si="13"/>
        <v>0</v>
      </c>
      <c r="K248" s="71">
        <f t="shared" si="14"/>
        <v>-13772.007042253519</v>
      </c>
    </row>
    <row r="249" spans="1:11" x14ac:dyDescent="0.25">
      <c r="A249" s="38">
        <f>Données!A246</f>
        <v>5830</v>
      </c>
      <c r="B249" s="131" t="str">
        <f>Données!B246</f>
        <v>Villarzel</v>
      </c>
      <c r="C249" s="8">
        <f>Données!Z246</f>
        <v>486</v>
      </c>
      <c r="D249" s="8">
        <f t="shared" si="16"/>
        <v>486</v>
      </c>
      <c r="E249" s="162">
        <f t="shared" si="15"/>
        <v>0</v>
      </c>
      <c r="F249" s="8">
        <f t="shared" si="15"/>
        <v>0</v>
      </c>
      <c r="G249" s="162">
        <f t="shared" si="15"/>
        <v>0</v>
      </c>
      <c r="H249" s="31">
        <f t="shared" si="15"/>
        <v>0</v>
      </c>
      <c r="I249" s="8">
        <f t="shared" si="15"/>
        <v>0</v>
      </c>
      <c r="J249" s="8">
        <f t="shared" si="13"/>
        <v>0</v>
      </c>
      <c r="K249" s="71">
        <f t="shared" si="14"/>
        <v>-63744.718309859141</v>
      </c>
    </row>
    <row r="250" spans="1:11" x14ac:dyDescent="0.25">
      <c r="A250" s="38">
        <f>Données!A247</f>
        <v>5831</v>
      </c>
      <c r="B250" s="131" t="str">
        <f>Données!B247</f>
        <v>Valbroye</v>
      </c>
      <c r="C250" s="8">
        <f>Données!Z247</f>
        <v>3361</v>
      </c>
      <c r="D250" s="8">
        <f t="shared" si="16"/>
        <v>1000</v>
      </c>
      <c r="E250" s="162">
        <f t="shared" si="15"/>
        <v>2000</v>
      </c>
      <c r="F250" s="8">
        <f t="shared" si="15"/>
        <v>361</v>
      </c>
      <c r="G250" s="162">
        <f t="shared" si="15"/>
        <v>0</v>
      </c>
      <c r="H250" s="31">
        <f t="shared" si="15"/>
        <v>0</v>
      </c>
      <c r="I250" s="8">
        <f t="shared" si="15"/>
        <v>0</v>
      </c>
      <c r="J250" s="8">
        <f t="shared" si="13"/>
        <v>0</v>
      </c>
      <c r="K250" s="71">
        <f t="shared" si="14"/>
        <v>-1055066.9014084504</v>
      </c>
    </row>
    <row r="251" spans="1:11" x14ac:dyDescent="0.25">
      <c r="A251" s="38">
        <f>Données!A248</f>
        <v>5841</v>
      </c>
      <c r="B251" s="131" t="str">
        <f>Données!B248</f>
        <v>Château-d'Oex</v>
      </c>
      <c r="C251" s="8">
        <f>Données!Z248</f>
        <v>3568</v>
      </c>
      <c r="D251" s="8">
        <f t="shared" si="16"/>
        <v>1000</v>
      </c>
      <c r="E251" s="162">
        <f t="shared" si="15"/>
        <v>2000</v>
      </c>
      <c r="F251" s="8">
        <f t="shared" si="15"/>
        <v>568</v>
      </c>
      <c r="G251" s="162">
        <f t="shared" si="15"/>
        <v>0</v>
      </c>
      <c r="H251" s="31">
        <f t="shared" si="15"/>
        <v>0</v>
      </c>
      <c r="I251" s="8">
        <f t="shared" si="15"/>
        <v>0</v>
      </c>
      <c r="J251" s="8">
        <f t="shared" si="13"/>
        <v>0</v>
      </c>
      <c r="K251" s="71">
        <f t="shared" si="14"/>
        <v>-1163669.0140845068</v>
      </c>
    </row>
    <row r="252" spans="1:11" x14ac:dyDescent="0.25">
      <c r="A252" s="38">
        <f>Données!A249</f>
        <v>5842</v>
      </c>
      <c r="B252" s="131" t="str">
        <f>Données!B249</f>
        <v>Rossinière</v>
      </c>
      <c r="C252" s="8">
        <f>Données!Z249</f>
        <v>534</v>
      </c>
      <c r="D252" s="8">
        <f t="shared" si="16"/>
        <v>534</v>
      </c>
      <c r="E252" s="162">
        <f t="shared" si="15"/>
        <v>0</v>
      </c>
      <c r="F252" s="8">
        <f t="shared" si="15"/>
        <v>0</v>
      </c>
      <c r="G252" s="162">
        <f t="shared" si="15"/>
        <v>0</v>
      </c>
      <c r="H252" s="31">
        <f t="shared" si="15"/>
        <v>0</v>
      </c>
      <c r="I252" s="8">
        <f t="shared" si="15"/>
        <v>0</v>
      </c>
      <c r="J252" s="8">
        <f t="shared" si="13"/>
        <v>0</v>
      </c>
      <c r="K252" s="71">
        <f t="shared" si="14"/>
        <v>-70040.492957746465</v>
      </c>
    </row>
    <row r="253" spans="1:11" x14ac:dyDescent="0.25">
      <c r="A253" s="38">
        <f>Données!A250</f>
        <v>5843</v>
      </c>
      <c r="B253" s="131" t="str">
        <f>Données!B250</f>
        <v>Rougemont</v>
      </c>
      <c r="C253" s="8">
        <f>Données!Z250</f>
        <v>826</v>
      </c>
      <c r="D253" s="8">
        <f t="shared" si="16"/>
        <v>826</v>
      </c>
      <c r="E253" s="162">
        <f t="shared" si="15"/>
        <v>0</v>
      </c>
      <c r="F253" s="8">
        <f t="shared" si="15"/>
        <v>0</v>
      </c>
      <c r="G253" s="162">
        <f t="shared" si="15"/>
        <v>0</v>
      </c>
      <c r="H253" s="31">
        <f t="shared" si="15"/>
        <v>0</v>
      </c>
      <c r="I253" s="8">
        <f t="shared" si="15"/>
        <v>0</v>
      </c>
      <c r="J253" s="8">
        <f t="shared" si="13"/>
        <v>0</v>
      </c>
      <c r="K253" s="71">
        <f t="shared" si="14"/>
        <v>-108339.78873239434</v>
      </c>
    </row>
    <row r="254" spans="1:11" x14ac:dyDescent="0.25">
      <c r="A254" s="38">
        <f>Données!A251</f>
        <v>5851</v>
      </c>
      <c r="B254" s="131" t="str">
        <f>Données!B251</f>
        <v>Allaman</v>
      </c>
      <c r="C254" s="8">
        <f>Données!Z251</f>
        <v>420</v>
      </c>
      <c r="D254" s="8">
        <f t="shared" si="16"/>
        <v>420</v>
      </c>
      <c r="E254" s="162">
        <f t="shared" si="15"/>
        <v>0</v>
      </c>
      <c r="F254" s="8">
        <f t="shared" si="15"/>
        <v>0</v>
      </c>
      <c r="G254" s="162">
        <f t="shared" si="15"/>
        <v>0</v>
      </c>
      <c r="H254" s="31">
        <f t="shared" si="15"/>
        <v>0</v>
      </c>
      <c r="I254" s="8">
        <f t="shared" si="15"/>
        <v>0</v>
      </c>
      <c r="J254" s="8">
        <f t="shared" si="13"/>
        <v>0</v>
      </c>
      <c r="K254" s="71">
        <f t="shared" si="14"/>
        <v>-55088.028169014076</v>
      </c>
    </row>
    <row r="255" spans="1:11" x14ac:dyDescent="0.25">
      <c r="A255" s="38">
        <f>Données!A252</f>
        <v>5852</v>
      </c>
      <c r="B255" s="131" t="str">
        <f>Données!B252</f>
        <v>Bursinel</v>
      </c>
      <c r="C255" s="8">
        <f>Données!Z252</f>
        <v>503</v>
      </c>
      <c r="D255" s="8">
        <f t="shared" si="16"/>
        <v>503</v>
      </c>
      <c r="E255" s="162">
        <f t="shared" si="15"/>
        <v>0</v>
      </c>
      <c r="F255" s="8">
        <f t="shared" si="15"/>
        <v>0</v>
      </c>
      <c r="G255" s="162">
        <f t="shared" si="15"/>
        <v>0</v>
      </c>
      <c r="H255" s="31">
        <f t="shared" si="15"/>
        <v>0</v>
      </c>
      <c r="I255" s="8">
        <f t="shared" si="15"/>
        <v>0</v>
      </c>
      <c r="J255" s="8">
        <f t="shared" si="13"/>
        <v>0</v>
      </c>
      <c r="K255" s="71">
        <f t="shared" si="14"/>
        <v>-65974.471830985902</v>
      </c>
    </row>
    <row r="256" spans="1:11" x14ac:dyDescent="0.25">
      <c r="A256" s="38">
        <f>Données!A253</f>
        <v>5853</v>
      </c>
      <c r="B256" s="131" t="str">
        <f>Données!B253</f>
        <v>Bursins</v>
      </c>
      <c r="C256" s="8">
        <f>Données!Z253</f>
        <v>766</v>
      </c>
      <c r="D256" s="8">
        <f t="shared" si="16"/>
        <v>766</v>
      </c>
      <c r="E256" s="162">
        <f t="shared" si="15"/>
        <v>0</v>
      </c>
      <c r="F256" s="8">
        <f t="shared" si="15"/>
        <v>0</v>
      </c>
      <c r="G256" s="162">
        <f t="shared" si="15"/>
        <v>0</v>
      </c>
      <c r="H256" s="31">
        <f t="shared" si="15"/>
        <v>0</v>
      </c>
      <c r="I256" s="8">
        <f t="shared" si="15"/>
        <v>0</v>
      </c>
      <c r="J256" s="8">
        <f t="shared" si="13"/>
        <v>0</v>
      </c>
      <c r="K256" s="71">
        <f t="shared" si="14"/>
        <v>-100470.07042253519</v>
      </c>
    </row>
    <row r="257" spans="1:11" x14ac:dyDescent="0.25">
      <c r="A257" s="38">
        <f>Données!A254</f>
        <v>5854</v>
      </c>
      <c r="B257" s="131" t="str">
        <f>Données!B254</f>
        <v>Burtigny</v>
      </c>
      <c r="C257" s="8">
        <f>Données!Z254</f>
        <v>414</v>
      </c>
      <c r="D257" s="8">
        <f t="shared" si="16"/>
        <v>414</v>
      </c>
      <c r="E257" s="162">
        <f t="shared" si="15"/>
        <v>0</v>
      </c>
      <c r="F257" s="8">
        <f t="shared" si="15"/>
        <v>0</v>
      </c>
      <c r="G257" s="162">
        <f t="shared" si="15"/>
        <v>0</v>
      </c>
      <c r="H257" s="31">
        <f t="shared" si="15"/>
        <v>0</v>
      </c>
      <c r="I257" s="8">
        <f t="shared" si="15"/>
        <v>0</v>
      </c>
      <c r="J257" s="8">
        <f t="shared" si="13"/>
        <v>0</v>
      </c>
      <c r="K257" s="71">
        <f t="shared" si="14"/>
        <v>-54301.05633802816</v>
      </c>
    </row>
    <row r="258" spans="1:11" x14ac:dyDescent="0.25">
      <c r="A258" s="38">
        <f>Données!A255</f>
        <v>5855</v>
      </c>
      <c r="B258" s="131" t="str">
        <f>Données!B255</f>
        <v>Dully</v>
      </c>
      <c r="C258" s="8">
        <f>Données!Z255</f>
        <v>631</v>
      </c>
      <c r="D258" s="8">
        <f t="shared" si="16"/>
        <v>631</v>
      </c>
      <c r="E258" s="162">
        <f t="shared" si="15"/>
        <v>0</v>
      </c>
      <c r="F258" s="8">
        <f t="shared" si="15"/>
        <v>0</v>
      </c>
      <c r="G258" s="162">
        <f t="shared" si="15"/>
        <v>0</v>
      </c>
      <c r="H258" s="31">
        <f t="shared" si="15"/>
        <v>0</v>
      </c>
      <c r="I258" s="8">
        <f t="shared" si="15"/>
        <v>0</v>
      </c>
      <c r="J258" s="8">
        <f t="shared" si="13"/>
        <v>0</v>
      </c>
      <c r="K258" s="71">
        <f t="shared" si="14"/>
        <v>-82763.204225352092</v>
      </c>
    </row>
    <row r="259" spans="1:11" x14ac:dyDescent="0.25">
      <c r="A259" s="38">
        <f>Données!A256</f>
        <v>5856</v>
      </c>
      <c r="B259" s="131" t="str">
        <f>Données!B256</f>
        <v>Essertines-sur-Rolle</v>
      </c>
      <c r="C259" s="8">
        <f>Données!Z256</f>
        <v>749</v>
      </c>
      <c r="D259" s="8">
        <f t="shared" si="16"/>
        <v>749</v>
      </c>
      <c r="E259" s="162">
        <f t="shared" si="15"/>
        <v>0</v>
      </c>
      <c r="F259" s="8">
        <f t="shared" si="15"/>
        <v>0</v>
      </c>
      <c r="G259" s="162">
        <f t="shared" si="15"/>
        <v>0</v>
      </c>
      <c r="H259" s="31">
        <f t="shared" si="15"/>
        <v>0</v>
      </c>
      <c r="I259" s="8">
        <f t="shared" si="15"/>
        <v>0</v>
      </c>
      <c r="J259" s="8">
        <f t="shared" si="13"/>
        <v>0</v>
      </c>
      <c r="K259" s="71">
        <f t="shared" si="14"/>
        <v>-98240.316901408427</v>
      </c>
    </row>
    <row r="260" spans="1:11" x14ac:dyDescent="0.25">
      <c r="A260" s="38">
        <f>Données!A257</f>
        <v>5857</v>
      </c>
      <c r="B260" s="131" t="str">
        <f>Données!B257</f>
        <v>Gilly</v>
      </c>
      <c r="C260" s="8">
        <f>Données!Z257</f>
        <v>1446</v>
      </c>
      <c r="D260" s="8">
        <f t="shared" si="16"/>
        <v>1000</v>
      </c>
      <c r="E260" s="162">
        <f t="shared" si="15"/>
        <v>446</v>
      </c>
      <c r="F260" s="8">
        <f t="shared" si="15"/>
        <v>0</v>
      </c>
      <c r="G260" s="162">
        <f t="shared" ref="E260:I308" si="17">IF($C260&gt;G$5,IF($C260&lt;G$6,$C260-G$5,G$6-G$5),0)</f>
        <v>0</v>
      </c>
      <c r="H260" s="31">
        <f t="shared" si="17"/>
        <v>0</v>
      </c>
      <c r="I260" s="8">
        <f t="shared" si="17"/>
        <v>0</v>
      </c>
      <c r="J260" s="8">
        <f t="shared" si="13"/>
        <v>0</v>
      </c>
      <c r="K260" s="71">
        <f t="shared" si="14"/>
        <v>-294957.04225352104</v>
      </c>
    </row>
    <row r="261" spans="1:11" x14ac:dyDescent="0.25">
      <c r="A261" s="38">
        <f>Données!A258</f>
        <v>5858</v>
      </c>
      <c r="B261" s="131" t="str">
        <f>Données!B258</f>
        <v>Luins</v>
      </c>
      <c r="C261" s="8">
        <f>Données!Z258</f>
        <v>618</v>
      </c>
      <c r="D261" s="8">
        <f t="shared" si="16"/>
        <v>618</v>
      </c>
      <c r="E261" s="162">
        <f t="shared" si="17"/>
        <v>0</v>
      </c>
      <c r="F261" s="8">
        <f t="shared" si="17"/>
        <v>0</v>
      </c>
      <c r="G261" s="162">
        <f t="shared" si="17"/>
        <v>0</v>
      </c>
      <c r="H261" s="31">
        <f t="shared" si="17"/>
        <v>0</v>
      </c>
      <c r="I261" s="8">
        <f t="shared" si="17"/>
        <v>0</v>
      </c>
      <c r="J261" s="8">
        <f t="shared" si="13"/>
        <v>0</v>
      </c>
      <c r="K261" s="71">
        <f t="shared" si="14"/>
        <v>-81058.098591549278</v>
      </c>
    </row>
    <row r="262" spans="1:11" x14ac:dyDescent="0.25">
      <c r="A262" s="38">
        <f>Données!A259</f>
        <v>5859</v>
      </c>
      <c r="B262" s="131" t="str">
        <f>Données!B259</f>
        <v>Mont-sur-Rolle</v>
      </c>
      <c r="C262" s="8">
        <f>Données!Z259</f>
        <v>2759</v>
      </c>
      <c r="D262" s="8">
        <f t="shared" si="16"/>
        <v>1000</v>
      </c>
      <c r="E262" s="162">
        <f t="shared" si="17"/>
        <v>1759</v>
      </c>
      <c r="F262" s="8">
        <f t="shared" si="17"/>
        <v>0</v>
      </c>
      <c r="G262" s="162">
        <f t="shared" si="17"/>
        <v>0</v>
      </c>
      <c r="H262" s="31">
        <f t="shared" si="17"/>
        <v>0</v>
      </c>
      <c r="I262" s="8">
        <f t="shared" si="17"/>
        <v>0</v>
      </c>
      <c r="J262" s="8">
        <f t="shared" si="13"/>
        <v>0</v>
      </c>
      <c r="K262" s="71">
        <f t="shared" si="14"/>
        <v>-777160.91549295757</v>
      </c>
    </row>
    <row r="263" spans="1:11" x14ac:dyDescent="0.25">
      <c r="A263" s="38">
        <f>Données!A260</f>
        <v>5860</v>
      </c>
      <c r="B263" s="131" t="str">
        <f>Données!B260</f>
        <v>Perroy</v>
      </c>
      <c r="C263" s="8">
        <f>Données!Z260</f>
        <v>1542</v>
      </c>
      <c r="D263" s="8">
        <f t="shared" si="16"/>
        <v>1000</v>
      </c>
      <c r="E263" s="162">
        <f t="shared" si="17"/>
        <v>542</v>
      </c>
      <c r="F263" s="8">
        <f t="shared" si="17"/>
        <v>0</v>
      </c>
      <c r="G263" s="162">
        <f t="shared" si="17"/>
        <v>0</v>
      </c>
      <c r="H263" s="31">
        <f t="shared" si="17"/>
        <v>0</v>
      </c>
      <c r="I263" s="8">
        <f t="shared" si="17"/>
        <v>0</v>
      </c>
      <c r="J263" s="8">
        <f t="shared" si="13"/>
        <v>0</v>
      </c>
      <c r="K263" s="71">
        <f t="shared" si="14"/>
        <v>-330213.3802816901</v>
      </c>
    </row>
    <row r="264" spans="1:11" x14ac:dyDescent="0.25">
      <c r="A264" s="38">
        <f>Données!A261</f>
        <v>5861</v>
      </c>
      <c r="B264" s="131" t="str">
        <f>Données!B261</f>
        <v>Rolle</v>
      </c>
      <c r="C264" s="8">
        <f>Données!Z261</f>
        <v>6321</v>
      </c>
      <c r="D264" s="8">
        <f t="shared" si="16"/>
        <v>1000</v>
      </c>
      <c r="E264" s="162">
        <f t="shared" si="17"/>
        <v>2000</v>
      </c>
      <c r="F264" s="8">
        <f t="shared" si="17"/>
        <v>2000</v>
      </c>
      <c r="G264" s="162">
        <f t="shared" si="17"/>
        <v>1321</v>
      </c>
      <c r="H264" s="31">
        <f t="shared" si="17"/>
        <v>0</v>
      </c>
      <c r="I264" s="8">
        <f t="shared" si="17"/>
        <v>0</v>
      </c>
      <c r="J264" s="8">
        <f t="shared" si="13"/>
        <v>0</v>
      </c>
      <c r="K264" s="71">
        <f t="shared" si="14"/>
        <v>-2746636.6197183095</v>
      </c>
    </row>
    <row r="265" spans="1:11" x14ac:dyDescent="0.25">
      <c r="A265" s="38">
        <f>Données!A262</f>
        <v>5862</v>
      </c>
      <c r="B265" s="131" t="str">
        <f>Données!B262</f>
        <v>Tartegnin</v>
      </c>
      <c r="C265" s="8">
        <f>Données!Z262</f>
        <v>249</v>
      </c>
      <c r="D265" s="8">
        <f t="shared" si="16"/>
        <v>249</v>
      </c>
      <c r="E265" s="162">
        <f t="shared" si="17"/>
        <v>0</v>
      </c>
      <c r="F265" s="8">
        <f t="shared" si="17"/>
        <v>0</v>
      </c>
      <c r="G265" s="162">
        <f t="shared" si="17"/>
        <v>0</v>
      </c>
      <c r="H265" s="31">
        <f t="shared" si="17"/>
        <v>0</v>
      </c>
      <c r="I265" s="8">
        <f t="shared" si="17"/>
        <v>0</v>
      </c>
      <c r="J265" s="8">
        <f t="shared" si="13"/>
        <v>0</v>
      </c>
      <c r="K265" s="71">
        <f t="shared" si="14"/>
        <v>-32659.330985915487</v>
      </c>
    </row>
    <row r="266" spans="1:11" x14ac:dyDescent="0.25">
      <c r="A266" s="38">
        <f>Données!A263</f>
        <v>5863</v>
      </c>
      <c r="B266" s="131" t="str">
        <f>Données!B263</f>
        <v>Vinzel</v>
      </c>
      <c r="C266" s="8">
        <f>Données!Z263</f>
        <v>378</v>
      </c>
      <c r="D266" s="8">
        <f t="shared" si="16"/>
        <v>378</v>
      </c>
      <c r="E266" s="162">
        <f t="shared" si="17"/>
        <v>0</v>
      </c>
      <c r="F266" s="8">
        <f t="shared" si="17"/>
        <v>0</v>
      </c>
      <c r="G266" s="162">
        <f t="shared" si="17"/>
        <v>0</v>
      </c>
      <c r="H266" s="31">
        <f t="shared" si="17"/>
        <v>0</v>
      </c>
      <c r="I266" s="8">
        <f t="shared" si="17"/>
        <v>0</v>
      </c>
      <c r="J266" s="8">
        <f t="shared" ref="J266:J308" si="18">IF(C266&gt;$J$5,C266-$J$5,0)</f>
        <v>0</v>
      </c>
      <c r="K266" s="71">
        <f t="shared" ref="K266:K308" si="19">-((D266*D$8)+(E266*E$8)+(F266*F$8)+(G266*G$8)+(H266*H$8)+(I266*I$8)+(J266*J$8))</f>
        <v>-49579.225352112669</v>
      </c>
    </row>
    <row r="267" spans="1:11" x14ac:dyDescent="0.25">
      <c r="A267" s="38">
        <f>Données!A264</f>
        <v>5871</v>
      </c>
      <c r="B267" s="131" t="str">
        <f>Données!B264</f>
        <v>L'Abbaye</v>
      </c>
      <c r="C267" s="8">
        <f>Données!Z264</f>
        <v>1534</v>
      </c>
      <c r="D267" s="8">
        <f t="shared" si="16"/>
        <v>1000</v>
      </c>
      <c r="E267" s="162">
        <f t="shared" si="17"/>
        <v>534</v>
      </c>
      <c r="F267" s="8">
        <f t="shared" si="17"/>
        <v>0</v>
      </c>
      <c r="G267" s="162">
        <f t="shared" si="17"/>
        <v>0</v>
      </c>
      <c r="H267" s="31">
        <f t="shared" si="17"/>
        <v>0</v>
      </c>
      <c r="I267" s="8">
        <f t="shared" si="17"/>
        <v>0</v>
      </c>
      <c r="J267" s="8">
        <f t="shared" si="18"/>
        <v>0</v>
      </c>
      <c r="K267" s="71">
        <f t="shared" si="19"/>
        <v>-327275.35211267602</v>
      </c>
    </row>
    <row r="268" spans="1:11" x14ac:dyDescent="0.25">
      <c r="A268" s="38">
        <f>Données!A265</f>
        <v>5872</v>
      </c>
      <c r="B268" s="131" t="str">
        <f>Données!B265</f>
        <v>Le Chenit</v>
      </c>
      <c r="C268" s="8">
        <f>Données!Z265</f>
        <v>4613</v>
      </c>
      <c r="D268" s="8">
        <f t="shared" si="16"/>
        <v>1000</v>
      </c>
      <c r="E268" s="162">
        <f t="shared" si="17"/>
        <v>2000</v>
      </c>
      <c r="F268" s="8">
        <f t="shared" si="17"/>
        <v>1613</v>
      </c>
      <c r="G268" s="162">
        <f t="shared" si="17"/>
        <v>0</v>
      </c>
      <c r="H268" s="31">
        <f t="shared" si="17"/>
        <v>0</v>
      </c>
      <c r="I268" s="8">
        <f t="shared" si="17"/>
        <v>0</v>
      </c>
      <c r="J268" s="8">
        <f t="shared" si="18"/>
        <v>0</v>
      </c>
      <c r="K268" s="71">
        <f t="shared" si="19"/>
        <v>-1711926.0563380278</v>
      </c>
    </row>
    <row r="269" spans="1:11" x14ac:dyDescent="0.25">
      <c r="A269" s="38">
        <f>Données!A266</f>
        <v>5873</v>
      </c>
      <c r="B269" s="131" t="str">
        <f>Données!B266</f>
        <v>Le Lieu</v>
      </c>
      <c r="C269" s="8">
        <f>Données!Z266</f>
        <v>886</v>
      </c>
      <c r="D269" s="8">
        <f t="shared" si="16"/>
        <v>886</v>
      </c>
      <c r="E269" s="162">
        <f t="shared" si="17"/>
        <v>0</v>
      </c>
      <c r="F269" s="8">
        <f t="shared" si="17"/>
        <v>0</v>
      </c>
      <c r="G269" s="162">
        <f t="shared" si="17"/>
        <v>0</v>
      </c>
      <c r="H269" s="31">
        <f t="shared" si="17"/>
        <v>0</v>
      </c>
      <c r="I269" s="8">
        <f t="shared" si="17"/>
        <v>0</v>
      </c>
      <c r="J269" s="8">
        <f t="shared" si="18"/>
        <v>0</v>
      </c>
      <c r="K269" s="71">
        <f t="shared" si="19"/>
        <v>-116209.50704225351</v>
      </c>
    </row>
    <row r="270" spans="1:11" x14ac:dyDescent="0.25">
      <c r="A270" s="38">
        <f>Données!A267</f>
        <v>5882</v>
      </c>
      <c r="B270" s="131" t="str">
        <f>Données!B267</f>
        <v>Chardonne</v>
      </c>
      <c r="C270" s="8">
        <f>Données!Z267</f>
        <v>3192</v>
      </c>
      <c r="D270" s="8">
        <f t="shared" si="16"/>
        <v>1000</v>
      </c>
      <c r="E270" s="162">
        <f t="shared" si="17"/>
        <v>2000</v>
      </c>
      <c r="F270" s="8">
        <f t="shared" si="17"/>
        <v>192</v>
      </c>
      <c r="G270" s="162">
        <f t="shared" si="17"/>
        <v>0</v>
      </c>
      <c r="H270" s="31">
        <f t="shared" si="17"/>
        <v>0</v>
      </c>
      <c r="I270" s="8">
        <f t="shared" si="17"/>
        <v>0</v>
      </c>
      <c r="J270" s="8">
        <f t="shared" si="18"/>
        <v>0</v>
      </c>
      <c r="K270" s="71">
        <f t="shared" si="19"/>
        <v>-966401.40845070407</v>
      </c>
    </row>
    <row r="271" spans="1:11" x14ac:dyDescent="0.25">
      <c r="A271" s="38">
        <f>Données!A268</f>
        <v>5883</v>
      </c>
      <c r="B271" s="131" t="str">
        <f>Données!B268</f>
        <v>Corseaux</v>
      </c>
      <c r="C271" s="8">
        <f>Données!Z268</f>
        <v>2307</v>
      </c>
      <c r="D271" s="8">
        <f t="shared" si="16"/>
        <v>1000</v>
      </c>
      <c r="E271" s="162">
        <f t="shared" si="17"/>
        <v>1307</v>
      </c>
      <c r="F271" s="8">
        <f t="shared" si="17"/>
        <v>0</v>
      </c>
      <c r="G271" s="162">
        <f t="shared" si="17"/>
        <v>0</v>
      </c>
      <c r="H271" s="31">
        <f t="shared" si="17"/>
        <v>0</v>
      </c>
      <c r="I271" s="8">
        <f t="shared" si="17"/>
        <v>0</v>
      </c>
      <c r="J271" s="8">
        <f t="shared" si="18"/>
        <v>0</v>
      </c>
      <c r="K271" s="71">
        <f t="shared" si="19"/>
        <v>-611162.32394366188</v>
      </c>
    </row>
    <row r="272" spans="1:11" x14ac:dyDescent="0.25">
      <c r="A272" s="38">
        <f>Données!A269</f>
        <v>5884</v>
      </c>
      <c r="B272" s="131" t="str">
        <f>Données!B269</f>
        <v>Corsier-sur-Vevey</v>
      </c>
      <c r="C272" s="8">
        <f>Données!Z269</f>
        <v>3366</v>
      </c>
      <c r="D272" s="8">
        <f t="shared" si="16"/>
        <v>1000</v>
      </c>
      <c r="E272" s="162">
        <f t="shared" si="17"/>
        <v>2000</v>
      </c>
      <c r="F272" s="8">
        <f t="shared" si="17"/>
        <v>366</v>
      </c>
      <c r="G272" s="162">
        <f t="shared" si="17"/>
        <v>0</v>
      </c>
      <c r="H272" s="31">
        <f t="shared" si="17"/>
        <v>0</v>
      </c>
      <c r="I272" s="8">
        <f t="shared" si="17"/>
        <v>0</v>
      </c>
      <c r="J272" s="8">
        <f t="shared" si="18"/>
        <v>0</v>
      </c>
      <c r="K272" s="71">
        <f t="shared" si="19"/>
        <v>-1057690.1408450701</v>
      </c>
    </row>
    <row r="273" spans="1:11" x14ac:dyDescent="0.25">
      <c r="A273" s="38">
        <f>Données!A270</f>
        <v>5885</v>
      </c>
      <c r="B273" s="131" t="str">
        <f>Données!B270</f>
        <v>Jongny</v>
      </c>
      <c r="C273" s="8">
        <f>Données!Z270</f>
        <v>1842</v>
      </c>
      <c r="D273" s="8">
        <f t="shared" si="16"/>
        <v>1000</v>
      </c>
      <c r="E273" s="162">
        <f t="shared" si="17"/>
        <v>842</v>
      </c>
      <c r="F273" s="8">
        <f t="shared" si="17"/>
        <v>0</v>
      </c>
      <c r="G273" s="162">
        <f t="shared" si="17"/>
        <v>0</v>
      </c>
      <c r="H273" s="31">
        <f t="shared" si="17"/>
        <v>0</v>
      </c>
      <c r="I273" s="8">
        <f t="shared" si="17"/>
        <v>0</v>
      </c>
      <c r="J273" s="8">
        <f t="shared" si="18"/>
        <v>0</v>
      </c>
      <c r="K273" s="71">
        <f t="shared" si="19"/>
        <v>-440389.43661971821</v>
      </c>
    </row>
    <row r="274" spans="1:11" x14ac:dyDescent="0.25">
      <c r="A274" s="38">
        <f>Données!A271</f>
        <v>5886</v>
      </c>
      <c r="B274" s="131" t="str">
        <f>Données!B271</f>
        <v>Montreux</v>
      </c>
      <c r="C274" s="8">
        <f>Données!Z271</f>
        <v>26081</v>
      </c>
      <c r="D274" s="8">
        <f t="shared" si="16"/>
        <v>1000</v>
      </c>
      <c r="E274" s="162">
        <f t="shared" si="17"/>
        <v>2000</v>
      </c>
      <c r="F274" s="8">
        <f t="shared" si="17"/>
        <v>2000</v>
      </c>
      <c r="G274" s="162">
        <f t="shared" si="17"/>
        <v>4000</v>
      </c>
      <c r="H274" s="31">
        <f t="shared" si="17"/>
        <v>3000</v>
      </c>
      <c r="I274" s="8">
        <f t="shared" si="17"/>
        <v>3000</v>
      </c>
      <c r="J274" s="8">
        <f t="shared" si="18"/>
        <v>11081</v>
      </c>
      <c r="K274" s="71">
        <f t="shared" si="19"/>
        <v>-22465475</v>
      </c>
    </row>
    <row r="275" spans="1:11" x14ac:dyDescent="0.25">
      <c r="A275" s="38">
        <f>Données!A272</f>
        <v>5889</v>
      </c>
      <c r="B275" s="131" t="str">
        <f>Données!B272</f>
        <v>La Tour-de-Peilz</v>
      </c>
      <c r="C275" s="8">
        <f>Données!Z272</f>
        <v>12400</v>
      </c>
      <c r="D275" s="8">
        <f t="shared" si="16"/>
        <v>1000</v>
      </c>
      <c r="E275" s="162">
        <f t="shared" si="17"/>
        <v>2000</v>
      </c>
      <c r="F275" s="8">
        <f t="shared" si="17"/>
        <v>2000</v>
      </c>
      <c r="G275" s="162">
        <f t="shared" si="17"/>
        <v>4000</v>
      </c>
      <c r="H275" s="31">
        <f t="shared" si="17"/>
        <v>3000</v>
      </c>
      <c r="I275" s="8">
        <f t="shared" si="17"/>
        <v>400</v>
      </c>
      <c r="J275" s="8">
        <f t="shared" si="18"/>
        <v>0</v>
      </c>
      <c r="K275" s="71">
        <f t="shared" si="19"/>
        <v>-7528697.18309859</v>
      </c>
    </row>
    <row r="276" spans="1:11" x14ac:dyDescent="0.25">
      <c r="A276" s="38">
        <f>Données!A273</f>
        <v>5890</v>
      </c>
      <c r="B276" s="131" t="str">
        <f>Données!B273</f>
        <v>Vevey</v>
      </c>
      <c r="C276" s="8">
        <f>Données!Z273</f>
        <v>19743</v>
      </c>
      <c r="D276" s="8">
        <f t="shared" si="16"/>
        <v>1000</v>
      </c>
      <c r="E276" s="162">
        <f t="shared" si="17"/>
        <v>2000</v>
      </c>
      <c r="F276" s="8">
        <f t="shared" si="17"/>
        <v>2000</v>
      </c>
      <c r="G276" s="162">
        <f t="shared" si="17"/>
        <v>4000</v>
      </c>
      <c r="H276" s="31">
        <f t="shared" si="17"/>
        <v>3000</v>
      </c>
      <c r="I276" s="8">
        <f t="shared" si="17"/>
        <v>3000</v>
      </c>
      <c r="J276" s="8">
        <f t="shared" si="18"/>
        <v>4743</v>
      </c>
      <c r="K276" s="71">
        <f t="shared" si="19"/>
        <v>-15482516.549295772</v>
      </c>
    </row>
    <row r="277" spans="1:11" x14ac:dyDescent="0.25">
      <c r="A277" s="38">
        <f>Données!A274</f>
        <v>5891</v>
      </c>
      <c r="B277" s="131" t="str">
        <f>Données!B274</f>
        <v>Veytaux</v>
      </c>
      <c r="C277" s="8">
        <f>Données!Z274</f>
        <v>970</v>
      </c>
      <c r="D277" s="8">
        <f t="shared" si="16"/>
        <v>970</v>
      </c>
      <c r="E277" s="162">
        <f t="shared" si="17"/>
        <v>0</v>
      </c>
      <c r="F277" s="8">
        <f t="shared" si="17"/>
        <v>0</v>
      </c>
      <c r="G277" s="162">
        <f t="shared" si="17"/>
        <v>0</v>
      </c>
      <c r="H277" s="31">
        <f t="shared" si="17"/>
        <v>0</v>
      </c>
      <c r="I277" s="8">
        <f t="shared" si="17"/>
        <v>0</v>
      </c>
      <c r="J277" s="8">
        <f t="shared" si="18"/>
        <v>0</v>
      </c>
      <c r="K277" s="71">
        <f t="shared" si="19"/>
        <v>-127227.11267605632</v>
      </c>
    </row>
    <row r="278" spans="1:11" x14ac:dyDescent="0.25">
      <c r="A278" s="38">
        <f>Données!A275</f>
        <v>5892</v>
      </c>
      <c r="B278" s="131" t="str">
        <f>Données!B275</f>
        <v>Blonay-St-Légier</v>
      </c>
      <c r="C278" s="8">
        <f>Données!Z275</f>
        <v>12123</v>
      </c>
      <c r="D278" s="8">
        <f t="shared" si="16"/>
        <v>1000</v>
      </c>
      <c r="E278" s="162">
        <f t="shared" si="17"/>
        <v>2000</v>
      </c>
      <c r="F278" s="8">
        <f t="shared" si="17"/>
        <v>2000</v>
      </c>
      <c r="G278" s="162">
        <f t="shared" si="17"/>
        <v>4000</v>
      </c>
      <c r="H278" s="31">
        <f t="shared" si="17"/>
        <v>3000</v>
      </c>
      <c r="I278" s="8">
        <f t="shared" si="17"/>
        <v>123</v>
      </c>
      <c r="J278" s="8">
        <f t="shared" si="18"/>
        <v>0</v>
      </c>
      <c r="K278" s="71">
        <f t="shared" si="19"/>
        <v>-7238042.2535211258</v>
      </c>
    </row>
    <row r="279" spans="1:11" x14ac:dyDescent="0.25">
      <c r="A279" s="38">
        <f>Données!A276</f>
        <v>5902</v>
      </c>
      <c r="B279" s="131" t="str">
        <f>Données!B276</f>
        <v>Belmont-sur-Yverdon</v>
      </c>
      <c r="C279" s="8">
        <f>Données!Z276</f>
        <v>434</v>
      </c>
      <c r="D279" s="8">
        <f t="shared" si="16"/>
        <v>434</v>
      </c>
      <c r="E279" s="162">
        <f t="shared" si="17"/>
        <v>0</v>
      </c>
      <c r="F279" s="8">
        <f t="shared" si="17"/>
        <v>0</v>
      </c>
      <c r="G279" s="162">
        <f t="shared" si="17"/>
        <v>0</v>
      </c>
      <c r="H279" s="31">
        <f t="shared" si="17"/>
        <v>0</v>
      </c>
      <c r="I279" s="8">
        <f t="shared" si="17"/>
        <v>0</v>
      </c>
      <c r="J279" s="8">
        <f t="shared" si="18"/>
        <v>0</v>
      </c>
      <c r="K279" s="71">
        <f t="shared" si="19"/>
        <v>-56924.295774647879</v>
      </c>
    </row>
    <row r="280" spans="1:11" x14ac:dyDescent="0.25">
      <c r="A280" s="38">
        <f>Données!A277</f>
        <v>5903</v>
      </c>
      <c r="B280" s="131" t="str">
        <f>Données!B277</f>
        <v>Bioley-Magnoux</v>
      </c>
      <c r="C280" s="8">
        <f>Données!Z277</f>
        <v>247</v>
      </c>
      <c r="D280" s="8">
        <f t="shared" si="16"/>
        <v>247</v>
      </c>
      <c r="E280" s="162">
        <f t="shared" si="17"/>
        <v>0</v>
      </c>
      <c r="F280" s="8">
        <f t="shared" si="17"/>
        <v>0</v>
      </c>
      <c r="G280" s="162">
        <f t="shared" si="17"/>
        <v>0</v>
      </c>
      <c r="H280" s="31">
        <f t="shared" si="17"/>
        <v>0</v>
      </c>
      <c r="I280" s="8">
        <f t="shared" si="17"/>
        <v>0</v>
      </c>
      <c r="J280" s="8">
        <f t="shared" si="18"/>
        <v>0</v>
      </c>
      <c r="K280" s="71">
        <f t="shared" si="19"/>
        <v>-32397.007042253514</v>
      </c>
    </row>
    <row r="281" spans="1:11" x14ac:dyDescent="0.25">
      <c r="A281" s="38">
        <f>Données!A278</f>
        <v>5904</v>
      </c>
      <c r="B281" s="131" t="str">
        <f>Données!B278</f>
        <v>Chamblon</v>
      </c>
      <c r="C281" s="8">
        <f>Données!Z278</f>
        <v>567</v>
      </c>
      <c r="D281" s="8">
        <f t="shared" si="16"/>
        <v>567</v>
      </c>
      <c r="E281" s="162">
        <f t="shared" si="17"/>
        <v>0</v>
      </c>
      <c r="F281" s="8">
        <f t="shared" si="17"/>
        <v>0</v>
      </c>
      <c r="G281" s="162">
        <f t="shared" si="17"/>
        <v>0</v>
      </c>
      <c r="H281" s="31">
        <f t="shared" si="17"/>
        <v>0</v>
      </c>
      <c r="I281" s="8">
        <f t="shared" si="17"/>
        <v>0</v>
      </c>
      <c r="J281" s="8">
        <f t="shared" si="18"/>
        <v>0</v>
      </c>
      <c r="K281" s="71">
        <f t="shared" si="19"/>
        <v>-74368.838028169004</v>
      </c>
    </row>
    <row r="282" spans="1:11" x14ac:dyDescent="0.25">
      <c r="A282" s="38">
        <f>Données!A279</f>
        <v>5905</v>
      </c>
      <c r="B282" s="131" t="str">
        <f>Données!B279</f>
        <v>Champvent</v>
      </c>
      <c r="C282" s="8">
        <f>Données!Z279</f>
        <v>734</v>
      </c>
      <c r="D282" s="8">
        <f t="shared" si="16"/>
        <v>734</v>
      </c>
      <c r="E282" s="162">
        <f t="shared" si="17"/>
        <v>0</v>
      </c>
      <c r="F282" s="8">
        <f t="shared" si="17"/>
        <v>0</v>
      </c>
      <c r="G282" s="162">
        <f t="shared" si="17"/>
        <v>0</v>
      </c>
      <c r="H282" s="31">
        <f t="shared" si="17"/>
        <v>0</v>
      </c>
      <c r="I282" s="8">
        <f t="shared" si="17"/>
        <v>0</v>
      </c>
      <c r="J282" s="8">
        <f t="shared" si="18"/>
        <v>0</v>
      </c>
      <c r="K282" s="71">
        <f t="shared" si="19"/>
        <v>-96272.887323943651</v>
      </c>
    </row>
    <row r="283" spans="1:11" x14ac:dyDescent="0.25">
      <c r="A283" s="38">
        <f>Données!A280</f>
        <v>5907</v>
      </c>
      <c r="B283" s="131" t="str">
        <f>Données!B280</f>
        <v>Chavannes-le-Chêne</v>
      </c>
      <c r="C283" s="8">
        <f>Données!Z280</f>
        <v>316</v>
      </c>
      <c r="D283" s="8">
        <f t="shared" si="16"/>
        <v>316</v>
      </c>
      <c r="E283" s="162">
        <f t="shared" si="17"/>
        <v>0</v>
      </c>
      <c r="F283" s="8">
        <f t="shared" si="17"/>
        <v>0</v>
      </c>
      <c r="G283" s="162">
        <f t="shared" si="17"/>
        <v>0</v>
      </c>
      <c r="H283" s="31">
        <f t="shared" si="17"/>
        <v>0</v>
      </c>
      <c r="I283" s="8">
        <f t="shared" si="17"/>
        <v>0</v>
      </c>
      <c r="J283" s="8">
        <f t="shared" si="18"/>
        <v>0</v>
      </c>
      <c r="K283" s="71">
        <f t="shared" si="19"/>
        <v>-41447.183098591544</v>
      </c>
    </row>
    <row r="284" spans="1:11" x14ac:dyDescent="0.25">
      <c r="A284" s="38">
        <f>Données!A281</f>
        <v>5908</v>
      </c>
      <c r="B284" s="131" t="str">
        <f>Données!B281</f>
        <v>Chêne-Pâquier</v>
      </c>
      <c r="C284" s="8">
        <f>Données!Z281</f>
        <v>163</v>
      </c>
      <c r="D284" s="8">
        <f t="shared" si="16"/>
        <v>163</v>
      </c>
      <c r="E284" s="162">
        <f t="shared" si="17"/>
        <v>0</v>
      </c>
      <c r="F284" s="8">
        <f t="shared" si="17"/>
        <v>0</v>
      </c>
      <c r="G284" s="162">
        <f t="shared" si="17"/>
        <v>0</v>
      </c>
      <c r="H284" s="31">
        <f t="shared" si="17"/>
        <v>0</v>
      </c>
      <c r="I284" s="8">
        <f t="shared" si="17"/>
        <v>0</v>
      </c>
      <c r="J284" s="8">
        <f t="shared" si="18"/>
        <v>0</v>
      </c>
      <c r="K284" s="71">
        <f t="shared" si="19"/>
        <v>-21379.4014084507</v>
      </c>
    </row>
    <row r="285" spans="1:11" x14ac:dyDescent="0.25">
      <c r="A285" s="38">
        <f>Données!A282</f>
        <v>5909</v>
      </c>
      <c r="B285" s="131" t="str">
        <f>Données!B282</f>
        <v>Cheseaux-Noréaz</v>
      </c>
      <c r="C285" s="8">
        <f>Données!Z282</f>
        <v>734</v>
      </c>
      <c r="D285" s="8">
        <f t="shared" si="16"/>
        <v>734</v>
      </c>
      <c r="E285" s="162">
        <f t="shared" si="17"/>
        <v>0</v>
      </c>
      <c r="F285" s="8">
        <f t="shared" si="17"/>
        <v>0</v>
      </c>
      <c r="G285" s="162">
        <f t="shared" si="17"/>
        <v>0</v>
      </c>
      <c r="H285" s="31">
        <f t="shared" si="17"/>
        <v>0</v>
      </c>
      <c r="I285" s="8">
        <f t="shared" si="17"/>
        <v>0</v>
      </c>
      <c r="J285" s="8">
        <f t="shared" si="18"/>
        <v>0</v>
      </c>
      <c r="K285" s="71">
        <f t="shared" si="19"/>
        <v>-96272.887323943651</v>
      </c>
    </row>
    <row r="286" spans="1:11" x14ac:dyDescent="0.25">
      <c r="A286" s="38">
        <f>Données!A283</f>
        <v>5910</v>
      </c>
      <c r="B286" s="131" t="str">
        <f>Données!B283</f>
        <v>Cronay</v>
      </c>
      <c r="C286" s="8">
        <f>Données!Z283</f>
        <v>410</v>
      </c>
      <c r="D286" s="8">
        <f t="shared" si="16"/>
        <v>410</v>
      </c>
      <c r="E286" s="162">
        <f t="shared" si="17"/>
        <v>0</v>
      </c>
      <c r="F286" s="8">
        <f t="shared" si="17"/>
        <v>0</v>
      </c>
      <c r="G286" s="162">
        <f t="shared" si="17"/>
        <v>0</v>
      </c>
      <c r="H286" s="31">
        <f t="shared" si="17"/>
        <v>0</v>
      </c>
      <c r="I286" s="8">
        <f t="shared" si="17"/>
        <v>0</v>
      </c>
      <c r="J286" s="8">
        <f t="shared" si="18"/>
        <v>0</v>
      </c>
      <c r="K286" s="71">
        <f t="shared" si="19"/>
        <v>-53776.408450704213</v>
      </c>
    </row>
    <row r="287" spans="1:11" x14ac:dyDescent="0.25">
      <c r="A287" s="38">
        <f>Données!A284</f>
        <v>5911</v>
      </c>
      <c r="B287" s="131" t="str">
        <f>Données!B284</f>
        <v>Cuarny</v>
      </c>
      <c r="C287" s="8">
        <f>Données!Z284</f>
        <v>236</v>
      </c>
      <c r="D287" s="8">
        <f t="shared" si="16"/>
        <v>236</v>
      </c>
      <c r="E287" s="162">
        <f t="shared" si="17"/>
        <v>0</v>
      </c>
      <c r="F287" s="8">
        <f t="shared" si="17"/>
        <v>0</v>
      </c>
      <c r="G287" s="162">
        <f t="shared" si="17"/>
        <v>0</v>
      </c>
      <c r="H287" s="31">
        <f t="shared" si="17"/>
        <v>0</v>
      </c>
      <c r="I287" s="8">
        <f t="shared" si="17"/>
        <v>0</v>
      </c>
      <c r="J287" s="8">
        <f t="shared" si="18"/>
        <v>0</v>
      </c>
      <c r="K287" s="71">
        <f t="shared" si="19"/>
        <v>-30954.225352112669</v>
      </c>
    </row>
    <row r="288" spans="1:11" x14ac:dyDescent="0.25">
      <c r="A288" s="38">
        <f>Données!A285</f>
        <v>5912</v>
      </c>
      <c r="B288" s="131" t="str">
        <f>Données!B285</f>
        <v>Démoret</v>
      </c>
      <c r="C288" s="8">
        <f>Données!Z285</f>
        <v>167</v>
      </c>
      <c r="D288" s="8">
        <f t="shared" si="16"/>
        <v>167</v>
      </c>
      <c r="E288" s="162">
        <f t="shared" si="17"/>
        <v>0</v>
      </c>
      <c r="F288" s="8">
        <f t="shared" si="17"/>
        <v>0</v>
      </c>
      <c r="G288" s="162">
        <f t="shared" si="17"/>
        <v>0</v>
      </c>
      <c r="H288" s="31">
        <f t="shared" si="17"/>
        <v>0</v>
      </c>
      <c r="I288" s="8">
        <f t="shared" si="17"/>
        <v>0</v>
      </c>
      <c r="J288" s="8">
        <f t="shared" si="18"/>
        <v>0</v>
      </c>
      <c r="K288" s="71">
        <f t="shared" si="19"/>
        <v>-21904.049295774643</v>
      </c>
    </row>
    <row r="289" spans="1:11" x14ac:dyDescent="0.25">
      <c r="A289" s="38">
        <f>Données!A286</f>
        <v>5913</v>
      </c>
      <c r="B289" s="131" t="str">
        <f>Données!B286</f>
        <v>Donneloye</v>
      </c>
      <c r="C289" s="8">
        <f>Données!Z286</f>
        <v>905</v>
      </c>
      <c r="D289" s="8">
        <f t="shared" si="16"/>
        <v>905</v>
      </c>
      <c r="E289" s="162">
        <f t="shared" si="17"/>
        <v>0</v>
      </c>
      <c r="F289" s="8">
        <f t="shared" si="17"/>
        <v>0</v>
      </c>
      <c r="G289" s="162">
        <f t="shared" si="17"/>
        <v>0</v>
      </c>
      <c r="H289" s="31">
        <f t="shared" si="17"/>
        <v>0</v>
      </c>
      <c r="I289" s="8">
        <f t="shared" si="17"/>
        <v>0</v>
      </c>
      <c r="J289" s="8">
        <f t="shared" si="18"/>
        <v>0</v>
      </c>
      <c r="K289" s="71">
        <f t="shared" si="19"/>
        <v>-118701.58450704224</v>
      </c>
    </row>
    <row r="290" spans="1:11" x14ac:dyDescent="0.25">
      <c r="A290" s="38">
        <f>Données!A287</f>
        <v>5914</v>
      </c>
      <c r="B290" s="131" t="str">
        <f>Données!B287</f>
        <v>Ependes</v>
      </c>
      <c r="C290" s="8">
        <f>Données!Z287</f>
        <v>372</v>
      </c>
      <c r="D290" s="8">
        <f t="shared" si="16"/>
        <v>372</v>
      </c>
      <c r="E290" s="162">
        <f t="shared" si="17"/>
        <v>0</v>
      </c>
      <c r="F290" s="8">
        <f t="shared" si="17"/>
        <v>0</v>
      </c>
      <c r="G290" s="162">
        <f t="shared" si="17"/>
        <v>0</v>
      </c>
      <c r="H290" s="31">
        <f t="shared" si="17"/>
        <v>0</v>
      </c>
      <c r="I290" s="8">
        <f t="shared" si="17"/>
        <v>0</v>
      </c>
      <c r="J290" s="8">
        <f t="shared" si="18"/>
        <v>0</v>
      </c>
      <c r="K290" s="71">
        <f t="shared" si="19"/>
        <v>-48792.253521126753</v>
      </c>
    </row>
    <row r="291" spans="1:11" x14ac:dyDescent="0.25">
      <c r="A291" s="38">
        <f>Données!A288</f>
        <v>5919</v>
      </c>
      <c r="B291" s="131" t="str">
        <f>Données!B288</f>
        <v>Mathod</v>
      </c>
      <c r="C291" s="8">
        <f>Données!Z288</f>
        <v>684</v>
      </c>
      <c r="D291" s="8">
        <f t="shared" si="16"/>
        <v>684</v>
      </c>
      <c r="E291" s="162">
        <f t="shared" si="17"/>
        <v>0</v>
      </c>
      <c r="F291" s="8">
        <f t="shared" si="17"/>
        <v>0</v>
      </c>
      <c r="G291" s="162">
        <f t="shared" si="17"/>
        <v>0</v>
      </c>
      <c r="H291" s="31">
        <f t="shared" si="17"/>
        <v>0</v>
      </c>
      <c r="I291" s="8">
        <f t="shared" si="17"/>
        <v>0</v>
      </c>
      <c r="J291" s="8">
        <f t="shared" si="18"/>
        <v>0</v>
      </c>
      <c r="K291" s="71">
        <f t="shared" si="19"/>
        <v>-89714.788732394343</v>
      </c>
    </row>
    <row r="292" spans="1:11" x14ac:dyDescent="0.25">
      <c r="A292" s="38">
        <f>Données!A289</f>
        <v>5921</v>
      </c>
      <c r="B292" s="131" t="str">
        <f>Données!B289</f>
        <v>Molondin</v>
      </c>
      <c r="C292" s="8">
        <f>Données!Z289</f>
        <v>257</v>
      </c>
      <c r="D292" s="8">
        <f t="shared" si="16"/>
        <v>257</v>
      </c>
      <c r="E292" s="162">
        <f t="shared" si="17"/>
        <v>0</v>
      </c>
      <c r="F292" s="8">
        <f t="shared" si="17"/>
        <v>0</v>
      </c>
      <c r="G292" s="162">
        <f t="shared" si="17"/>
        <v>0</v>
      </c>
      <c r="H292" s="31">
        <f t="shared" si="17"/>
        <v>0</v>
      </c>
      <c r="I292" s="8">
        <f t="shared" si="17"/>
        <v>0</v>
      </c>
      <c r="J292" s="8">
        <f t="shared" si="18"/>
        <v>0</v>
      </c>
      <c r="K292" s="71">
        <f t="shared" si="19"/>
        <v>-33708.626760563377</v>
      </c>
    </row>
    <row r="293" spans="1:11" x14ac:dyDescent="0.25">
      <c r="A293" s="38">
        <f>Données!A290</f>
        <v>5922</v>
      </c>
      <c r="B293" s="131" t="str">
        <f>Données!B290</f>
        <v>Montagny-près-Yverdon</v>
      </c>
      <c r="C293" s="8">
        <f>Données!Z290</f>
        <v>770</v>
      </c>
      <c r="D293" s="8">
        <f t="shared" si="16"/>
        <v>770</v>
      </c>
      <c r="E293" s="162">
        <f t="shared" si="17"/>
        <v>0</v>
      </c>
      <c r="F293" s="8">
        <f t="shared" si="17"/>
        <v>0</v>
      </c>
      <c r="G293" s="162">
        <f t="shared" si="17"/>
        <v>0</v>
      </c>
      <c r="H293" s="31">
        <f t="shared" si="17"/>
        <v>0</v>
      </c>
      <c r="I293" s="8">
        <f t="shared" si="17"/>
        <v>0</v>
      </c>
      <c r="J293" s="8">
        <f t="shared" si="18"/>
        <v>0</v>
      </c>
      <c r="K293" s="71">
        <f t="shared" si="19"/>
        <v>-100994.71830985913</v>
      </c>
    </row>
    <row r="294" spans="1:11" x14ac:dyDescent="0.25">
      <c r="A294" s="38">
        <f>Données!A291</f>
        <v>5923</v>
      </c>
      <c r="B294" s="131" t="str">
        <f>Données!B291</f>
        <v>Oppens</v>
      </c>
      <c r="C294" s="8">
        <f>Données!Z291</f>
        <v>202</v>
      </c>
      <c r="D294" s="8">
        <f t="shared" si="16"/>
        <v>202</v>
      </c>
      <c r="E294" s="162">
        <f t="shared" si="17"/>
        <v>0</v>
      </c>
      <c r="F294" s="8">
        <f t="shared" si="17"/>
        <v>0</v>
      </c>
      <c r="G294" s="162">
        <f t="shared" si="17"/>
        <v>0</v>
      </c>
      <c r="H294" s="31">
        <f t="shared" si="17"/>
        <v>0</v>
      </c>
      <c r="I294" s="8">
        <f t="shared" si="17"/>
        <v>0</v>
      </c>
      <c r="J294" s="8">
        <f t="shared" si="18"/>
        <v>0</v>
      </c>
      <c r="K294" s="71">
        <f t="shared" si="19"/>
        <v>-26494.718309859149</v>
      </c>
    </row>
    <row r="295" spans="1:11" x14ac:dyDescent="0.25">
      <c r="A295" s="38">
        <f>Données!A292</f>
        <v>5924</v>
      </c>
      <c r="B295" s="131" t="str">
        <f>Données!B292</f>
        <v>Orges</v>
      </c>
      <c r="C295" s="8">
        <f>Données!Z292</f>
        <v>407</v>
      </c>
      <c r="D295" s="8">
        <f t="shared" si="16"/>
        <v>407</v>
      </c>
      <c r="E295" s="162">
        <f t="shared" si="17"/>
        <v>0</v>
      </c>
      <c r="F295" s="8">
        <f t="shared" si="17"/>
        <v>0</v>
      </c>
      <c r="G295" s="162">
        <f t="shared" si="17"/>
        <v>0</v>
      </c>
      <c r="H295" s="31">
        <f t="shared" si="17"/>
        <v>0</v>
      </c>
      <c r="I295" s="8">
        <f t="shared" si="17"/>
        <v>0</v>
      </c>
      <c r="J295" s="8">
        <f t="shared" si="18"/>
        <v>0</v>
      </c>
      <c r="K295" s="71">
        <f t="shared" si="19"/>
        <v>-53382.922535211255</v>
      </c>
    </row>
    <row r="296" spans="1:11" x14ac:dyDescent="0.25">
      <c r="A296" s="38">
        <f>Données!A293</f>
        <v>5925</v>
      </c>
      <c r="B296" s="131" t="str">
        <f>Données!B293</f>
        <v>Orzens</v>
      </c>
      <c r="C296" s="8">
        <f>Données!Z293</f>
        <v>212</v>
      </c>
      <c r="D296" s="8">
        <f t="shared" si="16"/>
        <v>212</v>
      </c>
      <c r="E296" s="162">
        <f t="shared" si="17"/>
        <v>0</v>
      </c>
      <c r="F296" s="8">
        <f t="shared" si="17"/>
        <v>0</v>
      </c>
      <c r="G296" s="162">
        <f t="shared" si="17"/>
        <v>0</v>
      </c>
      <c r="H296" s="31">
        <f t="shared" si="17"/>
        <v>0</v>
      </c>
      <c r="I296" s="8">
        <f t="shared" si="17"/>
        <v>0</v>
      </c>
      <c r="J296" s="8">
        <f t="shared" si="18"/>
        <v>0</v>
      </c>
      <c r="K296" s="71">
        <f t="shared" si="19"/>
        <v>-27806.338028169008</v>
      </c>
    </row>
    <row r="297" spans="1:11" x14ac:dyDescent="0.25">
      <c r="A297" s="38">
        <f>Données!A294</f>
        <v>5926</v>
      </c>
      <c r="B297" s="131" t="str">
        <f>Données!B294</f>
        <v>Pomy</v>
      </c>
      <c r="C297" s="8">
        <f>Données!Z294</f>
        <v>868</v>
      </c>
      <c r="D297" s="8">
        <f t="shared" si="16"/>
        <v>868</v>
      </c>
      <c r="E297" s="162">
        <f t="shared" si="17"/>
        <v>0</v>
      </c>
      <c r="F297" s="8">
        <f t="shared" si="17"/>
        <v>0</v>
      </c>
      <c r="G297" s="162">
        <f t="shared" si="17"/>
        <v>0</v>
      </c>
      <c r="H297" s="31">
        <f t="shared" si="17"/>
        <v>0</v>
      </c>
      <c r="I297" s="8">
        <f t="shared" si="17"/>
        <v>0</v>
      </c>
      <c r="J297" s="8">
        <f t="shared" si="18"/>
        <v>0</v>
      </c>
      <c r="K297" s="71">
        <f t="shared" si="19"/>
        <v>-113848.59154929576</v>
      </c>
    </row>
    <row r="298" spans="1:11" x14ac:dyDescent="0.25">
      <c r="A298" s="38">
        <f>Données!A295</f>
        <v>5928</v>
      </c>
      <c r="B298" s="131" t="str">
        <f>Données!B295</f>
        <v>Rovray</v>
      </c>
      <c r="C298" s="8">
        <f>Données!Z295</f>
        <v>197</v>
      </c>
      <c r="D298" s="8">
        <f t="shared" si="16"/>
        <v>197</v>
      </c>
      <c r="E298" s="162">
        <f t="shared" si="17"/>
        <v>0</v>
      </c>
      <c r="F298" s="8">
        <f t="shared" si="17"/>
        <v>0</v>
      </c>
      <c r="G298" s="162">
        <f t="shared" si="17"/>
        <v>0</v>
      </c>
      <c r="H298" s="31">
        <f t="shared" si="17"/>
        <v>0</v>
      </c>
      <c r="I298" s="8">
        <f t="shared" si="17"/>
        <v>0</v>
      </c>
      <c r="J298" s="8">
        <f t="shared" si="18"/>
        <v>0</v>
      </c>
      <c r="K298" s="71">
        <f t="shared" si="19"/>
        <v>-25838.908450704221</v>
      </c>
    </row>
    <row r="299" spans="1:11" x14ac:dyDescent="0.25">
      <c r="A299" s="38">
        <f>Données!A296</f>
        <v>5929</v>
      </c>
      <c r="B299" s="131" t="str">
        <f>Données!B296</f>
        <v>Suchy</v>
      </c>
      <c r="C299" s="8">
        <f>Données!Z296</f>
        <v>671</v>
      </c>
      <c r="D299" s="8">
        <f t="shared" si="16"/>
        <v>671</v>
      </c>
      <c r="E299" s="162">
        <f t="shared" si="17"/>
        <v>0</v>
      </c>
      <c r="F299" s="8">
        <f t="shared" si="17"/>
        <v>0</v>
      </c>
      <c r="G299" s="162">
        <f t="shared" si="17"/>
        <v>0</v>
      </c>
      <c r="H299" s="31">
        <f t="shared" si="17"/>
        <v>0</v>
      </c>
      <c r="I299" s="8">
        <f t="shared" si="17"/>
        <v>0</v>
      </c>
      <c r="J299" s="8">
        <f t="shared" si="18"/>
        <v>0</v>
      </c>
      <c r="K299" s="71">
        <f t="shared" si="19"/>
        <v>-88009.683098591529</v>
      </c>
    </row>
    <row r="300" spans="1:11" x14ac:dyDescent="0.25">
      <c r="A300" s="38">
        <f>Données!A297</f>
        <v>5930</v>
      </c>
      <c r="B300" s="131" t="str">
        <f>Données!B297</f>
        <v>Suscévaz</v>
      </c>
      <c r="C300" s="8">
        <f>Données!Z297</f>
        <v>220</v>
      </c>
      <c r="D300" s="8">
        <f t="shared" ref="D300:D308" si="20">IF($C300&gt;D$5,IF($C300&lt;D$6,$C300-D$5,D$6-D$5),0)</f>
        <v>220</v>
      </c>
      <c r="E300" s="162">
        <f t="shared" si="17"/>
        <v>0</v>
      </c>
      <c r="F300" s="8">
        <f t="shared" si="17"/>
        <v>0</v>
      </c>
      <c r="G300" s="162">
        <f t="shared" si="17"/>
        <v>0</v>
      </c>
      <c r="H300" s="31">
        <f t="shared" si="17"/>
        <v>0</v>
      </c>
      <c r="I300" s="8">
        <f t="shared" si="17"/>
        <v>0</v>
      </c>
      <c r="J300" s="8">
        <f t="shared" si="18"/>
        <v>0</v>
      </c>
      <c r="K300" s="71">
        <f t="shared" si="19"/>
        <v>-28855.633802816898</v>
      </c>
    </row>
    <row r="301" spans="1:11" x14ac:dyDescent="0.25">
      <c r="A301" s="38">
        <f>Données!A298</f>
        <v>5931</v>
      </c>
      <c r="B301" s="131" t="str">
        <f>Données!B298</f>
        <v>Treycovagnes</v>
      </c>
      <c r="C301" s="8">
        <f>Données!Z298</f>
        <v>520</v>
      </c>
      <c r="D301" s="8">
        <f t="shared" si="20"/>
        <v>520</v>
      </c>
      <c r="E301" s="162">
        <f t="shared" si="17"/>
        <v>0</v>
      </c>
      <c r="F301" s="8">
        <f t="shared" si="17"/>
        <v>0</v>
      </c>
      <c r="G301" s="162">
        <f t="shared" si="17"/>
        <v>0</v>
      </c>
      <c r="H301" s="31">
        <f t="shared" si="17"/>
        <v>0</v>
      </c>
      <c r="I301" s="8">
        <f t="shared" si="17"/>
        <v>0</v>
      </c>
      <c r="J301" s="8">
        <f t="shared" si="18"/>
        <v>0</v>
      </c>
      <c r="K301" s="71">
        <f t="shared" si="19"/>
        <v>-68204.225352112669</v>
      </c>
    </row>
    <row r="302" spans="1:11" x14ac:dyDescent="0.25">
      <c r="A302" s="38">
        <f>Données!A299</f>
        <v>5932</v>
      </c>
      <c r="B302" s="131" t="str">
        <f>Données!B299</f>
        <v>Ursins</v>
      </c>
      <c r="C302" s="8">
        <f>Données!Z299</f>
        <v>230</v>
      </c>
      <c r="D302" s="8">
        <f t="shared" si="20"/>
        <v>230</v>
      </c>
      <c r="E302" s="162">
        <f t="shared" si="17"/>
        <v>0</v>
      </c>
      <c r="F302" s="8">
        <f t="shared" si="17"/>
        <v>0</v>
      </c>
      <c r="G302" s="162">
        <f t="shared" si="17"/>
        <v>0</v>
      </c>
      <c r="H302" s="31">
        <f t="shared" si="17"/>
        <v>0</v>
      </c>
      <c r="I302" s="8">
        <f t="shared" si="17"/>
        <v>0</v>
      </c>
      <c r="J302" s="8">
        <f t="shared" si="18"/>
        <v>0</v>
      </c>
      <c r="K302" s="71">
        <f t="shared" si="19"/>
        <v>-30167.253521126753</v>
      </c>
    </row>
    <row r="303" spans="1:11" x14ac:dyDescent="0.25">
      <c r="A303" s="38">
        <f>Données!A300</f>
        <v>5933</v>
      </c>
      <c r="B303" s="131" t="str">
        <f>Données!B300</f>
        <v>Valeyres-sous-Montagny</v>
      </c>
      <c r="C303" s="8">
        <f>Données!Z300</f>
        <v>703</v>
      </c>
      <c r="D303" s="8">
        <f t="shared" si="20"/>
        <v>703</v>
      </c>
      <c r="E303" s="162">
        <f t="shared" si="17"/>
        <v>0</v>
      </c>
      <c r="F303" s="8">
        <f t="shared" si="17"/>
        <v>0</v>
      </c>
      <c r="G303" s="162">
        <f t="shared" si="17"/>
        <v>0</v>
      </c>
      <c r="H303" s="31">
        <f t="shared" si="17"/>
        <v>0</v>
      </c>
      <c r="I303" s="8">
        <f t="shared" si="17"/>
        <v>0</v>
      </c>
      <c r="J303" s="8">
        <f t="shared" si="18"/>
        <v>0</v>
      </c>
      <c r="K303" s="71">
        <f t="shared" si="19"/>
        <v>-92206.866197183088</v>
      </c>
    </row>
    <row r="304" spans="1:11" x14ac:dyDescent="0.25">
      <c r="A304" s="38">
        <f>Données!A301</f>
        <v>5934</v>
      </c>
      <c r="B304" s="131" t="str">
        <f>Données!B301</f>
        <v>Valeyres-sous-Ursins</v>
      </c>
      <c r="C304" s="8">
        <f>Données!Z301</f>
        <v>241</v>
      </c>
      <c r="D304" s="8">
        <f t="shared" si="20"/>
        <v>241</v>
      </c>
      <c r="E304" s="162">
        <f t="shared" si="17"/>
        <v>0</v>
      </c>
      <c r="F304" s="8">
        <f t="shared" si="17"/>
        <v>0</v>
      </c>
      <c r="G304" s="162">
        <f t="shared" si="17"/>
        <v>0</v>
      </c>
      <c r="H304" s="31">
        <f t="shared" si="17"/>
        <v>0</v>
      </c>
      <c r="I304" s="8">
        <f t="shared" si="17"/>
        <v>0</v>
      </c>
      <c r="J304" s="8">
        <f t="shared" si="18"/>
        <v>0</v>
      </c>
      <c r="K304" s="71">
        <f t="shared" si="19"/>
        <v>-31610.035211267601</v>
      </c>
    </row>
    <row r="305" spans="1:11" x14ac:dyDescent="0.25">
      <c r="A305" s="38">
        <f>Données!A302</f>
        <v>5935</v>
      </c>
      <c r="B305" s="131" t="str">
        <f>Données!B302</f>
        <v>Villars-Epeney</v>
      </c>
      <c r="C305" s="8">
        <f>Données!Z302</f>
        <v>92</v>
      </c>
      <c r="D305" s="8">
        <f t="shared" si="20"/>
        <v>92</v>
      </c>
      <c r="E305" s="162">
        <f t="shared" si="17"/>
        <v>0</v>
      </c>
      <c r="F305" s="8">
        <f t="shared" si="17"/>
        <v>0</v>
      </c>
      <c r="G305" s="162">
        <f t="shared" si="17"/>
        <v>0</v>
      </c>
      <c r="H305" s="31">
        <f t="shared" si="17"/>
        <v>0</v>
      </c>
      <c r="I305" s="8">
        <f t="shared" si="17"/>
        <v>0</v>
      </c>
      <c r="J305" s="8">
        <f t="shared" si="18"/>
        <v>0</v>
      </c>
      <c r="K305" s="71">
        <f t="shared" si="19"/>
        <v>-12066.901408450702</v>
      </c>
    </row>
    <row r="306" spans="1:11" x14ac:dyDescent="0.25">
      <c r="A306" s="38">
        <f>Données!A303</f>
        <v>5937</v>
      </c>
      <c r="B306" s="131" t="str">
        <f>Données!B303</f>
        <v>Vugelles-La Mothe</v>
      </c>
      <c r="C306" s="8">
        <f>Données!Z303</f>
        <v>137</v>
      </c>
      <c r="D306" s="8">
        <f t="shared" si="20"/>
        <v>137</v>
      </c>
      <c r="E306" s="162">
        <f t="shared" si="17"/>
        <v>0</v>
      </c>
      <c r="F306" s="8">
        <f t="shared" si="17"/>
        <v>0</v>
      </c>
      <c r="G306" s="162">
        <f t="shared" si="17"/>
        <v>0</v>
      </c>
      <c r="H306" s="31">
        <f t="shared" si="17"/>
        <v>0</v>
      </c>
      <c r="I306" s="8">
        <f t="shared" si="17"/>
        <v>0</v>
      </c>
      <c r="J306" s="8">
        <f t="shared" si="18"/>
        <v>0</v>
      </c>
      <c r="K306" s="71">
        <f t="shared" si="19"/>
        <v>-17969.190140845069</v>
      </c>
    </row>
    <row r="307" spans="1:11" x14ac:dyDescent="0.25">
      <c r="A307" s="38">
        <f>Données!A304</f>
        <v>5938</v>
      </c>
      <c r="B307" s="131" t="str">
        <f>Données!B304</f>
        <v>Yverdon-les-Bains</v>
      </c>
      <c r="C307" s="8">
        <f>Données!Z304</f>
        <v>29877</v>
      </c>
      <c r="D307" s="8">
        <f t="shared" si="20"/>
        <v>1000</v>
      </c>
      <c r="E307" s="162">
        <f t="shared" si="17"/>
        <v>2000</v>
      </c>
      <c r="F307" s="8">
        <f t="shared" si="17"/>
        <v>2000</v>
      </c>
      <c r="G307" s="162">
        <f t="shared" si="17"/>
        <v>4000</v>
      </c>
      <c r="H307" s="31">
        <f t="shared" si="17"/>
        <v>3000</v>
      </c>
      <c r="I307" s="8">
        <f t="shared" si="17"/>
        <v>3000</v>
      </c>
      <c r="J307" s="8">
        <f t="shared" si="18"/>
        <v>14877</v>
      </c>
      <c r="K307" s="71">
        <f t="shared" si="19"/>
        <v>-26647758.098591544</v>
      </c>
    </row>
    <row r="308" spans="1:11" x14ac:dyDescent="0.25">
      <c r="A308" s="38">
        <f>Données!A305</f>
        <v>5939</v>
      </c>
      <c r="B308" s="131" t="str">
        <f>Données!B305</f>
        <v>Yvonand</v>
      </c>
      <c r="C308" s="163">
        <f>Données!Z305</f>
        <v>3531</v>
      </c>
      <c r="D308" s="8">
        <f t="shared" si="20"/>
        <v>1000</v>
      </c>
      <c r="E308" s="162">
        <f t="shared" si="17"/>
        <v>2000</v>
      </c>
      <c r="F308" s="8">
        <f t="shared" si="17"/>
        <v>531</v>
      </c>
      <c r="G308" s="162">
        <f t="shared" si="17"/>
        <v>0</v>
      </c>
      <c r="H308" s="31">
        <f t="shared" si="17"/>
        <v>0</v>
      </c>
      <c r="I308" s="8">
        <f t="shared" si="17"/>
        <v>0</v>
      </c>
      <c r="J308" s="8">
        <f t="shared" si="18"/>
        <v>0</v>
      </c>
      <c r="K308" s="71">
        <f t="shared" si="19"/>
        <v>-1144257.0422535208</v>
      </c>
    </row>
    <row r="309" spans="1:11" x14ac:dyDescent="0.25">
      <c r="A309" s="25"/>
      <c r="B309" s="73">
        <f>COUNTA(B9:B308)</f>
        <v>300</v>
      </c>
      <c r="C309" s="9">
        <f>SUM(C9:C308)</f>
        <v>830791</v>
      </c>
      <c r="D309" s="9">
        <f t="shared" ref="D309:J309" si="21">SUM(D9:D308)</f>
        <v>216028</v>
      </c>
      <c r="E309" s="9">
        <f t="shared" si="21"/>
        <v>174322</v>
      </c>
      <c r="F309" s="9">
        <f t="shared" si="21"/>
        <v>89020</v>
      </c>
      <c r="G309" s="9">
        <f t="shared" si="21"/>
        <v>99742</v>
      </c>
      <c r="H309" s="9">
        <f t="shared" si="21"/>
        <v>46697</v>
      </c>
      <c r="I309" s="9">
        <f t="shared" si="21"/>
        <v>27656</v>
      </c>
      <c r="J309" s="9">
        <f t="shared" si="21"/>
        <v>177326</v>
      </c>
      <c r="K309" s="30">
        <f>SUM(K9:K308)</f>
        <v>-467893734.85915476</v>
      </c>
    </row>
    <row r="310" spans="1:11" x14ac:dyDescent="0.25">
      <c r="C310" s="52"/>
      <c r="K310" s="5"/>
    </row>
    <row r="311" spans="1:11" x14ac:dyDescent="0.25">
      <c r="K311" s="164"/>
    </row>
    <row r="312" spans="1:11" x14ac:dyDescent="0.25">
      <c r="K312" s="164"/>
    </row>
    <row r="320" spans="1:11" x14ac:dyDescent="0.25">
      <c r="C320" s="45"/>
    </row>
  </sheetData>
  <sheetProtection sheet="1" objects="1" scenarios="1"/>
  <mergeCells count="6">
    <mergeCell ref="K7:K8"/>
    <mergeCell ref="C4:J4"/>
    <mergeCell ref="A7:A8"/>
    <mergeCell ref="B7:B8"/>
    <mergeCell ref="C7:C8"/>
    <mergeCell ref="D7:J7"/>
  </mergeCells>
  <phoneticPr fontId="21" type="noConversion"/>
  <hyperlinks>
    <hyperlink ref="G1" location="'Péréquation directe'!A1" display="← Précédent" xr:uid="{4A68310A-425D-4B7C-A602-B19E50C59698}"/>
    <hyperlink ref="H1" location="'Table des matières'!A1" display="Table des             matières" xr:uid="{45E00C4B-D76D-485B-A963-90DFF5ED91F9}"/>
    <hyperlink ref="I1" location="Solidarité!A1" display="Suivant →" xr:uid="{3CE52556-7647-4955-BB2C-AB3DA5B0FC22}"/>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11</vt:i4>
      </vt:variant>
    </vt:vector>
  </HeadingPairs>
  <TitlesOfParts>
    <vt:vector size="28" baseType="lpstr">
      <vt:lpstr>Table des matières</vt:lpstr>
      <vt:lpstr>Paramètres</vt:lpstr>
      <vt:lpstr>Recherche</vt:lpstr>
      <vt:lpstr>Données</vt:lpstr>
      <vt:lpstr>VPI</vt:lpstr>
      <vt:lpstr>PCS</vt:lpstr>
      <vt:lpstr>Ecrêtage</vt:lpstr>
      <vt:lpstr>Péréquation directe</vt:lpstr>
      <vt:lpstr>Population</vt:lpstr>
      <vt:lpstr>Solidarité</vt:lpstr>
      <vt:lpstr>DT</vt:lpstr>
      <vt:lpstr>Effort</vt:lpstr>
      <vt:lpstr>Aide</vt:lpstr>
      <vt:lpstr>Taux</vt:lpstr>
      <vt:lpstr>Police</vt:lpstr>
      <vt:lpstr>Synthèse</vt:lpstr>
      <vt:lpstr>Décompte vs acomptes</vt:lpstr>
      <vt:lpstr>DT!Impression_des_titres</vt:lpstr>
      <vt:lpstr>Effort!Impression_des_titres</vt:lpstr>
      <vt:lpstr>PCS!Impression_des_titres</vt:lpstr>
      <vt:lpstr>Police!Impression_des_titres</vt:lpstr>
      <vt:lpstr>Synthèse!Impression_des_titres</vt:lpstr>
      <vt:lpstr>Taux!Impression_des_titres</vt:lpstr>
      <vt:lpstr>'Péréquation directe'!Zone_d_impression</vt:lpstr>
      <vt:lpstr>Police!Zone_d_impression</vt:lpstr>
      <vt:lpstr>Recherche!Zone_d_impression</vt:lpstr>
      <vt:lpstr>Synthèse!Zone_d_impression</vt:lpstr>
      <vt:lpstr>Taux!Zone_d_impression</vt:lpstr>
    </vt:vector>
  </TitlesOfParts>
  <Manager>fabio.cappelletti@vd.ch</Manager>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fabio.cappelletti@vd.ch</dc:creator>
  <cp:lastModifiedBy>Sheedy Emma</cp:lastModifiedBy>
  <cp:lastPrinted>2021-09-22T13:07:35Z</cp:lastPrinted>
  <dcterms:created xsi:type="dcterms:W3CDTF">2005-06-06T00:37:42Z</dcterms:created>
  <dcterms:modified xsi:type="dcterms:W3CDTF">2023-09-26T06:44:20Z</dcterms:modified>
</cp:coreProperties>
</file>